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66925"/>
  <mc:AlternateContent xmlns:mc="http://schemas.openxmlformats.org/markup-compatibility/2006">
    <mc:Choice Requires="x15">
      <x15ac:absPath xmlns:x15ac="http://schemas.microsoft.com/office/spreadsheetml/2010/11/ac" url="https://armac.sharepoint.com/sites/armaclocacao/finan/Documentos Compartilhados/08. Demonstrações Financeiras/3. Suporte aos Relatórios/2024.09/Relatório 3T24/"/>
    </mc:Choice>
  </mc:AlternateContent>
  <xr:revisionPtr revIDLastSave="489" documentId="8_{90BDCC4E-DE58-4AB1-B569-DCA3E606BCE6}" xr6:coauthVersionLast="47" xr6:coauthVersionMax="47" xr10:uidLastSave="{AEF921BC-054B-46B5-918D-4C84D4EBF082}"/>
  <bookViews>
    <workbookView xWindow="-120" yWindow="-120" windowWidth="20730" windowHeight="11160" tabRatio="885" activeTab="1" xr2:uid="{34E0900B-2D8A-4106-9989-9E9B61E3572E}"/>
  </bookViews>
  <sheets>
    <sheet name="Armac 3T-3Q 2024" sheetId="7" r:id="rId1"/>
    <sheet name="DRE - Income Statement" sheetId="3" r:id="rId2"/>
    <sheet name="BP - Balance Sheet" sheetId="4" r:id="rId3"/>
    <sheet name="DFC - Cash Flow Statement" sheetId="5" r:id="rId4"/>
    <sheet name="KPIs" sheetId="9" r:id="rId5"/>
  </sheets>
  <definedNames>
    <definedName name="_xlnm._FilterDatabase" localSheetId="4" hidden="1">KPIs!$L$9:$L$130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X35" i="9" l="1"/>
  <c r="X38" i="9" s="1"/>
  <c r="X42" i="9" s="1"/>
  <c r="Z35" i="9"/>
  <c r="Z38" i="9" s="1"/>
  <c r="Z42" i="9" s="1"/>
  <c r="AA35" i="9"/>
  <c r="AA38" i="9" s="1"/>
  <c r="AA42" i="9" s="1"/>
  <c r="AB35" i="9"/>
  <c r="AB38" i="9" s="1"/>
  <c r="AB42" i="9" s="1"/>
  <c r="AC35" i="9"/>
  <c r="AC38" i="9" s="1"/>
  <c r="AC42" i="9" s="1"/>
  <c r="AD35" i="9"/>
  <c r="AD38" i="9" s="1"/>
  <c r="AD42" i="9" s="1"/>
  <c r="AE35" i="9"/>
  <c r="AE38" i="9" s="1"/>
  <c r="AE42" i="9" s="1"/>
  <c r="AF35" i="9"/>
  <c r="AF38" i="9" s="1"/>
  <c r="AF42" i="9" s="1"/>
  <c r="AG35" i="9"/>
  <c r="AG38" i="9" s="1"/>
  <c r="AG42" i="9" s="1"/>
  <c r="G35" i="9"/>
  <c r="F35" i="9"/>
  <c r="E35" i="9"/>
  <c r="AE74" i="5"/>
  <c r="AH35" i="9" l="1"/>
  <c r="AI35" i="9"/>
  <c r="AG10" i="3"/>
  <c r="AG6" i="3"/>
  <c r="F54" i="4"/>
  <c r="G54" i="4"/>
  <c r="H54" i="4"/>
  <c r="I54" i="4"/>
  <c r="J54" i="4"/>
  <c r="E54" i="4"/>
  <c r="AF54" i="4"/>
  <c r="AE54" i="4"/>
  <c r="AD54" i="4"/>
  <c r="AC54" i="4"/>
  <c r="AB54" i="4"/>
  <c r="AA54" i="4"/>
  <c r="Z54" i="4"/>
  <c r="Y54" i="4"/>
  <c r="X54" i="4"/>
  <c r="W54" i="4"/>
  <c r="V54" i="4"/>
  <c r="U54" i="4"/>
  <c r="T54" i="4"/>
  <c r="S54" i="4"/>
  <c r="R54" i="4"/>
  <c r="Q54" i="4"/>
  <c r="P54" i="4"/>
  <c r="O54" i="4"/>
  <c r="AG54" i="4"/>
  <c r="AH34" i="4"/>
  <c r="AG45" i="4"/>
  <c r="AF20" i="4"/>
  <c r="AE20" i="4"/>
  <c r="AD20" i="4"/>
  <c r="AC20" i="4"/>
  <c r="AB20" i="4"/>
  <c r="AA20" i="4"/>
  <c r="Z20" i="4"/>
  <c r="Y20" i="4"/>
  <c r="X20" i="4"/>
  <c r="W20" i="4"/>
  <c r="U20" i="4"/>
  <c r="T20" i="4"/>
  <c r="S20" i="4"/>
  <c r="R20" i="4"/>
  <c r="Q20" i="4"/>
  <c r="P20" i="4"/>
  <c r="O20" i="4"/>
  <c r="V19" i="4"/>
  <c r="AG20" i="4"/>
  <c r="F20" i="4"/>
  <c r="G20" i="4"/>
  <c r="H20" i="4"/>
  <c r="I20" i="4"/>
  <c r="J20" i="4"/>
  <c r="E20" i="4"/>
  <c r="AG130" i="9" l="1"/>
  <c r="AG119" i="9"/>
  <c r="AG108" i="9"/>
  <c r="AI106" i="9"/>
  <c r="AH106" i="9"/>
  <c r="AI100" i="9"/>
  <c r="AH100" i="9"/>
  <c r="AI98" i="9"/>
  <c r="AH98" i="9"/>
  <c r="AI97" i="9"/>
  <c r="AH97" i="9"/>
  <c r="AG99" i="9"/>
  <c r="AG95" i="9"/>
  <c r="AG86" i="9"/>
  <c r="AI85" i="9"/>
  <c r="AH85" i="9"/>
  <c r="AI84" i="9"/>
  <c r="AH84" i="9"/>
  <c r="AG82" i="9"/>
  <c r="AI73" i="9"/>
  <c r="AH73" i="9"/>
  <c r="AI71" i="9"/>
  <c r="AH71" i="9"/>
  <c r="AI70" i="9"/>
  <c r="AH70" i="9"/>
  <c r="AG72" i="9"/>
  <c r="AG65" i="9"/>
  <c r="AG22" i="9"/>
  <c r="AG25" i="9" s="1"/>
  <c r="AG14" i="9"/>
  <c r="AG15" i="9" s="1"/>
  <c r="AI10" i="9"/>
  <c r="AH10" i="9"/>
  <c r="AI11" i="9"/>
  <c r="AH11" i="9"/>
  <c r="AI9" i="9"/>
  <c r="AH9" i="9"/>
  <c r="AE76" i="5"/>
  <c r="AE72" i="5"/>
  <c r="AE58" i="5"/>
  <c r="AE49" i="5"/>
  <c r="AG36" i="4"/>
  <c r="AG56" i="4" s="1"/>
  <c r="AG12" i="4"/>
  <c r="AG22" i="4" s="1"/>
  <c r="AG37" i="3"/>
  <c r="AG17" i="3"/>
  <c r="AF10" i="3"/>
  <c r="AG16" i="3"/>
  <c r="AF6" i="3"/>
  <c r="AI6" i="3"/>
  <c r="AG102" i="9" l="1"/>
  <c r="AG74" i="9"/>
  <c r="AG66" i="9"/>
  <c r="AG26" i="9"/>
  <c r="AG23" i="9"/>
  <c r="AE77" i="5"/>
  <c r="AG15" i="3"/>
  <c r="AH6" i="3"/>
  <c r="AF130" i="9"/>
  <c r="AI130" i="9" s="1"/>
  <c r="AF119" i="9"/>
  <c r="AI119" i="9" s="1"/>
  <c r="AF108" i="9"/>
  <c r="AI108" i="9" s="1"/>
  <c r="AF99" i="9"/>
  <c r="AI99" i="9" s="1"/>
  <c r="AF95" i="9"/>
  <c r="AF102" i="9" s="1"/>
  <c r="AF86" i="9"/>
  <c r="AG87" i="9" s="1"/>
  <c r="AF82" i="9"/>
  <c r="AI82" i="9" s="1"/>
  <c r="AF72" i="9"/>
  <c r="AF74" i="9" s="1"/>
  <c r="AF65" i="9"/>
  <c r="AI65" i="9" s="1"/>
  <c r="AF45" i="9"/>
  <c r="AF22" i="9"/>
  <c r="AF23" i="9" s="1"/>
  <c r="AF14" i="9"/>
  <c r="AF15" i="9" s="1"/>
  <c r="AI15" i="9" s="1"/>
  <c r="AD76" i="5"/>
  <c r="AD77" i="5" s="1"/>
  <c r="AD74" i="5"/>
  <c r="AD72" i="5"/>
  <c r="AD58" i="5"/>
  <c r="AD49" i="5"/>
  <c r="AF45" i="4"/>
  <c r="AI45" i="4" s="1"/>
  <c r="AF36" i="4"/>
  <c r="AI36" i="4" s="1"/>
  <c r="AI20" i="4"/>
  <c r="AF12" i="4"/>
  <c r="AI12" i="4" s="1"/>
  <c r="AF37" i="3"/>
  <c r="AF16" i="3"/>
  <c r="AF17" i="3"/>
  <c r="AF15" i="3"/>
  <c r="AE130" i="9"/>
  <c r="AE119" i="9"/>
  <c r="I108" i="9"/>
  <c r="J108" i="9"/>
  <c r="R107" i="9"/>
  <c r="R108" i="9" s="1"/>
  <c r="S107" i="9"/>
  <c r="S108" i="9" s="1"/>
  <c r="T107" i="9"/>
  <c r="T108" i="9" s="1"/>
  <c r="U107" i="9"/>
  <c r="U108" i="9" s="1"/>
  <c r="V107" i="9"/>
  <c r="V108" i="9" s="1"/>
  <c r="W107" i="9"/>
  <c r="W108" i="9" s="1"/>
  <c r="X107" i="9"/>
  <c r="X108" i="9" s="1"/>
  <c r="Y107" i="9"/>
  <c r="Y108" i="9" s="1"/>
  <c r="Z107" i="9"/>
  <c r="Z108" i="9" s="1"/>
  <c r="AA107" i="9"/>
  <c r="AA108" i="9" s="1"/>
  <c r="AB107" i="9"/>
  <c r="AB108" i="9" s="1"/>
  <c r="AC107" i="9"/>
  <c r="AC108" i="9" s="1"/>
  <c r="AH108" i="9" s="1"/>
  <c r="AD107" i="9"/>
  <c r="AD108" i="9" s="1"/>
  <c r="AE107" i="9"/>
  <c r="AE108" i="9" s="1"/>
  <c r="Q107" i="9"/>
  <c r="Q108" i="9" s="1"/>
  <c r="P107" i="9"/>
  <c r="P108" i="9" s="1"/>
  <c r="O108" i="9"/>
  <c r="H108" i="9"/>
  <c r="AE99" i="9"/>
  <c r="AE95" i="9"/>
  <c r="AE102" i="9" s="1"/>
  <c r="AE86" i="9"/>
  <c r="AE82" i="9"/>
  <c r="AE72" i="9"/>
  <c r="AE65" i="9"/>
  <c r="AE22" i="9"/>
  <c r="AF87" i="9" l="1"/>
  <c r="AF89" i="9" s="1"/>
  <c r="AI86" i="9"/>
  <c r="AI22" i="9"/>
  <c r="AI102" i="9"/>
  <c r="AI38" i="9"/>
  <c r="AI74" i="9"/>
  <c r="AI72" i="9"/>
  <c r="AG89" i="9"/>
  <c r="AI95" i="9"/>
  <c r="AI42" i="9"/>
  <c r="AG45" i="9"/>
  <c r="AG46" i="9" s="1"/>
  <c r="AG43" i="9"/>
  <c r="AI23" i="9"/>
  <c r="AI15" i="3"/>
  <c r="AH15" i="3"/>
  <c r="AG26" i="3"/>
  <c r="AG20" i="3"/>
  <c r="AG22" i="3"/>
  <c r="AF22" i="4"/>
  <c r="AI22" i="4" s="1"/>
  <c r="AF56" i="4"/>
  <c r="AI56" i="4" s="1"/>
  <c r="AI54" i="4"/>
  <c r="AF66" i="9"/>
  <c r="AF43" i="9"/>
  <c r="AF25" i="9"/>
  <c r="AF22" i="3"/>
  <c r="AF46" i="9"/>
  <c r="AF26" i="3"/>
  <c r="AF20" i="3"/>
  <c r="AE74" i="9"/>
  <c r="AE66" i="9"/>
  <c r="AE45" i="9"/>
  <c r="AE23" i="9"/>
  <c r="AE25" i="9"/>
  <c r="AI87" i="9" l="1"/>
  <c r="AI89" i="9"/>
  <c r="AF26" i="9"/>
  <c r="AI26" i="9" s="1"/>
  <c r="AI25" i="9"/>
  <c r="AG23" i="3"/>
  <c r="AI22" i="3"/>
  <c r="AG28" i="3"/>
  <c r="AH22" i="3"/>
  <c r="AF28" i="3"/>
  <c r="AF23" i="3"/>
  <c r="AF34" i="3"/>
  <c r="AE26" i="9"/>
  <c r="AI28" i="3" l="1"/>
  <c r="AH28" i="3"/>
  <c r="AG34" i="3"/>
  <c r="AG29" i="3"/>
  <c r="AF29" i="3"/>
  <c r="AF41" i="3"/>
  <c r="AF35" i="3"/>
  <c r="AE14" i="9"/>
  <c r="AE15" i="9" s="1"/>
  <c r="AG41" i="3" l="1"/>
  <c r="AI34" i="3"/>
  <c r="AH34" i="3"/>
  <c r="AG35" i="3"/>
  <c r="AF42" i="3"/>
  <c r="AC72" i="5"/>
  <c r="AC58" i="5"/>
  <c r="AC49" i="5"/>
  <c r="AE45" i="4"/>
  <c r="AE36" i="4"/>
  <c r="AE12" i="4"/>
  <c r="AE37" i="3"/>
  <c r="AE17" i="3"/>
  <c r="AE10" i="3"/>
  <c r="AE16" i="3" s="1"/>
  <c r="AE6" i="3"/>
  <c r="J130" i="9"/>
  <c r="I130" i="9"/>
  <c r="J119" i="9"/>
  <c r="L106" i="9"/>
  <c r="K106" i="9"/>
  <c r="L100" i="9"/>
  <c r="K100" i="9"/>
  <c r="L98" i="9"/>
  <c r="K98" i="9"/>
  <c r="L97" i="9"/>
  <c r="K97" i="9"/>
  <c r="J99" i="9"/>
  <c r="J95" i="9"/>
  <c r="J102" i="9" s="1"/>
  <c r="L87" i="9"/>
  <c r="K87" i="9"/>
  <c r="J86" i="9"/>
  <c r="J82" i="9"/>
  <c r="J89" i="9" s="1"/>
  <c r="L85" i="9"/>
  <c r="L84" i="9"/>
  <c r="L73" i="9"/>
  <c r="K73" i="9"/>
  <c r="L71" i="9"/>
  <c r="L70" i="9"/>
  <c r="J72" i="9"/>
  <c r="J65" i="9"/>
  <c r="J40" i="9"/>
  <c r="J37" i="9"/>
  <c r="J34" i="9"/>
  <c r="J33" i="9"/>
  <c r="J32" i="9"/>
  <c r="J31" i="9"/>
  <c r="J30" i="9"/>
  <c r="J24" i="9"/>
  <c r="J21" i="9"/>
  <c r="J20" i="9"/>
  <c r="J19" i="9"/>
  <c r="L11" i="9"/>
  <c r="K11" i="9"/>
  <c r="L10" i="9"/>
  <c r="K10" i="9"/>
  <c r="J9" i="9"/>
  <c r="AD99" i="9"/>
  <c r="AC99" i="9"/>
  <c r="AH99" i="9" s="1"/>
  <c r="AB99" i="9"/>
  <c r="AA99" i="9"/>
  <c r="Z99" i="9"/>
  <c r="Y99" i="9"/>
  <c r="W99" i="9"/>
  <c r="V99" i="9"/>
  <c r="U99" i="9"/>
  <c r="T99" i="9"/>
  <c r="S99" i="9"/>
  <c r="R99" i="9"/>
  <c r="Q99" i="9"/>
  <c r="P99" i="9"/>
  <c r="O99" i="9"/>
  <c r="I99" i="9"/>
  <c r="G99" i="9"/>
  <c r="F99" i="9"/>
  <c r="E99" i="9"/>
  <c r="AD95" i="9"/>
  <c r="AC95" i="9"/>
  <c r="AH95" i="9" s="1"/>
  <c r="AB95" i="9"/>
  <c r="AA95" i="9"/>
  <c r="Z95" i="9"/>
  <c r="W95" i="9"/>
  <c r="S95" i="9"/>
  <c r="S102" i="9" s="1"/>
  <c r="I95" i="9"/>
  <c r="I102" i="9" s="1"/>
  <c r="G95" i="9"/>
  <c r="G102" i="9" s="1"/>
  <c r="F95" i="9"/>
  <c r="F102" i="9" s="1"/>
  <c r="E95" i="9"/>
  <c r="E102" i="9" s="1"/>
  <c r="R94" i="9"/>
  <c r="R95" i="9" s="1"/>
  <c r="R102" i="9" s="1"/>
  <c r="Q94" i="9"/>
  <c r="Q95" i="9" s="1"/>
  <c r="Q102" i="9" s="1"/>
  <c r="Y95" i="9"/>
  <c r="V95" i="9"/>
  <c r="V102" i="9" s="1"/>
  <c r="U95" i="9"/>
  <c r="T95" i="9"/>
  <c r="T102" i="9" s="1"/>
  <c r="P95" i="9"/>
  <c r="P102" i="9" s="1"/>
  <c r="O95" i="9"/>
  <c r="O102" i="9" s="1"/>
  <c r="J35" i="9" l="1"/>
  <c r="J38" i="9" s="1"/>
  <c r="AI41" i="3"/>
  <c r="AH41" i="3"/>
  <c r="AG42" i="3"/>
  <c r="AB102" i="9"/>
  <c r="AE43" i="9"/>
  <c r="AE46" i="9"/>
  <c r="AE15" i="3"/>
  <c r="AE56" i="4"/>
  <c r="AE22" i="4"/>
  <c r="AC74" i="5"/>
  <c r="J22" i="9"/>
  <c r="J23" i="9" s="1"/>
  <c r="L102" i="9"/>
  <c r="L130" i="9"/>
  <c r="J74" i="9"/>
  <c r="L99" i="9"/>
  <c r="L95" i="9"/>
  <c r="AA102" i="9"/>
  <c r="Z102" i="9"/>
  <c r="W102" i="9"/>
  <c r="H99" i="9"/>
  <c r="K99" i="9" s="1"/>
  <c r="AD102" i="9"/>
  <c r="U102" i="9"/>
  <c r="Y102" i="9"/>
  <c r="AC102" i="9"/>
  <c r="AH102" i="9" s="1"/>
  <c r="AE22" i="3" l="1"/>
  <c r="AE23" i="3" s="1"/>
  <c r="AE20" i="3"/>
  <c r="AE26" i="3"/>
  <c r="J25" i="9"/>
  <c r="J26" i="9" s="1"/>
  <c r="J42" i="9"/>
  <c r="J76" i="9"/>
  <c r="AE28" i="3" l="1"/>
  <c r="J45" i="9"/>
  <c r="J66" i="9"/>
  <c r="AD65" i="9"/>
  <c r="AD130" i="9"/>
  <c r="AD119" i="9"/>
  <c r="AD86" i="9"/>
  <c r="AD82" i="9"/>
  <c r="AD72" i="9"/>
  <c r="AD22" i="9"/>
  <c r="AE34" i="3" l="1"/>
  <c r="AE29" i="3"/>
  <c r="AE87" i="9"/>
  <c r="AD74" i="9"/>
  <c r="AD23" i="9"/>
  <c r="AD25" i="9"/>
  <c r="AD14" i="9"/>
  <c r="AD15" i="9" s="1"/>
  <c r="J72" i="5"/>
  <c r="J58" i="5"/>
  <c r="J49" i="5"/>
  <c r="AE41" i="3" l="1"/>
  <c r="AE35" i="3"/>
  <c r="J74" i="5"/>
  <c r="AD66" i="9"/>
  <c r="AE89" i="9"/>
  <c r="AD45" i="9"/>
  <c r="AD26" i="9"/>
  <c r="AB72" i="5"/>
  <c r="AB58" i="5"/>
  <c r="AB49" i="5"/>
  <c r="AD45" i="4"/>
  <c r="AD36" i="4"/>
  <c r="AD12" i="4"/>
  <c r="J45" i="4"/>
  <c r="J36" i="4"/>
  <c r="J12" i="4"/>
  <c r="J39" i="3"/>
  <c r="J38" i="3"/>
  <c r="J32" i="3"/>
  <c r="J31" i="3"/>
  <c r="J25" i="3"/>
  <c r="J19" i="3"/>
  <c r="AD37" i="3"/>
  <c r="AD17" i="3"/>
  <c r="AC17" i="3"/>
  <c r="J13" i="3"/>
  <c r="J12" i="3"/>
  <c r="J11" i="3"/>
  <c r="J8" i="3"/>
  <c r="J7" i="3"/>
  <c r="AD6" i="3"/>
  <c r="AE42" i="3" l="1"/>
  <c r="J22" i="4"/>
  <c r="AD22" i="4"/>
  <c r="AD56" i="4"/>
  <c r="AB74" i="5"/>
  <c r="J56" i="4"/>
  <c r="J6" i="3"/>
  <c r="AD10" i="3" l="1"/>
  <c r="J37" i="3"/>
  <c r="J17" i="3"/>
  <c r="J10" i="3"/>
  <c r="J15" i="3" s="1"/>
  <c r="AD16" i="3" l="1"/>
  <c r="AD15" i="3"/>
  <c r="J16" i="3"/>
  <c r="J26" i="3"/>
  <c r="J20" i="3"/>
  <c r="J22" i="3"/>
  <c r="G19" i="9"/>
  <c r="G21" i="9"/>
  <c r="G20" i="9"/>
  <c r="H130" i="9"/>
  <c r="K130" i="9" s="1"/>
  <c r="G130" i="9"/>
  <c r="F130" i="9"/>
  <c r="E130" i="9"/>
  <c r="P130" i="9"/>
  <c r="Q130" i="9"/>
  <c r="R130" i="9"/>
  <c r="S130" i="9"/>
  <c r="T130" i="9"/>
  <c r="U130" i="9"/>
  <c r="V130" i="9"/>
  <c r="W130" i="9"/>
  <c r="X130" i="9"/>
  <c r="Y130" i="9"/>
  <c r="Z130" i="9"/>
  <c r="AA130" i="9"/>
  <c r="AB130" i="9"/>
  <c r="AC130" i="9"/>
  <c r="AH130" i="9" s="1"/>
  <c r="O130" i="9"/>
  <c r="AC119" i="9"/>
  <c r="AH119" i="9" s="1"/>
  <c r="AC86" i="9"/>
  <c r="AH86" i="9" s="1"/>
  <c r="AC82" i="9"/>
  <c r="AH82" i="9" s="1"/>
  <c r="AC72" i="9"/>
  <c r="AH72" i="9" s="1"/>
  <c r="AC65" i="9"/>
  <c r="AH65" i="9" s="1"/>
  <c r="AC22" i="9"/>
  <c r="AH22" i="9" s="1"/>
  <c r="AI76" i="9" l="1"/>
  <c r="AH38" i="9"/>
  <c r="J43" i="9"/>
  <c r="J46" i="9"/>
  <c r="AD26" i="3"/>
  <c r="AD22" i="3"/>
  <c r="AD20" i="3"/>
  <c r="AD43" i="9"/>
  <c r="AD46" i="9"/>
  <c r="AD87" i="9"/>
  <c r="AC25" i="9"/>
  <c r="AH25" i="9" s="1"/>
  <c r="AH42" i="9"/>
  <c r="J28" i="3"/>
  <c r="J23" i="3"/>
  <c r="AC23" i="9"/>
  <c r="AH23" i="9" s="1"/>
  <c r="AC74" i="9"/>
  <c r="AH74" i="9" s="1"/>
  <c r="AC14" i="9"/>
  <c r="AC15" i="9" s="1"/>
  <c r="AH15" i="9" s="1"/>
  <c r="AA72" i="5"/>
  <c r="AA58" i="5"/>
  <c r="Z58" i="5"/>
  <c r="Y58" i="5"/>
  <c r="X58" i="5"/>
  <c r="W58" i="5"/>
  <c r="V58" i="5"/>
  <c r="U58" i="5"/>
  <c r="AA49" i="5"/>
  <c r="AH54" i="4"/>
  <c r="AC45" i="4"/>
  <c r="AH45" i="4" s="1"/>
  <c r="AC36" i="4"/>
  <c r="AH36" i="4" s="1"/>
  <c r="AH20" i="4"/>
  <c r="AC12" i="4"/>
  <c r="AH12" i="4" s="1"/>
  <c r="AC37" i="3"/>
  <c r="AC10" i="3"/>
  <c r="AC16" i="3" s="1"/>
  <c r="AC6" i="3"/>
  <c r="V14" i="9"/>
  <c r="V15" i="9" s="1"/>
  <c r="U14" i="9"/>
  <c r="U15" i="9" s="1"/>
  <c r="T14" i="9"/>
  <c r="T15" i="9" s="1"/>
  <c r="S14" i="9"/>
  <c r="S15" i="9" s="1"/>
  <c r="X14" i="9"/>
  <c r="X15" i="9" s="1"/>
  <c r="Y14" i="9"/>
  <c r="Y15" i="9" s="1"/>
  <c r="Z14" i="9"/>
  <c r="Z15" i="9" s="1"/>
  <c r="AA14" i="9"/>
  <c r="AA15" i="9" s="1"/>
  <c r="AB14" i="9"/>
  <c r="AB15" i="9" s="1"/>
  <c r="W14" i="9"/>
  <c r="W15" i="9" s="1"/>
  <c r="AC15" i="3" l="1"/>
  <c r="AD23" i="3"/>
  <c r="AD28" i="3"/>
  <c r="AC66" i="9"/>
  <c r="AC45" i="9"/>
  <c r="AC46" i="9" s="1"/>
  <c r="AC43" i="9"/>
  <c r="AD89" i="9"/>
  <c r="AC26" i="9"/>
  <c r="AH26" i="9" s="1"/>
  <c r="AA74" i="5"/>
  <c r="J29" i="3"/>
  <c r="J34" i="3"/>
  <c r="AC56" i="4"/>
  <c r="AH56" i="4" s="1"/>
  <c r="AC22" i="4"/>
  <c r="AH22" i="4" s="1"/>
  <c r="AD29" i="3" l="1"/>
  <c r="AD34" i="3"/>
  <c r="J41" i="3"/>
  <c r="J35" i="3"/>
  <c r="AC20" i="3"/>
  <c r="AC26" i="3"/>
  <c r="AC22" i="3"/>
  <c r="AB45" i="4"/>
  <c r="AB119" i="9"/>
  <c r="AB86" i="9"/>
  <c r="AB82" i="9"/>
  <c r="AB72" i="9"/>
  <c r="AB65" i="9"/>
  <c r="AB22" i="9"/>
  <c r="AB36" i="4"/>
  <c r="AB12" i="4"/>
  <c r="AB10" i="3"/>
  <c r="AB16" i="3" s="1"/>
  <c r="AB6" i="3"/>
  <c r="AB17" i="3"/>
  <c r="AB37" i="3"/>
  <c r="Z72" i="5"/>
  <c r="Z49" i="5"/>
  <c r="H20" i="9"/>
  <c r="I20" i="9"/>
  <c r="H21" i="9"/>
  <c r="I21" i="9"/>
  <c r="V9" i="4"/>
  <c r="AA119" i="9"/>
  <c r="AA86" i="9"/>
  <c r="X74" i="9"/>
  <c r="AA72" i="9"/>
  <c r="AA65" i="9"/>
  <c r="AA74" i="9" l="1"/>
  <c r="AD35" i="3"/>
  <c r="AD41" i="3"/>
  <c r="AC23" i="3"/>
  <c r="J42" i="3"/>
  <c r="AC87" i="9"/>
  <c r="AH87" i="9" s="1"/>
  <c r="AC28" i="3"/>
  <c r="AB23" i="9"/>
  <c r="AB87" i="9"/>
  <c r="Z74" i="5"/>
  <c r="AB56" i="4"/>
  <c r="AB22" i="4"/>
  <c r="AB74" i="9"/>
  <c r="AB25" i="9"/>
  <c r="AB15" i="3"/>
  <c r="Y72" i="5"/>
  <c r="Y49" i="5"/>
  <c r="AA45" i="4"/>
  <c r="AA36" i="4"/>
  <c r="AA12" i="4"/>
  <c r="AA37" i="3"/>
  <c r="AA17" i="3"/>
  <c r="AA10" i="3"/>
  <c r="AA16" i="3" s="1"/>
  <c r="AA6" i="3"/>
  <c r="AA22" i="9"/>
  <c r="AD42" i="3" l="1"/>
  <c r="AB26" i="3"/>
  <c r="AC34" i="3"/>
  <c r="AC29" i="3"/>
  <c r="AC89" i="9"/>
  <c r="AH89" i="9" s="1"/>
  <c r="AB89" i="9"/>
  <c r="AB45" i="9"/>
  <c r="AB46" i="9" s="1"/>
  <c r="AB43" i="9"/>
  <c r="AB26" i="9"/>
  <c r="AA25" i="9"/>
  <c r="AB66" i="9"/>
  <c r="AB20" i="3"/>
  <c r="AB22" i="3"/>
  <c r="AA15" i="3"/>
  <c r="AA56" i="4"/>
  <c r="AA22" i="4"/>
  <c r="AA23" i="9"/>
  <c r="Y74" i="5"/>
  <c r="AA45" i="9" l="1"/>
  <c r="AA46" i="9" s="1"/>
  <c r="AA66" i="9"/>
  <c r="AA43" i="9"/>
  <c r="AC41" i="3"/>
  <c r="AC35" i="3"/>
  <c r="AA26" i="9"/>
  <c r="AB28" i="3"/>
  <c r="AB23" i="3"/>
  <c r="AA26" i="3"/>
  <c r="AA22" i="3"/>
  <c r="AA20" i="3"/>
  <c r="AA80" i="9" l="1"/>
  <c r="AA82" i="9" s="1"/>
  <c r="AC42" i="3"/>
  <c r="AB34" i="3"/>
  <c r="AB29" i="3"/>
  <c r="AA28" i="3"/>
  <c r="AA23" i="3"/>
  <c r="X56" i="4"/>
  <c r="X119" i="9"/>
  <c r="X26" i="9"/>
  <c r="X12" i="4"/>
  <c r="AB35" i="3" l="1"/>
  <c r="AB41" i="3"/>
  <c r="AA29" i="3"/>
  <c r="AA34" i="3"/>
  <c r="I24" i="9"/>
  <c r="I19" i="9"/>
  <c r="I22" i="9" s="1"/>
  <c r="I40" i="9"/>
  <c r="I37" i="9"/>
  <c r="I34" i="9"/>
  <c r="I33" i="9"/>
  <c r="I32" i="9"/>
  <c r="I31" i="9"/>
  <c r="I65" i="9"/>
  <c r="I9" i="9"/>
  <c r="I72" i="9"/>
  <c r="I82" i="9"/>
  <c r="I86" i="9"/>
  <c r="I119" i="9"/>
  <c r="Z119" i="9"/>
  <c r="Z86" i="9"/>
  <c r="Z72" i="9"/>
  <c r="Z65" i="9"/>
  <c r="Z22" i="9"/>
  <c r="L119" i="9" l="1"/>
  <c r="I89" i="9"/>
  <c r="L82" i="9"/>
  <c r="L72" i="9"/>
  <c r="L108" i="9"/>
  <c r="L86" i="9"/>
  <c r="L9" i="9"/>
  <c r="L65" i="9"/>
  <c r="L22" i="9"/>
  <c r="AH76" i="9"/>
  <c r="AB42" i="3"/>
  <c r="AA41" i="3"/>
  <c r="AA35" i="3"/>
  <c r="Z74" i="9"/>
  <c r="AA87" i="9"/>
  <c r="Z25" i="9"/>
  <c r="I74" i="9"/>
  <c r="I25" i="9"/>
  <c r="I23" i="9"/>
  <c r="Z23" i="9"/>
  <c r="N72" i="5"/>
  <c r="O72" i="5"/>
  <c r="P72" i="5"/>
  <c r="Q72" i="5"/>
  <c r="R72" i="5"/>
  <c r="S72" i="5"/>
  <c r="T72" i="5"/>
  <c r="U72" i="5"/>
  <c r="V72" i="5"/>
  <c r="X72" i="5"/>
  <c r="M72" i="5"/>
  <c r="N49" i="5"/>
  <c r="O49" i="5"/>
  <c r="P49" i="5"/>
  <c r="Q49" i="5"/>
  <c r="R49" i="5"/>
  <c r="S49" i="5"/>
  <c r="T49" i="5"/>
  <c r="U49" i="5"/>
  <c r="V49" i="5"/>
  <c r="W49" i="5"/>
  <c r="X49" i="5"/>
  <c r="M49" i="5"/>
  <c r="I72" i="5"/>
  <c r="I58" i="5"/>
  <c r="I49" i="5"/>
  <c r="E49" i="5"/>
  <c r="F49" i="5"/>
  <c r="G49" i="5"/>
  <c r="H49" i="5"/>
  <c r="Z45" i="4"/>
  <c r="Z36" i="4"/>
  <c r="Z12" i="4"/>
  <c r="L89" i="9" l="1"/>
  <c r="L74" i="9"/>
  <c r="L23" i="9"/>
  <c r="I26" i="9"/>
  <c r="L25" i="9"/>
  <c r="AA42" i="3"/>
  <c r="Z56" i="4"/>
  <c r="AA89" i="9"/>
  <c r="Z66" i="9"/>
  <c r="Z45" i="9"/>
  <c r="Z80" i="9" s="1"/>
  <c r="Z82" i="9" s="1"/>
  <c r="Z26" i="9"/>
  <c r="X74" i="5"/>
  <c r="V74" i="5"/>
  <c r="Z22" i="4"/>
  <c r="I74" i="5"/>
  <c r="L26" i="9" l="1"/>
  <c r="I45" i="4"/>
  <c r="I36" i="4"/>
  <c r="I12" i="4"/>
  <c r="L12" i="4" l="1"/>
  <c r="L20" i="4"/>
  <c r="L36" i="4"/>
  <c r="L45" i="4"/>
  <c r="L54" i="4"/>
  <c r="I22" i="4"/>
  <c r="I56" i="4"/>
  <c r="L56" i="4" l="1"/>
  <c r="L22" i="4"/>
  <c r="Z37" i="3"/>
  <c r="Z17" i="3"/>
  <c r="Z10" i="3"/>
  <c r="Z16" i="3" s="1"/>
  <c r="Z6" i="3"/>
  <c r="I37" i="3"/>
  <c r="I17" i="3"/>
  <c r="I10" i="3"/>
  <c r="I16" i="3" s="1"/>
  <c r="I6" i="3"/>
  <c r="I15" i="3" l="1"/>
  <c r="I22" i="3" s="1"/>
  <c r="L6" i="3"/>
  <c r="Z15" i="3"/>
  <c r="Z43" i="9"/>
  <c r="Z46" i="9"/>
  <c r="L22" i="3" l="1"/>
  <c r="L15" i="3"/>
  <c r="I20" i="3"/>
  <c r="I26" i="3"/>
  <c r="Z20" i="3"/>
  <c r="Z26" i="3"/>
  <c r="Z22" i="3"/>
  <c r="I28" i="3"/>
  <c r="I23" i="3"/>
  <c r="W72" i="5"/>
  <c r="Y119" i="9"/>
  <c r="Y86" i="9"/>
  <c r="V81" i="9"/>
  <c r="H81" i="9"/>
  <c r="G82" i="9"/>
  <c r="W82" i="9"/>
  <c r="O81" i="9"/>
  <c r="T58" i="5"/>
  <c r="R58" i="5"/>
  <c r="Q58" i="5"/>
  <c r="P58" i="5"/>
  <c r="O58" i="5"/>
  <c r="N58" i="5"/>
  <c r="M58" i="5"/>
  <c r="H58" i="5"/>
  <c r="G58" i="5"/>
  <c r="F58" i="5"/>
  <c r="E58" i="5"/>
  <c r="S58" i="5"/>
  <c r="L28" i="3" l="1"/>
  <c r="Z28" i="3"/>
  <c r="Z23" i="3"/>
  <c r="Z87" i="9"/>
  <c r="Z34" i="3"/>
  <c r="I34" i="3"/>
  <c r="I29" i="3"/>
  <c r="Y87" i="9"/>
  <c r="L34" i="3" l="1"/>
  <c r="Z29" i="3"/>
  <c r="Z89" i="9"/>
  <c r="I35" i="3"/>
  <c r="I41" i="3"/>
  <c r="Z35" i="3"/>
  <c r="Z41" i="3"/>
  <c r="G38" i="9"/>
  <c r="F38" i="9"/>
  <c r="E38" i="9"/>
  <c r="F42" i="9" l="1"/>
  <c r="L41" i="3"/>
  <c r="I42" i="3"/>
  <c r="Z42" i="3"/>
  <c r="G42" i="9"/>
  <c r="E42" i="9"/>
  <c r="Y72" i="9"/>
  <c r="Y74" i="9" l="1"/>
  <c r="Y65" i="9"/>
  <c r="Y22" i="9"/>
  <c r="Y25" i="9" l="1"/>
  <c r="Y23" i="9"/>
  <c r="W74" i="5"/>
  <c r="Y36" i="4"/>
  <c r="Y26" i="9" l="1"/>
  <c r="Y45" i="4"/>
  <c r="Y12" i="4"/>
  <c r="Y56" i="4" l="1"/>
  <c r="Y22" i="4"/>
  <c r="Y37" i="3"/>
  <c r="Y17" i="3"/>
  <c r="Y10" i="3"/>
  <c r="Y16" i="3" s="1"/>
  <c r="Y6" i="3"/>
  <c r="Y15" i="3" l="1"/>
  <c r="Y26" i="3" l="1"/>
  <c r="Y22" i="3"/>
  <c r="Y20" i="3"/>
  <c r="Y23" i="3" l="1"/>
  <c r="Y28" i="3"/>
  <c r="Y34" i="3" l="1"/>
  <c r="Y29" i="3"/>
  <c r="W17" i="3"/>
  <c r="W119" i="9"/>
  <c r="V119" i="9"/>
  <c r="W86" i="9"/>
  <c r="W72" i="9"/>
  <c r="W65" i="9"/>
  <c r="G17" i="3"/>
  <c r="F17" i="3"/>
  <c r="E17" i="3"/>
  <c r="H17" i="3"/>
  <c r="V17" i="3"/>
  <c r="U17" i="3"/>
  <c r="T17" i="3"/>
  <c r="S17" i="3"/>
  <c r="R17" i="3"/>
  <c r="Q17" i="3"/>
  <c r="P17" i="3"/>
  <c r="O17" i="3"/>
  <c r="Y41" i="3" l="1"/>
  <c r="Y35" i="3"/>
  <c r="W74" i="9"/>
  <c r="W37" i="3"/>
  <c r="W6" i="3"/>
  <c r="Y42" i="3" l="1"/>
  <c r="Y30" i="9"/>
  <c r="Y35" i="9" s="1"/>
  <c r="Y38" i="9" s="1"/>
  <c r="W22" i="9"/>
  <c r="W45" i="4"/>
  <c r="W36" i="4"/>
  <c r="W12" i="4"/>
  <c r="W10" i="3"/>
  <c r="W16" i="3" s="1"/>
  <c r="Y42" i="9" l="1"/>
  <c r="W56" i="4"/>
  <c r="W15" i="3"/>
  <c r="W25" i="9"/>
  <c r="W23" i="9"/>
  <c r="U74" i="5"/>
  <c r="W22" i="4"/>
  <c r="T74" i="5"/>
  <c r="W26" i="9" l="1"/>
  <c r="W20" i="3"/>
  <c r="W22" i="3"/>
  <c r="W26" i="3"/>
  <c r="Y43" i="9" l="1"/>
  <c r="Y66" i="9"/>
  <c r="Y45" i="9"/>
  <c r="W23" i="3"/>
  <c r="W28" i="3"/>
  <c r="Y46" i="9" l="1"/>
  <c r="Y80" i="9"/>
  <c r="Y82" i="9" s="1"/>
  <c r="W34" i="3"/>
  <c r="W29" i="3"/>
  <c r="Y89" i="9" l="1"/>
  <c r="W41" i="3"/>
  <c r="W35" i="3"/>
  <c r="E82" i="9"/>
  <c r="E89" i="9" s="1"/>
  <c r="F82" i="9"/>
  <c r="H9" i="9"/>
  <c r="K9" i="9" s="1"/>
  <c r="H19" i="9"/>
  <c r="E22" i="9"/>
  <c r="E23" i="9" s="1"/>
  <c r="F22" i="9"/>
  <c r="F25" i="9" s="1"/>
  <c r="F26" i="9" s="1"/>
  <c r="G22" i="9"/>
  <c r="O22" i="9"/>
  <c r="O23" i="9" s="1"/>
  <c r="P22" i="9"/>
  <c r="P25" i="9" s="1"/>
  <c r="P26" i="9" s="1"/>
  <c r="Q22" i="9"/>
  <c r="Q25" i="9" s="1"/>
  <c r="Q26" i="9" s="1"/>
  <c r="R22" i="9"/>
  <c r="R25" i="9" s="1"/>
  <c r="R26" i="9" s="1"/>
  <c r="S22" i="9"/>
  <c r="T22" i="9"/>
  <c r="U22" i="9"/>
  <c r="V22" i="9"/>
  <c r="H24" i="9"/>
  <c r="H31" i="9"/>
  <c r="H32" i="9"/>
  <c r="H33" i="9"/>
  <c r="H34" i="9"/>
  <c r="H40" i="9"/>
  <c r="H37" i="9"/>
  <c r="H50" i="9"/>
  <c r="H52" i="9"/>
  <c r="H53" i="9"/>
  <c r="H54" i="9"/>
  <c r="H56" i="9"/>
  <c r="H57" i="9"/>
  <c r="H58" i="9"/>
  <c r="H59" i="9"/>
  <c r="H95" i="9" s="1"/>
  <c r="K95" i="9" s="1"/>
  <c r="H60" i="9"/>
  <c r="H61" i="9"/>
  <c r="H62" i="9"/>
  <c r="H64" i="9"/>
  <c r="E65" i="9"/>
  <c r="F65" i="9"/>
  <c r="G65" i="9"/>
  <c r="O65" i="9"/>
  <c r="P65" i="9"/>
  <c r="Q65" i="9"/>
  <c r="R65" i="9"/>
  <c r="S65" i="9"/>
  <c r="T65" i="9"/>
  <c r="U65" i="9"/>
  <c r="V65" i="9"/>
  <c r="H70" i="9"/>
  <c r="K70" i="9" s="1"/>
  <c r="O70" i="9"/>
  <c r="P70" i="9"/>
  <c r="Q70" i="9"/>
  <c r="R70" i="9"/>
  <c r="S70" i="9"/>
  <c r="T70" i="9"/>
  <c r="U70" i="9"/>
  <c r="H71" i="9"/>
  <c r="K71" i="9" s="1"/>
  <c r="O71" i="9"/>
  <c r="P71" i="9"/>
  <c r="Q71" i="9"/>
  <c r="R71" i="9"/>
  <c r="S71" i="9"/>
  <c r="T71" i="9"/>
  <c r="U71" i="9"/>
  <c r="E72" i="9"/>
  <c r="E74" i="9" s="1"/>
  <c r="F72" i="9"/>
  <c r="G72" i="9"/>
  <c r="G74" i="9" s="1"/>
  <c r="P81" i="9"/>
  <c r="Q81" i="9"/>
  <c r="R81" i="9"/>
  <c r="S81" i="9"/>
  <c r="T81" i="9"/>
  <c r="U81" i="9"/>
  <c r="H84" i="9"/>
  <c r="K84" i="9" s="1"/>
  <c r="H85" i="9"/>
  <c r="K85" i="9" s="1"/>
  <c r="E86" i="9"/>
  <c r="F86" i="9"/>
  <c r="G86" i="9"/>
  <c r="O86" i="9"/>
  <c r="P86" i="9"/>
  <c r="Q86" i="9"/>
  <c r="R86" i="9"/>
  <c r="S86" i="9"/>
  <c r="T86" i="9"/>
  <c r="U86" i="9"/>
  <c r="V86" i="9"/>
  <c r="H119" i="9"/>
  <c r="K119" i="9" s="1"/>
  <c r="O119" i="9"/>
  <c r="P119" i="9"/>
  <c r="Q119" i="9"/>
  <c r="R119" i="9"/>
  <c r="S119" i="9"/>
  <c r="T119" i="9"/>
  <c r="U119" i="9"/>
  <c r="H102" i="9" l="1"/>
  <c r="K102" i="9" s="1"/>
  <c r="W87" i="9"/>
  <c r="U25" i="9"/>
  <c r="F89" i="9"/>
  <c r="T25" i="9"/>
  <c r="H86" i="9"/>
  <c r="K86" i="9" s="1"/>
  <c r="G76" i="9"/>
  <c r="F45" i="9"/>
  <c r="E45" i="9"/>
  <c r="S23" i="9"/>
  <c r="O72" i="9"/>
  <c r="O74" i="9" s="1"/>
  <c r="W30" i="9"/>
  <c r="W42" i="3"/>
  <c r="R72" i="9"/>
  <c r="R74" i="9" s="1"/>
  <c r="Q72" i="9"/>
  <c r="Q74" i="9" s="1"/>
  <c r="U23" i="9"/>
  <c r="G25" i="9"/>
  <c r="G26" i="9" s="1"/>
  <c r="V23" i="9"/>
  <c r="E76" i="9"/>
  <c r="T23" i="9"/>
  <c r="G23" i="9"/>
  <c r="R23" i="9"/>
  <c r="F66" i="9"/>
  <c r="F23" i="9"/>
  <c r="P72" i="9"/>
  <c r="P74" i="9" s="1"/>
  <c r="T72" i="9"/>
  <c r="H22" i="9"/>
  <c r="K22" i="9" s="1"/>
  <c r="H72" i="9"/>
  <c r="K72" i="9" s="1"/>
  <c r="S72" i="9"/>
  <c r="V25" i="9"/>
  <c r="U72" i="9"/>
  <c r="O25" i="9"/>
  <c r="O26" i="9" s="1"/>
  <c r="E66" i="9"/>
  <c r="G45" i="9"/>
  <c r="P23" i="9"/>
  <c r="E25" i="9"/>
  <c r="E26" i="9" s="1"/>
  <c r="Q23" i="9"/>
  <c r="S25" i="9"/>
  <c r="U87" i="9"/>
  <c r="H65" i="9"/>
  <c r="K65" i="9" s="1"/>
  <c r="G66" i="9"/>
  <c r="G89" i="9"/>
  <c r="F74" i="9"/>
  <c r="V87" i="9"/>
  <c r="I30" i="9" l="1"/>
  <c r="W35" i="9"/>
  <c r="W38" i="9" s="1"/>
  <c r="U74" i="9"/>
  <c r="U26" i="9"/>
  <c r="T74" i="9"/>
  <c r="T26" i="9"/>
  <c r="W89" i="9"/>
  <c r="S74" i="9"/>
  <c r="V26" i="9"/>
  <c r="S26" i="9"/>
  <c r="H74" i="9"/>
  <c r="K74" i="9" s="1"/>
  <c r="H23" i="9"/>
  <c r="K23" i="9" s="1"/>
  <c r="H25" i="9"/>
  <c r="K25" i="9" s="1"/>
  <c r="F76" i="9"/>
  <c r="W42" i="9" l="1"/>
  <c r="I35" i="9"/>
  <c r="I38" i="9" s="1"/>
  <c r="H26" i="9"/>
  <c r="K26" i="9" s="1"/>
  <c r="I42" i="9" l="1"/>
  <c r="I76" i="9"/>
  <c r="L76" i="9" s="1"/>
  <c r="W43" i="9"/>
  <c r="W45" i="9"/>
  <c r="W46" i="9" s="1"/>
  <c r="W66" i="9"/>
  <c r="V50" i="4"/>
  <c r="V47" i="4"/>
  <c r="V44" i="4"/>
  <c r="V43" i="4"/>
  <c r="V42" i="4"/>
  <c r="V41" i="4"/>
  <c r="V40" i="4"/>
  <c r="V39" i="4"/>
  <c r="V35" i="4"/>
  <c r="V34" i="4"/>
  <c r="V33" i="4"/>
  <c r="V31" i="4"/>
  <c r="V30" i="4"/>
  <c r="V29" i="4"/>
  <c r="V28" i="4"/>
  <c r="V27" i="4"/>
  <c r="V26" i="4"/>
  <c r="V70" i="9" s="1"/>
  <c r="V24" i="4"/>
  <c r="V18" i="4"/>
  <c r="V17" i="4"/>
  <c r="V16" i="4"/>
  <c r="V14" i="4"/>
  <c r="V11" i="4"/>
  <c r="V10" i="4"/>
  <c r="V8" i="4"/>
  <c r="H72" i="5"/>
  <c r="L42" i="9" l="1"/>
  <c r="I43" i="9"/>
  <c r="I66" i="9"/>
  <c r="I45" i="9"/>
  <c r="I46" i="9" s="1"/>
  <c r="V20" i="4"/>
  <c r="V71" i="9"/>
  <c r="V45" i="4"/>
  <c r="H74" i="5"/>
  <c r="V72" i="9" l="1"/>
  <c r="H76" i="5"/>
  <c r="V74" i="9" l="1"/>
  <c r="H77" i="5"/>
  <c r="I76" i="5" s="1"/>
  <c r="I77" i="5" s="1"/>
  <c r="J76" i="5" s="1"/>
  <c r="J77" i="5" s="1"/>
  <c r="U10" i="3" l="1"/>
  <c r="U16" i="3" s="1"/>
  <c r="T10" i="3"/>
  <c r="T16" i="3" s="1"/>
  <c r="S10" i="3"/>
  <c r="S16" i="3" s="1"/>
  <c r="R10" i="3"/>
  <c r="R16" i="3" s="1"/>
  <c r="Q10" i="3"/>
  <c r="Q16" i="3" s="1"/>
  <c r="P10" i="3"/>
  <c r="P16" i="3" s="1"/>
  <c r="O10" i="3"/>
  <c r="O16" i="3" s="1"/>
  <c r="G10" i="3"/>
  <c r="G16" i="3" s="1"/>
  <c r="F10" i="3"/>
  <c r="F16" i="3" s="1"/>
  <c r="E10" i="3"/>
  <c r="E16" i="3" s="1"/>
  <c r="H13" i="3"/>
  <c r="H12" i="3"/>
  <c r="G43" i="9" l="1"/>
  <c r="G46" i="9"/>
  <c r="E43" i="9"/>
  <c r="E46" i="9"/>
  <c r="F43" i="9"/>
  <c r="F46" i="9"/>
  <c r="H10" i="3"/>
  <c r="H16" i="3" s="1"/>
  <c r="V10" i="3"/>
  <c r="V16" i="3" s="1"/>
  <c r="V37" i="3" l="1"/>
  <c r="V6" i="3"/>
  <c r="V15" i="3" l="1"/>
  <c r="P74" i="5"/>
  <c r="M74" i="5"/>
  <c r="M77" i="5" s="1"/>
  <c r="O74" i="5"/>
  <c r="N74" i="5"/>
  <c r="S74" i="5"/>
  <c r="Q74" i="5"/>
  <c r="R74" i="5"/>
  <c r="H37" i="3"/>
  <c r="H6" i="3"/>
  <c r="K6" i="3" s="1"/>
  <c r="R37" i="3"/>
  <c r="G37" i="3"/>
  <c r="F37" i="3"/>
  <c r="E37" i="3"/>
  <c r="G6" i="3"/>
  <c r="F6" i="3"/>
  <c r="F15" i="3" s="1"/>
  <c r="E6" i="3"/>
  <c r="T37" i="3"/>
  <c r="S37" i="3"/>
  <c r="Q37" i="3"/>
  <c r="P37" i="3"/>
  <c r="O37" i="3"/>
  <c r="U37" i="3"/>
  <c r="V22" i="3" l="1"/>
  <c r="V20" i="3"/>
  <c r="V26" i="3"/>
  <c r="G15" i="3"/>
  <c r="G22" i="3" s="1"/>
  <c r="H15" i="3"/>
  <c r="K15" i="3" s="1"/>
  <c r="N76" i="5"/>
  <c r="N77" i="5" s="1"/>
  <c r="E15" i="3"/>
  <c r="F20" i="3"/>
  <c r="F26" i="3"/>
  <c r="F22" i="3"/>
  <c r="T6" i="3"/>
  <c r="S6" i="3"/>
  <c r="R6" i="3"/>
  <c r="Q6" i="3"/>
  <c r="Q15" i="3" s="1"/>
  <c r="Q22" i="3" s="1"/>
  <c r="Q28" i="3" s="1"/>
  <c r="P6" i="3"/>
  <c r="P15" i="3" s="1"/>
  <c r="O6" i="3"/>
  <c r="O15" i="3" s="1"/>
  <c r="O22" i="3" s="1"/>
  <c r="O23" i="3" s="1"/>
  <c r="U6" i="3"/>
  <c r="H22" i="3" l="1"/>
  <c r="K22" i="3" s="1"/>
  <c r="V28" i="3"/>
  <c r="V29" i="3" s="1"/>
  <c r="H20" i="3"/>
  <c r="V23" i="3"/>
  <c r="T15" i="3"/>
  <c r="T22" i="3" s="1"/>
  <c r="S15" i="3"/>
  <c r="S20" i="3" s="1"/>
  <c r="E20" i="3"/>
  <c r="G26" i="3"/>
  <c r="E26" i="3"/>
  <c r="H26" i="3"/>
  <c r="G23" i="3"/>
  <c r="G20" i="3"/>
  <c r="H28" i="3"/>
  <c r="K28" i="3" s="1"/>
  <c r="H23" i="3"/>
  <c r="O76" i="5"/>
  <c r="O77" i="5" s="1"/>
  <c r="P76" i="5" s="1"/>
  <c r="P77" i="5" s="1"/>
  <c r="E22" i="3"/>
  <c r="E28" i="3" s="1"/>
  <c r="R15" i="3"/>
  <c r="R22" i="3" s="1"/>
  <c r="G28" i="3"/>
  <c r="F23" i="3"/>
  <c r="F28" i="3"/>
  <c r="O20" i="3"/>
  <c r="O26" i="3"/>
  <c r="O28" i="3"/>
  <c r="O29" i="3" s="1"/>
  <c r="Q23" i="3"/>
  <c r="Q20" i="3"/>
  <c r="Q26" i="3"/>
  <c r="P22" i="3"/>
  <c r="P20" i="3"/>
  <c r="P26" i="3"/>
  <c r="U15" i="3"/>
  <c r="Q29" i="3"/>
  <c r="Q34" i="3"/>
  <c r="K54" i="4"/>
  <c r="S22" i="3" l="1"/>
  <c r="V34" i="3"/>
  <c r="V41" i="3" s="1"/>
  <c r="H29" i="3"/>
  <c r="S26" i="3"/>
  <c r="T20" i="3"/>
  <c r="T26" i="3"/>
  <c r="O34" i="3"/>
  <c r="O35" i="3" s="1"/>
  <c r="R26" i="3"/>
  <c r="G34" i="3"/>
  <c r="G41" i="3" s="1"/>
  <c r="H34" i="3"/>
  <c r="K34" i="3" s="1"/>
  <c r="Q76" i="5"/>
  <c r="Q77" i="5" s="1"/>
  <c r="R20" i="3"/>
  <c r="E23" i="3"/>
  <c r="E29" i="3"/>
  <c r="E34" i="3"/>
  <c r="R23" i="3"/>
  <c r="R28" i="3"/>
  <c r="G29" i="3"/>
  <c r="F29" i="3"/>
  <c r="F34" i="3"/>
  <c r="S23" i="3"/>
  <c r="S28" i="3"/>
  <c r="P23" i="3"/>
  <c r="P28" i="3"/>
  <c r="T23" i="3"/>
  <c r="T28" i="3"/>
  <c r="U26" i="3"/>
  <c r="U20" i="3"/>
  <c r="U22" i="3"/>
  <c r="Q35" i="3"/>
  <c r="Q41" i="3"/>
  <c r="V35" i="3" l="1"/>
  <c r="H35" i="3"/>
  <c r="O41" i="3"/>
  <c r="O30" i="9" s="1"/>
  <c r="O35" i="9" s="1"/>
  <c r="O38" i="9" s="1"/>
  <c r="V30" i="9"/>
  <c r="V35" i="9" s="1"/>
  <c r="V38" i="9" s="1"/>
  <c r="Q30" i="9"/>
  <c r="Q35" i="9" s="1"/>
  <c r="Q38" i="9" s="1"/>
  <c r="V42" i="3"/>
  <c r="G35" i="3"/>
  <c r="H41" i="3"/>
  <c r="K41" i="3" s="1"/>
  <c r="G42" i="3"/>
  <c r="R76" i="5"/>
  <c r="R77" i="5" s="1"/>
  <c r="E35" i="3"/>
  <c r="E41" i="3"/>
  <c r="E42" i="3" s="1"/>
  <c r="R34" i="3"/>
  <c r="R29" i="3"/>
  <c r="F35" i="3"/>
  <c r="F41" i="3"/>
  <c r="F42" i="3" s="1"/>
  <c r="S29" i="3"/>
  <c r="S34" i="3"/>
  <c r="P34" i="3"/>
  <c r="P29" i="3"/>
  <c r="U23" i="3"/>
  <c r="U28" i="3"/>
  <c r="T29" i="3"/>
  <c r="T34" i="3"/>
  <c r="Q42" i="3"/>
  <c r="Q42" i="9" l="1"/>
  <c r="V42" i="9"/>
  <c r="O42" i="9"/>
  <c r="O45" i="9" s="1"/>
  <c r="O46" i="9" s="1"/>
  <c r="O42" i="3"/>
  <c r="H42" i="3"/>
  <c r="Q43" i="9"/>
  <c r="S76" i="5"/>
  <c r="S77" i="5" s="1"/>
  <c r="R35" i="3"/>
  <c r="R41" i="3"/>
  <c r="S41" i="3"/>
  <c r="S35" i="3"/>
  <c r="P35" i="3"/>
  <c r="P41" i="3"/>
  <c r="U34" i="3"/>
  <c r="U29" i="3"/>
  <c r="T41" i="3"/>
  <c r="T35" i="3"/>
  <c r="F45" i="4"/>
  <c r="V66" i="9" l="1"/>
  <c r="Q66" i="9"/>
  <c r="Q45" i="9"/>
  <c r="Q46" i="9" s="1"/>
  <c r="O43" i="9"/>
  <c r="O66" i="9"/>
  <c r="S30" i="9"/>
  <c r="S35" i="9" s="1"/>
  <c r="S38" i="9" s="1"/>
  <c r="O80" i="9"/>
  <c r="O82" i="9" s="1"/>
  <c r="O89" i="9" s="1"/>
  <c r="R30" i="9"/>
  <c r="R35" i="9" s="1"/>
  <c r="R38" i="9" s="1"/>
  <c r="T30" i="9"/>
  <c r="T35" i="9" s="1"/>
  <c r="T38" i="9" s="1"/>
  <c r="P30" i="9"/>
  <c r="P35" i="9" s="1"/>
  <c r="P38" i="9" s="1"/>
  <c r="R42" i="3"/>
  <c r="P42" i="3"/>
  <c r="T42" i="3"/>
  <c r="S42" i="3"/>
  <c r="T76" i="5"/>
  <c r="T77" i="5" s="1"/>
  <c r="U41" i="3"/>
  <c r="U35" i="3"/>
  <c r="R36" i="4"/>
  <c r="T36" i="4"/>
  <c r="E45" i="4"/>
  <c r="G45" i="4"/>
  <c r="F36" i="4"/>
  <c r="E36" i="4"/>
  <c r="G36" i="4"/>
  <c r="F12" i="4"/>
  <c r="E12" i="4"/>
  <c r="G12" i="4"/>
  <c r="T12" i="4"/>
  <c r="S12" i="4"/>
  <c r="R12" i="4"/>
  <c r="Q12" i="4"/>
  <c r="P12" i="4"/>
  <c r="O12" i="4"/>
  <c r="S36" i="4"/>
  <c r="Q36" i="4"/>
  <c r="P36" i="4"/>
  <c r="O36" i="4"/>
  <c r="T45" i="4"/>
  <c r="S45" i="4"/>
  <c r="R45" i="4"/>
  <c r="Q45" i="4"/>
  <c r="P45" i="4"/>
  <c r="O45" i="4"/>
  <c r="U45" i="4"/>
  <c r="U36" i="4"/>
  <c r="U12" i="4"/>
  <c r="P42" i="9" l="1"/>
  <c r="S42" i="9"/>
  <c r="T42" i="9"/>
  <c r="R42" i="9"/>
  <c r="R43" i="9" s="1"/>
  <c r="V45" i="9"/>
  <c r="V46" i="9" s="1"/>
  <c r="V43" i="9"/>
  <c r="Q80" i="9"/>
  <c r="Q82" i="9" s="1"/>
  <c r="Q89" i="9" s="1"/>
  <c r="P43" i="9"/>
  <c r="U30" i="9"/>
  <c r="U35" i="9" s="1"/>
  <c r="U38" i="9" s="1"/>
  <c r="U42" i="9" s="1"/>
  <c r="U76" i="5"/>
  <c r="U77" i="5" s="1"/>
  <c r="U22" i="4"/>
  <c r="U42" i="3"/>
  <c r="O22" i="4"/>
  <c r="F56" i="4"/>
  <c r="E56" i="4"/>
  <c r="G56" i="4"/>
  <c r="E22" i="4"/>
  <c r="F22" i="4"/>
  <c r="G22" i="4"/>
  <c r="P22" i="4"/>
  <c r="Q22" i="4"/>
  <c r="S22" i="4"/>
  <c r="R56" i="4"/>
  <c r="R22" i="4"/>
  <c r="Q56" i="4"/>
  <c r="S56" i="4"/>
  <c r="O56" i="4"/>
  <c r="P56" i="4"/>
  <c r="T56" i="4"/>
  <c r="T22" i="4"/>
  <c r="V80" i="9" l="1"/>
  <c r="V82" i="9" s="1"/>
  <c r="V89" i="9" s="1"/>
  <c r="V76" i="5"/>
  <c r="V77" i="5" s="1"/>
  <c r="W76" i="5" s="1"/>
  <c r="W77" i="5" s="1"/>
  <c r="X76" i="5" s="1"/>
  <c r="X77" i="5" s="1"/>
  <c r="Y76" i="5" s="1"/>
  <c r="Y77" i="5" s="1"/>
  <c r="T66" i="9"/>
  <c r="T45" i="9"/>
  <c r="T46" i="9" s="1"/>
  <c r="P66" i="9"/>
  <c r="T43" i="9"/>
  <c r="P45" i="9"/>
  <c r="P46" i="9" s="1"/>
  <c r="S45" i="9"/>
  <c r="S46" i="9" s="1"/>
  <c r="R66" i="9"/>
  <c r="R45" i="9"/>
  <c r="R46" i="9" s="1"/>
  <c r="H30" i="9"/>
  <c r="H35" i="9" l="1"/>
  <c r="H38" i="9" s="1"/>
  <c r="Z76" i="5"/>
  <c r="Z77" i="5" s="1"/>
  <c r="AA76" i="5" s="1"/>
  <c r="AA77" i="5" s="1"/>
  <c r="AB76" i="5" s="1"/>
  <c r="AB77" i="5" s="1"/>
  <c r="AC76" i="5" s="1"/>
  <c r="AC77" i="5" s="1"/>
  <c r="T80" i="9"/>
  <c r="T82" i="9" s="1"/>
  <c r="P80" i="9"/>
  <c r="P82" i="9" s="1"/>
  <c r="P89" i="9" s="1"/>
  <c r="S43" i="9"/>
  <c r="S66" i="9"/>
  <c r="R80" i="9"/>
  <c r="R82" i="9" s="1"/>
  <c r="R89" i="9" s="1"/>
  <c r="S80" i="9"/>
  <c r="S82" i="9" s="1"/>
  <c r="V12" i="4"/>
  <c r="H12" i="4"/>
  <c r="K12" i="4" s="1"/>
  <c r="K20" i="4"/>
  <c r="H42" i="9" l="1"/>
  <c r="K42" i="9" s="1"/>
  <c r="H76" i="9"/>
  <c r="K76" i="9" s="1"/>
  <c r="T89" i="9"/>
  <c r="U43" i="9"/>
  <c r="U45" i="9"/>
  <c r="U66" i="9"/>
  <c r="H43" i="9"/>
  <c r="S89" i="9"/>
  <c r="V22" i="4"/>
  <c r="H22" i="4"/>
  <c r="K22" i="4" s="1"/>
  <c r="H66" i="9" l="1"/>
  <c r="H45" i="9"/>
  <c r="H46" i="9" s="1"/>
  <c r="H80" i="9"/>
  <c r="H82" i="9" s="1"/>
  <c r="K82" i="9" s="1"/>
  <c r="U46" i="9"/>
  <c r="U80" i="9"/>
  <c r="U82" i="9" s="1"/>
  <c r="K108" i="9"/>
  <c r="V36" i="4"/>
  <c r="U89" i="9" l="1"/>
  <c r="H89" i="9"/>
  <c r="K89" i="9" s="1"/>
  <c r="H36" i="4"/>
  <c r="K36" i="4" s="1"/>
  <c r="V56" i="4" l="1"/>
  <c r="H45" i="4"/>
  <c r="K45" i="4" s="1"/>
  <c r="H56" i="4" l="1"/>
  <c r="K56" i="4" s="1"/>
  <c r="U56" i="4" l="1"/>
</calcChain>
</file>

<file path=xl/sharedStrings.xml><?xml version="1.0" encoding="utf-8"?>
<sst xmlns="http://schemas.openxmlformats.org/spreadsheetml/2006/main" count="660" uniqueCount="423">
  <si>
    <t>Em milhares de R$</t>
  </si>
  <si>
    <t>1T21</t>
  </si>
  <si>
    <t>2T21</t>
  </si>
  <si>
    <t>CAPEX</t>
  </si>
  <si>
    <t>% receita líquida</t>
  </si>
  <si>
    <t>Dívida líquida</t>
  </si>
  <si>
    <t>ROIC Ajustado</t>
  </si>
  <si>
    <t>Demonstrações de Resultados</t>
  </si>
  <si>
    <t>Receita bruta de aluguel e serviços</t>
  </si>
  <si>
    <t>Receita bruta da venda de ativos</t>
  </si>
  <si>
    <t>PIS/COFINS</t>
  </si>
  <si>
    <t>ISS</t>
  </si>
  <si>
    <t>( − ) Custo dos serviços prestados</t>
  </si>
  <si>
    <t>( − ) Despesas operacionais</t>
  </si>
  <si>
    <t>Lucro Líquido</t>
  </si>
  <si>
    <t>Balanços Patrimoniais</t>
  </si>
  <si>
    <t>Caixa e equivalentes de caixa</t>
  </si>
  <si>
    <t>Contas a receber de clientes</t>
  </si>
  <si>
    <t>Estoques</t>
  </si>
  <si>
    <t>Tributos a recuperar</t>
  </si>
  <si>
    <t>Outros ativos</t>
  </si>
  <si>
    <t>Ativo circulante</t>
  </si>
  <si>
    <t xml:space="preserve">Imobilizado </t>
  </si>
  <si>
    <t>Intangível</t>
  </si>
  <si>
    <t>Ativo não circulante</t>
  </si>
  <si>
    <t>Total do ativo</t>
  </si>
  <si>
    <t>Fornecedores</t>
  </si>
  <si>
    <t>Empréstimos e financiamentos</t>
  </si>
  <si>
    <t>Arrendamento por direito de uso</t>
  </si>
  <si>
    <t>Obrigações sociais e trabalhistas</t>
  </si>
  <si>
    <t>Obrigações tributárias</t>
  </si>
  <si>
    <t>Dividendos a pagar</t>
  </si>
  <si>
    <t>Outras contas a pagar</t>
  </si>
  <si>
    <t>Passivo circulante</t>
  </si>
  <si>
    <t>Parcelamentos de tributos</t>
  </si>
  <si>
    <t>Tributos diferidos</t>
  </si>
  <si>
    <t>Outros passivos</t>
  </si>
  <si>
    <t>Passivo não circulante</t>
  </si>
  <si>
    <t>Reserva de lucros</t>
  </si>
  <si>
    <t>Patrimônio líquido</t>
  </si>
  <si>
    <t>Total do passivo e patrimônio líquido</t>
  </si>
  <si>
    <t>Demonstrações do Fluxo de Caixa</t>
  </si>
  <si>
    <t>Lucro antes do imposto de renda e da contribuição social</t>
  </si>
  <si>
    <t>Ajustado por</t>
  </si>
  <si>
    <t>Depreciação e amortização</t>
  </si>
  <si>
    <t>Custo na baixa de ativos desmobilizados</t>
  </si>
  <si>
    <t>Provisão de contas a pagar</t>
  </si>
  <si>
    <t>Outras movimentações</t>
  </si>
  <si>
    <t>Perda no recebimento de crédito</t>
  </si>
  <si>
    <t>Provisão de créditos de liquidação duvidosa</t>
  </si>
  <si>
    <t xml:space="preserve">Encargos sobre arrendamento direto de uso </t>
  </si>
  <si>
    <t>Juros sobre empréstimos e financiamentos</t>
  </si>
  <si>
    <t>Variações nos ativos e passivos</t>
  </si>
  <si>
    <t>Impostos a recuperar</t>
  </si>
  <si>
    <t>Obrigações trabalhistas e previdenciárias</t>
  </si>
  <si>
    <t>Juros sobre financiamentos</t>
  </si>
  <si>
    <t>Juros sobre arrendamento de direito de uso</t>
  </si>
  <si>
    <t>Juros sobre parcelamentos</t>
  </si>
  <si>
    <t>Aquisição de ativos imobilizados</t>
  </si>
  <si>
    <t>Recebimento pela venda de imobilizado</t>
  </si>
  <si>
    <t>Imposto de renda e contribuição social pagos no exercício</t>
  </si>
  <si>
    <t>Caixa líquido proveniente das atividades operacionais</t>
  </si>
  <si>
    <t>Fluxo de Caixa das Atividades de Investimento</t>
  </si>
  <si>
    <t>Aquisição de ativos intangíveis</t>
  </si>
  <si>
    <t>Caixa líquido aplicado nas atividades de investimento</t>
  </si>
  <si>
    <t>Fluxo de Caixa das Atividades de Financiamento</t>
  </si>
  <si>
    <t>Captação de empréstimos e financiamentos</t>
  </si>
  <si>
    <t>Captação de parcelamentos</t>
  </si>
  <si>
    <t>Aumento de capital</t>
  </si>
  <si>
    <t>Pagamento de empréstimos e financiamentos</t>
  </si>
  <si>
    <t>Pagamento de arrendamento de direito de uso</t>
  </si>
  <si>
    <t>Pagamento de parcelamentos</t>
  </si>
  <si>
    <t>Gasto na emissão de ações</t>
  </si>
  <si>
    <t>Caixa líquido gerado pelas atividades de financiamento</t>
  </si>
  <si>
    <t>Aumento líquido de caixa e equivalentes de caixa</t>
  </si>
  <si>
    <t>Caixa e equivalentes de caixa no início do exercício</t>
  </si>
  <si>
    <t>Caixa e equivalentes de caixa no fim do exercício</t>
  </si>
  <si>
    <t>Indicadores Financeiros</t>
  </si>
  <si>
    <t>Dívida Líquida</t>
  </si>
  <si>
    <t>Dívida bruta</t>
  </si>
  <si>
    <t>Imposto de renda corrente</t>
  </si>
  <si>
    <t>NOPAT</t>
  </si>
  <si>
    <t>Capital de giro</t>
  </si>
  <si>
    <t>Ativo imobilizado bruto / 2</t>
  </si>
  <si>
    <t>Capital investido</t>
  </si>
  <si>
    <t xml:space="preserve"> </t>
  </si>
  <si>
    <t>1T20</t>
  </si>
  <si>
    <t>2T20</t>
  </si>
  <si>
    <t>Caixa líq. das atividades operacionais</t>
  </si>
  <si>
    <t>Crédito de PIS/COFINS na aquis. de imob.</t>
  </si>
  <si>
    <t>Pgto. de arrendamento de direito de uso</t>
  </si>
  <si>
    <t>Receitas financeiras</t>
  </si>
  <si>
    <t>Despesas antecipadas do IPO</t>
  </si>
  <si>
    <t>Recebimento pela venda de imobilizado*</t>
  </si>
  <si>
    <t>* A partir do 2T21 o "Recebimento pela venda de imobilizado" passou a ser considerado como parte das atividades operacionais, não mais como parte das atividades de investimento</t>
  </si>
  <si>
    <t>3T20</t>
  </si>
  <si>
    <t>4T20</t>
  </si>
  <si>
    <t>3T21</t>
  </si>
  <si>
    <t>Partes Relacionadas</t>
  </si>
  <si>
    <t>Reserva de Capital</t>
  </si>
  <si>
    <t>Custo na baixa de ativos sinistrados e desmobilizados</t>
  </si>
  <si>
    <t>Aquisição de societária</t>
  </si>
  <si>
    <t>Resultado não recorrente</t>
  </si>
  <si>
    <t>Imposto de renda e cont. social</t>
  </si>
  <si>
    <t>Despesas financeiras</t>
  </si>
  <si>
    <t>AH YoY</t>
  </si>
  <si>
    <t>AH QoQ</t>
  </si>
  <si>
    <t>Insumos, peças e serviços de manutenção</t>
  </si>
  <si>
    <t>Combustível e custos de transporte</t>
  </si>
  <si>
    <t>Gratificação extraordinária</t>
  </si>
  <si>
    <t>Custos dos serviços prestados</t>
  </si>
  <si>
    <t>Despesas operacionais</t>
  </si>
  <si>
    <t>Despesas por Natureza</t>
  </si>
  <si>
    <t>FROTA DE LOCAÇÃO</t>
  </si>
  <si>
    <t>CAPEX Orgânico</t>
  </si>
  <si>
    <t>Aquisição de empresas</t>
  </si>
  <si>
    <t>CAPEX Total</t>
  </si>
  <si>
    <t>Receita operacional bruta</t>
  </si>
  <si>
    <t>( − ) Impostos sobre vendas</t>
  </si>
  <si>
    <t>Receita operacional líquida</t>
  </si>
  <si>
    <t>Lucro bruto</t>
  </si>
  <si>
    <t>Lucro operacional</t>
  </si>
  <si>
    <t>( + ) Receitas financeiras</t>
  </si>
  <si>
    <t>( − ) Depesas financeiras</t>
  </si>
  <si>
    <t>Lucro antes do IRCS</t>
  </si>
  <si>
    <t>( − ) Imposto de renda e contribuição social</t>
  </si>
  <si>
    <t>Diferido</t>
  </si>
  <si>
    <t>Corrente</t>
  </si>
  <si>
    <t>Lucro líquido</t>
  </si>
  <si>
    <t>Fluxo de Caixa Operacional Gerencial</t>
  </si>
  <si>
    <t>Efeito caixa de despesas não recorrentes</t>
  </si>
  <si>
    <t>Fluxo de caixa operacional gerencial</t>
  </si>
  <si>
    <t>Dívida financeira de curto prazo</t>
  </si>
  <si>
    <t>Dívida financeira de longo prazo</t>
  </si>
  <si>
    <t>Despesa com pessoal</t>
  </si>
  <si>
    <t>Despesa com assessores (*)</t>
  </si>
  <si>
    <t>Despesas administrativas e comerciais</t>
  </si>
  <si>
    <t>Provisão de crédito de liquidação duvidosa</t>
  </si>
  <si>
    <t>Outras receitas e despesas</t>
  </si>
  <si>
    <t>Depreciação</t>
  </si>
  <si>
    <t>Custo com pessoal</t>
  </si>
  <si>
    <t>Custo na venda de ativos</t>
  </si>
  <si>
    <t>Outros custos</t>
  </si>
  <si>
    <t>Valor de aquisição da frota de locação, final do período*</t>
  </si>
  <si>
    <t>Valor de aquisição da frota de locação, média do período*</t>
  </si>
  <si>
    <t>*Inclui implementos e crédito de PIS/COFINS advindo da compra de imobilizado</t>
  </si>
  <si>
    <t>4T21</t>
  </si>
  <si>
    <t>Contas a pagar por aquisição de empresas</t>
  </si>
  <si>
    <t>x</t>
  </si>
  <si>
    <t>ICMS</t>
  </si>
  <si>
    <t>Outras receitas não operacionais</t>
  </si>
  <si>
    <t>Capital social</t>
  </si>
  <si>
    <t>Partes relacionadas</t>
  </si>
  <si>
    <t>Assunção Caixa</t>
  </si>
  <si>
    <t>Resultado da venda de ativos</t>
  </si>
  <si>
    <t># Equipamentos</t>
  </si>
  <si>
    <t>CAPEX mensal</t>
  </si>
  <si>
    <t>Capex mensal total</t>
  </si>
  <si>
    <t>% receita líquida de locação</t>
  </si>
  <si>
    <t>Captação de Parcelamentos</t>
  </si>
  <si>
    <t>(*) Incluí a despesa de R$ 1.572 referente ao assessor financeiro na aquisição de controlada.</t>
  </si>
  <si>
    <t>1T22</t>
  </si>
  <si>
    <t>Juros sobre capital próprio a pagar</t>
  </si>
  <si>
    <t>Gastos com emissão de ações</t>
  </si>
  <si>
    <t>Desconto financeiro obtidos</t>
  </si>
  <si>
    <t>Aplicação Financeira</t>
  </si>
  <si>
    <t>Receita líquida de aluguel e serviços</t>
  </si>
  <si>
    <t>Income Statement</t>
  </si>
  <si>
    <t>In thousands of Brazilian reais (R$)</t>
  </si>
  <si>
    <t>Gross operating revenue</t>
  </si>
  <si>
    <t>Gross revenue from rental and services</t>
  </si>
  <si>
    <t>Gross revenue from sale of assets</t>
  </si>
  <si>
    <t>( − ) Sales tax</t>
  </si>
  <si>
    <t>Net operating revenue</t>
  </si>
  <si>
    <t>Net revenue from rental and services</t>
  </si>
  <si>
    <t>Net revenue from sale of assets</t>
  </si>
  <si>
    <t>( − ) Cost of services</t>
  </si>
  <si>
    <t>% net revenue</t>
  </si>
  <si>
    <t>Gross profit</t>
  </si>
  <si>
    <t>( − ) Operating expenses</t>
  </si>
  <si>
    <t>Operational Profit</t>
  </si>
  <si>
    <t>( + ) Financial income</t>
  </si>
  <si>
    <t>( − ) Financial expenses</t>
  </si>
  <si>
    <t>Profit before IRCS</t>
  </si>
  <si>
    <t>( − ) Income tax &amp; social contribution</t>
  </si>
  <si>
    <t xml:space="preserve">Deferred </t>
  </si>
  <si>
    <t xml:space="preserve">Current </t>
  </si>
  <si>
    <t>Net profit</t>
  </si>
  <si>
    <t>2T22</t>
  </si>
  <si>
    <t>Ações em tesouraria</t>
  </si>
  <si>
    <t>Balance Sheet</t>
  </si>
  <si>
    <t>Cash and cash equivalents</t>
  </si>
  <si>
    <t>Inventories</t>
  </si>
  <si>
    <t>Recoverable taxes</t>
  </si>
  <si>
    <t>Other assets</t>
  </si>
  <si>
    <t>Total current assets</t>
  </si>
  <si>
    <t>Net Property, plant and equipment</t>
  </si>
  <si>
    <t>Intangible</t>
  </si>
  <si>
    <t>Noncurrent assets</t>
  </si>
  <si>
    <t>Total Assets</t>
  </si>
  <si>
    <t>Accounts payable</t>
  </si>
  <si>
    <t>Borrowings and financing</t>
  </si>
  <si>
    <t>Lease payable for right of use</t>
  </si>
  <si>
    <t>Social and labor obligations</t>
  </si>
  <si>
    <t>Taxes payable</t>
  </si>
  <si>
    <t>Tax installments</t>
  </si>
  <si>
    <t>Dividends payable</t>
  </si>
  <si>
    <t>Interest on shareholders' equity payable</t>
  </si>
  <si>
    <t>Related Parties</t>
  </si>
  <si>
    <t>Accounts payable for M&amp;A´s</t>
  </si>
  <si>
    <t>Other payables</t>
  </si>
  <si>
    <t>Current liabilities</t>
  </si>
  <si>
    <t>Lease payables for right of use</t>
  </si>
  <si>
    <t>Taxes in instalments</t>
  </si>
  <si>
    <t>Deferred taxes</t>
  </si>
  <si>
    <t>Other noncurrent liabilities</t>
  </si>
  <si>
    <t>Noncurrent liabilities</t>
  </si>
  <si>
    <t>Capital and reserves</t>
  </si>
  <si>
    <t>Equity issuance expenditures</t>
  </si>
  <si>
    <t>Capital Reserve</t>
  </si>
  <si>
    <t>Earnings reserves</t>
  </si>
  <si>
    <t>Shareholder's equity</t>
  </si>
  <si>
    <t>Total liabilities and shareholders' equity</t>
  </si>
  <si>
    <t>Treasury shares</t>
  </si>
  <si>
    <t>Cash Flow Statement</t>
  </si>
  <si>
    <t>Profit before income tax and social contribution</t>
  </si>
  <si>
    <t>Adjusted by</t>
  </si>
  <si>
    <t>Depreciation and amortization</t>
  </si>
  <si>
    <t>Decommissioned assets' write-off costs</t>
  </si>
  <si>
    <t xml:space="preserve">
Provision of accounts payable</t>
  </si>
  <si>
    <t>Other changes</t>
  </si>
  <si>
    <t>Expected credit losses</t>
  </si>
  <si>
    <t>Provision for doubtful debts</t>
  </si>
  <si>
    <t>Monetary correction on accounts payable</t>
  </si>
  <si>
    <t>Financial discounts obtained</t>
  </si>
  <si>
    <t>Charges on leased right-of-use assets</t>
  </si>
  <si>
    <t>Interest on borrowings and financing</t>
  </si>
  <si>
    <t>Changes in assets and liabilities:</t>
  </si>
  <si>
    <t>Trade receivables</t>
  </si>
  <si>
    <t>Payroll and related taxes</t>
  </si>
  <si>
    <t>Other liabilities</t>
  </si>
  <si>
    <t>Interest on financing</t>
  </si>
  <si>
    <t>Interest on leased right-of-use assets</t>
  </si>
  <si>
    <t>Interest on taxes in instalments</t>
  </si>
  <si>
    <t>Purchase of property, plant and equipment</t>
  </si>
  <si>
    <t>Proceeds from the sale of property, plant and equipment*</t>
  </si>
  <si>
    <t>Income tax and social contribution paid in the year</t>
  </si>
  <si>
    <t>Net cash generated from operating activities</t>
  </si>
  <si>
    <t>Cash flow from investment activities</t>
  </si>
  <si>
    <t>Financial investments</t>
  </si>
  <si>
    <t>Purchase of intangible assets</t>
  </si>
  <si>
    <t>Corporate Acquisition</t>
  </si>
  <si>
    <t>Cash Assumption</t>
  </si>
  <si>
    <t>Net cash generated from investing activities</t>
  </si>
  <si>
    <t>Cash flow from financing activities</t>
  </si>
  <si>
    <t>Payment of tax installments</t>
  </si>
  <si>
    <t>Capital increase</t>
  </si>
  <si>
    <t>Repayment of borrowings and financing</t>
  </si>
  <si>
    <t>Payment of right-of-use leases</t>
  </si>
  <si>
    <t>Installment payments</t>
  </si>
  <si>
    <t>Share issuance costs</t>
  </si>
  <si>
    <t>Net cash provided by financing activities</t>
  </si>
  <si>
    <t>Net increase in cash and cash equivalents</t>
  </si>
  <si>
    <t>Cash and cash equivalents BoP</t>
  </si>
  <si>
    <t>Cash and cash equivalents EoP</t>
  </si>
  <si>
    <t>* Since 2Q21 the "Proceeds from the sale of property, plant and equipment" is considered to be part of the operational activities, not as part of investing activities</t>
  </si>
  <si>
    <t>Financial Indicators</t>
  </si>
  <si>
    <t>RENTAL FLEET</t>
  </si>
  <si>
    <t># Equipment</t>
  </si>
  <si>
    <t>Value of the rental fleet, average for the period*</t>
  </si>
  <si>
    <t>*Includes implements and PIS/COFINS credit arising from the purchase of fixed assets</t>
  </si>
  <si>
    <t>Acquisition of fixed assets</t>
  </si>
  <si>
    <t>Enterprise acquisition</t>
  </si>
  <si>
    <t xml:space="preserve">Total CAPEX </t>
  </si>
  <si>
    <t>Monthly TOTAL CAPEX</t>
  </si>
  <si>
    <t>Income tax and social contribution</t>
  </si>
  <si>
    <t>Financial expenses</t>
  </si>
  <si>
    <t>Financial income</t>
  </si>
  <si>
    <t>Depreciation and Amortization</t>
  </si>
  <si>
    <t>Result of the sale of assets</t>
  </si>
  <si>
    <t>Non-recurring result</t>
  </si>
  <si>
    <t xml:space="preserve">Managerial operating cash flow </t>
  </si>
  <si>
    <t>Net cash from operations activities</t>
  </si>
  <si>
    <t>PIS/COFINS credits generated on the purchase of fixed assets</t>
  </si>
  <si>
    <t>Collection of installments</t>
  </si>
  <si>
    <t xml:space="preserve">
Disbursements with non-financial debt of subsidiaries</t>
  </si>
  <si>
    <t>Net Debt</t>
  </si>
  <si>
    <t>Gross Debt</t>
  </si>
  <si>
    <t xml:space="preserve">Adjusted ROIC </t>
  </si>
  <si>
    <t>Working capital</t>
  </si>
  <si>
    <t>Gross fixed assets / 2</t>
  </si>
  <si>
    <t>Invested Capital</t>
  </si>
  <si>
    <t>Expenses by Nature</t>
  </si>
  <si>
    <t>Personnel expenses</t>
  </si>
  <si>
    <t>Supplies, parts and maintenance services</t>
  </si>
  <si>
    <t>Cost on sale or disposal of fixed assets</t>
  </si>
  <si>
    <t>Others</t>
  </si>
  <si>
    <t>Cost of Services</t>
  </si>
  <si>
    <t>Operational expenses</t>
  </si>
  <si>
    <t>(*) Includes the expense of R$1,572 referring to the financial advisor in the acquisition of the subsidiary.</t>
  </si>
  <si>
    <t>Bonificações em mercadorias</t>
  </si>
  <si>
    <t>Plano de pagamento baseado em ações</t>
  </si>
  <si>
    <t>Pgto. de dívidas não financeiras em M&amp;As</t>
  </si>
  <si>
    <t>EBITDA</t>
  </si>
  <si>
    <t>Dívida líquida / EBITDA (UDM)</t>
  </si>
  <si>
    <t>Accounts payable for M&amp;A's</t>
  </si>
  <si>
    <t>Share-based payment plan</t>
  </si>
  <si>
    <t xml:space="preserve">Organic CAPEX </t>
  </si>
  <si>
    <t xml:space="preserve">Organic Monthly CAPEX </t>
  </si>
  <si>
    <t>3T22</t>
  </si>
  <si>
    <t>1Q20</t>
  </si>
  <si>
    <t>2Q20</t>
  </si>
  <si>
    <t>3Q20</t>
  </si>
  <si>
    <t>4Q20</t>
  </si>
  <si>
    <t>1Q21</t>
  </si>
  <si>
    <t>2Q21</t>
  </si>
  <si>
    <t>3Q21</t>
  </si>
  <si>
    <t>4Q21</t>
  </si>
  <si>
    <t>1Q22</t>
  </si>
  <si>
    <t>2Q22</t>
  </si>
  <si>
    <t>3Q22</t>
  </si>
  <si>
    <t>AH 2022</t>
  </si>
  <si>
    <t>4Q22</t>
  </si>
  <si>
    <t>4T22</t>
  </si>
  <si>
    <t>Fornecedores convênio</t>
  </si>
  <si>
    <t>Bonus Goods</t>
  </si>
  <si>
    <t>Other operating expenses (income)</t>
  </si>
  <si>
    <t>Capital investido médio</t>
  </si>
  <si>
    <t>Average invested capital</t>
  </si>
  <si>
    <t>Other expenses (income), net</t>
  </si>
  <si>
    <t>Suppliers under agreement</t>
  </si>
  <si>
    <t>Accounts receivable</t>
  </si>
  <si>
    <t>Cost of disposal of damaged and decommissioned assets</t>
  </si>
  <si>
    <t>Other non operational income</t>
  </si>
  <si>
    <t>Outras despesas (receitas) operacionais</t>
  </si>
  <si>
    <t>Treasury stocks</t>
  </si>
  <si>
    <t>Value of rental fleet, end of period*</t>
  </si>
  <si>
    <t>% net revenue from rental and services</t>
  </si>
  <si>
    <t>Proceeds from sales of property, plant and equipment</t>
  </si>
  <si>
    <t>Prepaid IPO expenses</t>
  </si>
  <si>
    <t>Cash Effect from non-recurring expenses</t>
  </si>
  <si>
    <t>Short-term debt</t>
  </si>
  <si>
    <t>Long-term debt</t>
  </si>
  <si>
    <t>Shareholders' equity</t>
  </si>
  <si>
    <t>Current income tax</t>
  </si>
  <si>
    <t>Fuel and transportation costs</t>
  </si>
  <si>
    <t>Extraordinary bonus</t>
  </si>
  <si>
    <t>Expenses with advisors (*)</t>
  </si>
  <si>
    <t>Administrative and commercial expenses</t>
  </si>
  <si>
    <t>1Q23</t>
  </si>
  <si>
    <t>1T23</t>
  </si>
  <si>
    <t>Operações não-caixa de aquisição de Imobilizado</t>
  </si>
  <si>
    <t>Atualização monetária sobre contas a pagar</t>
  </si>
  <si>
    <t>Juros e ajuste a valor presente fornecedores convenio</t>
  </si>
  <si>
    <t>Provisão para riscos cíveis, tributários e trabalhistas</t>
  </si>
  <si>
    <t>Juros pagos fornecedores convenio</t>
  </si>
  <si>
    <t>Pagamento fornecedor convenio</t>
  </si>
  <si>
    <t>Juros pagos Fornecedores convenio</t>
  </si>
  <si>
    <t>-</t>
  </si>
  <si>
    <t>Payment of suppliers under agreement</t>
  </si>
  <si>
    <t>Interest on suppliers under agreement</t>
  </si>
  <si>
    <t>Accrued interest on suppliers under agreement</t>
  </si>
  <si>
    <t>Provision for civil, tax and labor risks</t>
  </si>
  <si>
    <t>Depósitos judiciais</t>
  </si>
  <si>
    <t>Court deposits</t>
  </si>
  <si>
    <t>2Q23</t>
  </si>
  <si>
    <t>2T23</t>
  </si>
  <si>
    <t>Produtividade</t>
  </si>
  <si>
    <t>Receita Bruta de Locação</t>
  </si>
  <si>
    <t>Non-cash operations of aqcquisition of fixed assets</t>
  </si>
  <si>
    <t>Rental and Services Gross Revenue</t>
  </si>
  <si>
    <t>Productivity</t>
  </si>
  <si>
    <t>3Q23</t>
  </si>
  <si>
    <t>3T23</t>
  </si>
  <si>
    <t>Aplicações Financeiras</t>
  </si>
  <si>
    <t>Financial Investments</t>
  </si>
  <si>
    <t>Accounts payable due to company acquisitions</t>
  </si>
  <si>
    <t>Locação de softwares</t>
  </si>
  <si>
    <t>Software rentals</t>
  </si>
  <si>
    <t>AH 2023</t>
  </si>
  <si>
    <t>4Q23</t>
  </si>
  <si>
    <t>4T23</t>
  </si>
  <si>
    <t>Receita líquida da venda de ativos</t>
  </si>
  <si>
    <t>Rendimento de aplicações financeiras</t>
  </si>
  <si>
    <t>Pagamento de dividendos e juros sobre capital</t>
  </si>
  <si>
    <t>Payment of dividends and interest on equity</t>
  </si>
  <si>
    <t>Caixa e aplicações financeiras</t>
  </si>
  <si>
    <t>ROE Contábil</t>
  </si>
  <si>
    <t>ROIC Contábil</t>
  </si>
  <si>
    <t>EBIT</t>
  </si>
  <si>
    <t>NOPAT Consolidado</t>
  </si>
  <si>
    <t>Patrimônio Líquido</t>
  </si>
  <si>
    <t>Capital empregado</t>
  </si>
  <si>
    <t>Capital empregado médio</t>
  </si>
  <si>
    <t>Ajuste de fornecedores máquina</t>
  </si>
  <si>
    <t>1Q24</t>
  </si>
  <si>
    <t>1T24</t>
  </si>
  <si>
    <t>Returns from financial investments</t>
  </si>
  <si>
    <t>Patrimônio líquido médio</t>
  </si>
  <si>
    <t>EBITDA Locação</t>
  </si>
  <si>
    <t>EBIT Locação</t>
  </si>
  <si>
    <t xml:space="preserve">Rental EBITDA </t>
  </si>
  <si>
    <t xml:space="preserve">Rental EBIT </t>
  </si>
  <si>
    <t xml:space="preserve">% Rental EBITDA </t>
  </si>
  <si>
    <t>% EBITDA Locação</t>
  </si>
  <si>
    <t>Net Debt / EBITDA LTM</t>
  </si>
  <si>
    <t>Rental EBIT</t>
  </si>
  <si>
    <t xml:space="preserve">Accounting ROIC </t>
  </si>
  <si>
    <t>Net income</t>
  </si>
  <si>
    <t>Accounting ROE</t>
  </si>
  <si>
    <t xml:space="preserve">Accounting ROE </t>
  </si>
  <si>
    <t>2Q24</t>
  </si>
  <si>
    <t>2T24</t>
  </si>
  <si>
    <t>3Q24</t>
  </si>
  <si>
    <t>3T24</t>
  </si>
  <si>
    <t>Opção de Compra</t>
  </si>
  <si>
    <t>Call Option</t>
  </si>
  <si>
    <t>Transações entre sócios</t>
  </si>
  <si>
    <t>Transactions between partners</t>
  </si>
  <si>
    <t>Participação dos não controladores</t>
  </si>
  <si>
    <t>Non-controlling interest</t>
  </si>
  <si>
    <t>EBITDA Ajustado</t>
  </si>
  <si>
    <t>Resultado de consórcios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</si>
</sst>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3" formatCode="_-* #,##0.00_-;\-* #,##0.00_-;_-* &quot;-&quot;??_-;_-@_-"/>
    <numFmt numFmtId="164" formatCode="#,##0_);\(#,##0\);&quot;- &quot;"/>
    <numFmt numFmtId="165" formatCode="0.0%"/>
    <numFmt numFmtId="166" formatCode="\+0.0\ &quot;p.p.&quot;;\-0.0\ &quot;p.p.&quot;;&quot;- &quot;"/>
    <numFmt numFmtId="167" formatCode="#,##0.00\x_);\(#,##0.00\x\);&quot;- &quot;"/>
    <numFmt numFmtId="168" formatCode="0.0%_);\(0.0%\);&quot;- &quot;"/>
    <numFmt numFmtId="169" formatCode="#,##0.0_);\(#,##0.0\);&quot;- &quot;"/>
    <numFmt numFmtId="170" formatCode="#,##0.0"/>
    <numFmt numFmtId="171" formatCode="0.00000%"/>
    <numFmt numFmtId="172" formatCode="0.00000000"/>
    <numFmt numFmtId="173" formatCode="#,##0.0000000000_);\(#,##0.0000000000\)"/>
  </numFmts>
  <fonts count="32" x14ac:knownFonts="1">
    <font>
      <sz val="11"/>
      <color theme="1"/>
      <name val="Calibri"/>
      <family val="2"/>
      <scheme val="minor"/>
    </font>
    <font>
      <b/>
      <sz val="11"/>
      <color theme="1"/>
      <name val="Calibri"/>
      <family val="2"/>
      <scheme val="minor"/>
    </font>
    <font>
      <b/>
      <sz val="16"/>
      <color rgb="FF002A9A"/>
      <name val="Calibri"/>
      <family val="2"/>
      <scheme val="minor"/>
    </font>
    <font>
      <i/>
      <sz val="8"/>
      <color rgb="FF002A9A"/>
      <name val="Verdana"/>
      <family val="2"/>
    </font>
    <font>
      <sz val="8"/>
      <color rgb="FF002A9A"/>
      <name val="Verdana"/>
      <family val="2"/>
    </font>
    <font>
      <b/>
      <sz val="8"/>
      <color theme="1" tint="0.249977111117893"/>
      <name val="Verdana"/>
      <family val="2"/>
    </font>
    <font>
      <sz val="8"/>
      <color theme="1" tint="0.249977111117893"/>
      <name val="Verdana"/>
      <family val="2"/>
    </font>
    <font>
      <sz val="10"/>
      <color theme="1" tint="0.249977111117893"/>
      <name val="Calibri"/>
      <family val="2"/>
      <scheme val="minor"/>
    </font>
    <font>
      <b/>
      <sz val="16"/>
      <color theme="0"/>
      <name val="Calibri"/>
      <family val="2"/>
      <scheme val="minor"/>
    </font>
    <font>
      <sz val="11"/>
      <color theme="1"/>
      <name val="Calibri"/>
      <family val="2"/>
      <scheme val="minor"/>
    </font>
    <font>
      <sz val="10"/>
      <name val="Arial"/>
      <family val="2"/>
    </font>
    <font>
      <i/>
      <sz val="8"/>
      <color theme="1" tint="0.249977111117893"/>
      <name val="Calibri"/>
      <family val="2"/>
      <scheme val="minor"/>
    </font>
    <font>
      <sz val="8"/>
      <name val="Calibri"/>
      <family val="2"/>
      <scheme val="minor"/>
    </font>
    <font>
      <b/>
      <sz val="8"/>
      <color rgb="FF002A9A"/>
      <name val="Verdana"/>
      <family val="2"/>
    </font>
    <font>
      <i/>
      <sz val="8"/>
      <color theme="1" tint="0.249977111117893"/>
      <name val="Verdana"/>
      <family val="2"/>
    </font>
    <font>
      <sz val="8"/>
      <color theme="1" tint="0.249977111117893"/>
      <name val="Calibri"/>
      <family val="2"/>
      <scheme val="minor"/>
    </font>
    <font>
      <b/>
      <sz val="8"/>
      <color theme="1"/>
      <name val="Verdana"/>
      <family val="2"/>
    </font>
    <font>
      <sz val="8"/>
      <color theme="1"/>
      <name val="Verdana"/>
      <family val="2"/>
    </font>
    <font>
      <sz val="14"/>
      <color theme="1"/>
      <name val="Verdana"/>
      <family val="2"/>
    </font>
    <font>
      <sz val="11"/>
      <color theme="1" tint="0.249977111117893"/>
      <name val="Calibri"/>
      <family val="2"/>
      <scheme val="minor"/>
    </font>
    <font>
      <b/>
      <sz val="11"/>
      <color theme="1" tint="0.249977111117893"/>
      <name val="Calibri"/>
      <family val="2"/>
      <scheme val="minor"/>
    </font>
    <font>
      <i/>
      <sz val="11"/>
      <color theme="1" tint="0.249977111117893"/>
      <name val="Calibri"/>
      <family val="2"/>
      <scheme val="minor"/>
    </font>
    <font>
      <b/>
      <sz val="8"/>
      <color theme="1" tint="0.249977111117893"/>
      <name val="Calibri"/>
      <family val="2"/>
      <scheme val="minor"/>
    </font>
    <font>
      <b/>
      <u/>
      <sz val="8"/>
      <color rgb="FF008000"/>
      <name val="Verdana"/>
      <family val="2"/>
    </font>
    <font>
      <sz val="8"/>
      <color rgb="FF008000"/>
      <name val="Verdana"/>
      <family val="2"/>
    </font>
    <font>
      <sz val="14"/>
      <color theme="1" tint="0.249977111117893"/>
      <name val="Verdana"/>
      <family val="2"/>
    </font>
    <font>
      <i/>
      <sz val="14"/>
      <color theme="1" tint="0.249977111117893"/>
      <name val="Verdana"/>
      <family val="2"/>
    </font>
    <font>
      <sz val="11"/>
      <color theme="1" tint="0.249977111117893"/>
      <name val="Verdana"/>
      <family val="2"/>
    </font>
    <font>
      <i/>
      <sz val="11"/>
      <color theme="1" tint="0.249977111117893"/>
      <name val="Verdana"/>
      <family val="2"/>
    </font>
    <font>
      <sz val="11"/>
      <color theme="1"/>
      <name val="Verdana"/>
      <family val="2"/>
    </font>
    <font>
      <i/>
      <sz val="9"/>
      <color rgb="FF002A9A"/>
      <name val="Verdana"/>
      <family val="2"/>
    </font>
    <font>
      <b/>
      <sz val="14"/>
      <color theme="1" tint="0.249977111117893"/>
      <name val="Verdana"/>
      <family val="2"/>
    </font>
  </fonts>
  <fills count="4">
    <fill>
      <patternFill patternType="none"/>
    </fill>
    <fill>
      <patternFill patternType="gray125"/>
    </fill>
    <fill>
      <patternFill patternType="solid">
        <fgColor theme="6" tint="0.79998168889431442"/>
        <bgColor indexed="64"/>
      </patternFill>
    </fill>
    <fill>
      <patternFill patternType="solid">
        <fgColor rgb="FF002A9A"/>
        <bgColor indexed="64"/>
      </patternFill>
    </fill>
  </fills>
  <borders count="7">
    <border>
      <left/>
      <right/>
      <top/>
      <bottom/>
      <diagonal/>
    </border>
    <border>
      <left/>
      <right/>
      <top/>
      <bottom style="thin">
        <color rgb="FF002A9A"/>
      </bottom>
      <diagonal/>
    </border>
    <border>
      <left/>
      <right style="dotted">
        <color theme="5"/>
      </right>
      <top/>
      <bottom/>
      <diagonal/>
    </border>
    <border>
      <left/>
      <right/>
      <top/>
      <bottom style="thin">
        <color theme="0" tint="-0.24994659260841701"/>
      </bottom>
      <diagonal/>
    </border>
    <border>
      <left/>
      <right/>
      <top/>
      <bottom style="hair">
        <color auto="1"/>
      </bottom>
      <diagonal/>
    </border>
    <border>
      <left/>
      <right style="dotted">
        <color rgb="FF008000"/>
      </right>
      <top/>
      <bottom/>
      <diagonal/>
    </border>
    <border>
      <left/>
      <right/>
      <top/>
      <bottom style="thin">
        <color theme="0" tint="-0.34998626667073579"/>
      </bottom>
      <diagonal/>
    </border>
  </borders>
  <cellStyleXfs count="6">
    <xf numFmtId="0" fontId="0" fillId="0" borderId="0"/>
    <xf numFmtId="43" fontId="9" fillId="0" borderId="0" applyFont="0" applyFill="0" applyBorder="0" applyAlignment="0" applyProtection="0"/>
    <xf numFmtId="43" fontId="9" fillId="0" borderId="0" applyFont="0" applyFill="0" applyBorder="0" applyAlignment="0" applyProtection="0"/>
    <xf numFmtId="0" fontId="10" fillId="0" borderId="0"/>
    <xf numFmtId="9" fontId="9" fillId="0" borderId="0" applyFont="0" applyFill="0" applyBorder="0" applyAlignment="0" applyProtection="0"/>
    <xf numFmtId="43" fontId="9" fillId="0" borderId="0" applyFont="0" applyFill="0" applyBorder="0" applyAlignment="0" applyProtection="0"/>
  </cellStyleXfs>
  <cellXfs count="120">
    <xf numFmtId="0" fontId="0" fillId="0" borderId="0" xfId="0"/>
    <xf numFmtId="0" fontId="2" fillId="0" borderId="0" xfId="0" applyFont="1"/>
    <xf numFmtId="0" fontId="3" fillId="0" borderId="1" xfId="0" applyFont="1" applyBorder="1" applyAlignment="1">
      <alignment vertical="center"/>
    </xf>
    <xf numFmtId="0" fontId="4" fillId="0" borderId="1" xfId="0" applyFont="1" applyBorder="1" applyAlignment="1">
      <alignment vertical="center"/>
    </xf>
    <xf numFmtId="0" fontId="0" fillId="0" borderId="2" xfId="0" applyBorder="1"/>
    <xf numFmtId="0" fontId="5" fillId="0" borderId="0" xfId="0" applyFont="1" applyAlignment="1">
      <alignment vertical="center"/>
    </xf>
    <xf numFmtId="0" fontId="1" fillId="0" borderId="0" xfId="0" applyFont="1"/>
    <xf numFmtId="0" fontId="6" fillId="0" borderId="0" xfId="0" applyFont="1" applyAlignment="1">
      <alignment vertical="center"/>
    </xf>
    <xf numFmtId="0" fontId="5" fillId="2" borderId="0" xfId="0" applyFont="1" applyFill="1" applyAlignment="1">
      <alignment vertical="center"/>
    </xf>
    <xf numFmtId="0" fontId="6" fillId="0" borderId="0" xfId="0" applyFont="1" applyAlignment="1">
      <alignment horizontal="right" vertical="center"/>
    </xf>
    <xf numFmtId="165" fontId="6" fillId="0" borderId="0" xfId="0" applyNumberFormat="1" applyFont="1" applyAlignment="1">
      <alignment horizontal="right" vertical="center"/>
    </xf>
    <xf numFmtId="0" fontId="6" fillId="0" borderId="3" xfId="0" applyFont="1" applyBorder="1" applyAlignment="1">
      <alignment vertical="center"/>
    </xf>
    <xf numFmtId="0" fontId="7" fillId="0" borderId="0" xfId="0" applyFont="1" applyAlignment="1">
      <alignment horizontal="left"/>
    </xf>
    <xf numFmtId="0" fontId="0" fillId="3" borderId="1" xfId="0" applyFill="1" applyBorder="1"/>
    <xf numFmtId="0" fontId="8" fillId="3" borderId="1" xfId="0" applyFont="1" applyFill="1" applyBorder="1" applyAlignment="1">
      <alignment vertical="center"/>
    </xf>
    <xf numFmtId="0" fontId="2" fillId="0" borderId="0" xfId="0" applyFont="1" applyAlignment="1">
      <alignment vertical="center"/>
    </xf>
    <xf numFmtId="0" fontId="11" fillId="0" borderId="0" xfId="0" applyFont="1" applyAlignment="1">
      <alignment horizontal="left"/>
    </xf>
    <xf numFmtId="0" fontId="6" fillId="0" borderId="0" xfId="0" applyFont="1" applyAlignment="1">
      <alignment horizontal="left" vertical="center"/>
    </xf>
    <xf numFmtId="0" fontId="13" fillId="0" borderId="1" xfId="0" applyFont="1" applyBorder="1" applyAlignment="1">
      <alignment vertical="center"/>
    </xf>
    <xf numFmtId="0" fontId="13" fillId="0" borderId="1" xfId="0" applyFont="1" applyBorder="1" applyAlignment="1">
      <alignment horizontal="right" vertical="center"/>
    </xf>
    <xf numFmtId="0" fontId="1" fillId="0" borderId="2" xfId="0" applyFont="1" applyBorder="1"/>
    <xf numFmtId="168" fontId="6" fillId="0" borderId="0" xfId="4" applyNumberFormat="1" applyFont="1" applyAlignment="1">
      <alignment horizontal="right" vertical="center"/>
    </xf>
    <xf numFmtId="0" fontId="16" fillId="0" borderId="2" xfId="0" applyFont="1" applyBorder="1"/>
    <xf numFmtId="0" fontId="16" fillId="0" borderId="0" xfId="0" applyFont="1"/>
    <xf numFmtId="0" fontId="17" fillId="0" borderId="0" xfId="0" applyFont="1"/>
    <xf numFmtId="0" fontId="17" fillId="0" borderId="2" xfId="0" applyFont="1" applyBorder="1"/>
    <xf numFmtId="0" fontId="6" fillId="2" borderId="0" xfId="0" applyFont="1" applyFill="1"/>
    <xf numFmtId="164" fontId="5" fillId="2" borderId="0" xfId="0" applyNumberFormat="1" applyFont="1" applyFill="1" applyAlignment="1">
      <alignment horizontal="right" vertical="center"/>
    </xf>
    <xf numFmtId="165" fontId="5" fillId="2" borderId="0" xfId="0" applyNumberFormat="1" applyFont="1" applyFill="1" applyAlignment="1">
      <alignment horizontal="right" vertical="center"/>
    </xf>
    <xf numFmtId="0" fontId="6" fillId="0" borderId="2" xfId="0" applyFont="1" applyBorder="1"/>
    <xf numFmtId="0" fontId="6" fillId="0" borderId="0" xfId="0" applyFont="1"/>
    <xf numFmtId="0" fontId="14" fillId="0" borderId="0" xfId="0" applyFont="1" applyAlignment="1">
      <alignment horizontal="left" indent="2"/>
    </xf>
    <xf numFmtId="0" fontId="14" fillId="0" borderId="0" xfId="0" applyFont="1"/>
    <xf numFmtId="165" fontId="14" fillId="0" borderId="0" xfId="0" applyNumberFormat="1" applyFont="1"/>
    <xf numFmtId="0" fontId="14" fillId="0" borderId="2" xfId="0" applyFont="1" applyBorder="1"/>
    <xf numFmtId="164" fontId="6" fillId="0" borderId="0" xfId="0" applyNumberFormat="1" applyFont="1" applyAlignment="1">
      <alignment horizontal="right" vertical="center"/>
    </xf>
    <xf numFmtId="165" fontId="5" fillId="0" borderId="0" xfId="0" applyNumberFormat="1" applyFont="1" applyAlignment="1">
      <alignment horizontal="right" vertical="center"/>
    </xf>
    <xf numFmtId="164" fontId="5" fillId="0" borderId="0" xfId="0" applyNumberFormat="1" applyFont="1" applyAlignment="1">
      <alignment horizontal="right" vertical="center"/>
    </xf>
    <xf numFmtId="0" fontId="18" fillId="0" borderId="0" xfId="0" applyFont="1"/>
    <xf numFmtId="0" fontId="19" fillId="0" borderId="0" xfId="0" applyFont="1"/>
    <xf numFmtId="9" fontId="6" fillId="0" borderId="0" xfId="0" applyNumberFormat="1" applyFont="1" applyAlignment="1">
      <alignment horizontal="right" vertical="center"/>
    </xf>
    <xf numFmtId="0" fontId="19" fillId="0" borderId="2" xfId="0" applyFont="1" applyBorder="1"/>
    <xf numFmtId="0" fontId="19" fillId="0" borderId="3" xfId="0" applyFont="1" applyBorder="1"/>
    <xf numFmtId="164" fontId="6" fillId="0" borderId="3" xfId="0" applyNumberFormat="1" applyFont="1" applyBorder="1" applyAlignment="1">
      <alignment horizontal="right" vertical="center"/>
    </xf>
    <xf numFmtId="9" fontId="6" fillId="0" borderId="3" xfId="0" applyNumberFormat="1" applyFont="1" applyBorder="1" applyAlignment="1">
      <alignment horizontal="right" vertical="center"/>
    </xf>
    <xf numFmtId="165" fontId="6" fillId="0" borderId="3" xfId="0" applyNumberFormat="1" applyFont="1" applyBorder="1" applyAlignment="1">
      <alignment horizontal="right" vertical="center"/>
    </xf>
    <xf numFmtId="0" fontId="15" fillId="0" borderId="0" xfId="0" applyFont="1"/>
    <xf numFmtId="0" fontId="19" fillId="2" borderId="0" xfId="0" applyFont="1" applyFill="1"/>
    <xf numFmtId="0" fontId="20" fillId="0" borderId="0" xfId="0" applyFont="1"/>
    <xf numFmtId="164" fontId="14" fillId="0" borderId="0" xfId="0" applyNumberFormat="1" applyFont="1" applyAlignment="1">
      <alignment horizontal="right" vertical="center"/>
    </xf>
    <xf numFmtId="0" fontId="14" fillId="0" borderId="0" xfId="0" applyFont="1" applyAlignment="1">
      <alignment vertical="center"/>
    </xf>
    <xf numFmtId="165" fontId="6" fillId="0" borderId="0" xfId="4" applyNumberFormat="1" applyFont="1" applyFill="1" applyBorder="1" applyAlignment="1">
      <alignment horizontal="right" vertical="center"/>
    </xf>
    <xf numFmtId="164" fontId="14" fillId="0" borderId="0" xfId="0" applyNumberFormat="1" applyFont="1"/>
    <xf numFmtId="0" fontId="6" fillId="0" borderId="4" xfId="0" applyFont="1" applyBorder="1"/>
    <xf numFmtId="164" fontId="5" fillId="0" borderId="4" xfId="0" applyNumberFormat="1" applyFont="1" applyBorder="1" applyAlignment="1">
      <alignment horizontal="right" vertical="center"/>
    </xf>
    <xf numFmtId="0" fontId="5" fillId="0" borderId="4" xfId="0" applyFont="1" applyBorder="1" applyAlignment="1">
      <alignment vertical="center"/>
    </xf>
    <xf numFmtId="0" fontId="5" fillId="0" borderId="4" xfId="0" applyFont="1" applyBorder="1"/>
    <xf numFmtId="0" fontId="23" fillId="0" borderId="0" xfId="0" applyFont="1" applyAlignment="1">
      <alignment vertical="center"/>
    </xf>
    <xf numFmtId="0" fontId="1" fillId="0" borderId="5" xfId="0" applyFont="1" applyBorder="1"/>
    <xf numFmtId="0" fontId="0" fillId="0" borderId="5" xfId="0" applyBorder="1"/>
    <xf numFmtId="0" fontId="19" fillId="0" borderId="5" xfId="0" applyFont="1" applyBorder="1"/>
    <xf numFmtId="165" fontId="19" fillId="0" borderId="0" xfId="0" applyNumberFormat="1" applyFont="1"/>
    <xf numFmtId="164" fontId="19" fillId="0" borderId="0" xfId="0" applyNumberFormat="1" applyFont="1"/>
    <xf numFmtId="0" fontId="24" fillId="0" borderId="0" xfId="0" applyFont="1" applyAlignment="1">
      <alignment horizontal="center"/>
    </xf>
    <xf numFmtId="0" fontId="6" fillId="0" borderId="3" xfId="0" applyFont="1" applyBorder="1" applyAlignment="1">
      <alignment vertical="center" wrapText="1"/>
    </xf>
    <xf numFmtId="169" fontId="6" fillId="0" borderId="0" xfId="0" applyNumberFormat="1" applyFont="1" applyAlignment="1">
      <alignment horizontal="right" vertical="center"/>
    </xf>
    <xf numFmtId="165" fontId="14" fillId="0" borderId="0" xfId="0" applyNumberFormat="1" applyFont="1" applyAlignment="1">
      <alignment horizontal="right" vertical="center"/>
    </xf>
    <xf numFmtId="0" fontId="14" fillId="0" borderId="0" xfId="0" applyFont="1" applyAlignment="1">
      <alignment horizontal="left" vertical="center" indent="1"/>
    </xf>
    <xf numFmtId="0" fontId="21" fillId="0" borderId="0" xfId="0" applyFont="1"/>
    <xf numFmtId="0" fontId="21" fillId="0" borderId="5" xfId="0" applyFont="1" applyBorder="1"/>
    <xf numFmtId="0" fontId="11" fillId="0" borderId="0" xfId="0" applyFont="1"/>
    <xf numFmtId="0" fontId="20" fillId="0" borderId="5" xfId="0" applyFont="1" applyBorder="1"/>
    <xf numFmtId="0" fontId="22" fillId="0" borderId="0" xfId="0" applyFont="1"/>
    <xf numFmtId="0" fontId="13" fillId="0" borderId="0" xfId="0" applyFont="1" applyAlignment="1">
      <alignment horizontal="right" vertical="center"/>
    </xf>
    <xf numFmtId="0" fontId="13" fillId="0" borderId="0" xfId="0" applyFont="1" applyAlignment="1">
      <alignment vertical="center"/>
    </xf>
    <xf numFmtId="0" fontId="4" fillId="0" borderId="0" xfId="0" applyFont="1" applyAlignment="1">
      <alignment vertical="center"/>
    </xf>
    <xf numFmtId="0" fontId="3" fillId="0" borderId="0" xfId="0" applyFont="1" applyAlignment="1">
      <alignment vertical="center"/>
    </xf>
    <xf numFmtId="0" fontId="8" fillId="3" borderId="0" xfId="0" applyFont="1" applyFill="1" applyAlignment="1">
      <alignment vertical="center"/>
    </xf>
    <xf numFmtId="4" fontId="6" fillId="0" borderId="0" xfId="4" applyNumberFormat="1" applyFont="1" applyFill="1" applyBorder="1" applyAlignment="1">
      <alignment horizontal="right" vertical="center"/>
    </xf>
    <xf numFmtId="0" fontId="0" fillId="3" borderId="0" xfId="0" applyFill="1"/>
    <xf numFmtId="0" fontId="6" fillId="0" borderId="6" xfId="0" applyFont="1" applyBorder="1" applyAlignment="1">
      <alignment vertical="center"/>
    </xf>
    <xf numFmtId="0" fontId="25" fillId="0" borderId="0" xfId="0" applyFont="1"/>
    <xf numFmtId="0" fontId="6" fillId="0" borderId="0" xfId="0" applyFont="1" applyAlignment="1">
      <alignment horizontal="center"/>
    </xf>
    <xf numFmtId="165" fontId="5" fillId="0" borderId="0" xfId="4" applyNumberFormat="1" applyFont="1" applyAlignment="1">
      <alignment horizontal="right" vertical="center"/>
    </xf>
    <xf numFmtId="166" fontId="5" fillId="0" borderId="0" xfId="0" applyNumberFormat="1" applyFont="1" applyAlignment="1">
      <alignment horizontal="right" vertical="center"/>
    </xf>
    <xf numFmtId="4" fontId="19" fillId="0" borderId="0" xfId="0" applyNumberFormat="1" applyFont="1"/>
    <xf numFmtId="0" fontId="19" fillId="0" borderId="6" xfId="0" applyFont="1" applyBorder="1"/>
    <xf numFmtId="164" fontId="6" fillId="0" borderId="6" xfId="0" applyNumberFormat="1" applyFont="1" applyBorder="1" applyAlignment="1">
      <alignment horizontal="right" vertical="center"/>
    </xf>
    <xf numFmtId="165" fontId="6" fillId="0" borderId="6" xfId="0" applyNumberFormat="1" applyFont="1" applyBorder="1" applyAlignment="1">
      <alignment horizontal="right" vertical="center"/>
    </xf>
    <xf numFmtId="167" fontId="6" fillId="0" borderId="0" xfId="0" applyNumberFormat="1" applyFont="1" applyAlignment="1">
      <alignment horizontal="right" vertical="center"/>
    </xf>
    <xf numFmtId="4" fontId="6" fillId="0" borderId="0" xfId="0" applyNumberFormat="1" applyFont="1" applyAlignment="1">
      <alignment horizontal="right" vertical="center"/>
    </xf>
    <xf numFmtId="0" fontId="26" fillId="0" borderId="0" xfId="0" applyFont="1"/>
    <xf numFmtId="0" fontId="27" fillId="0" borderId="0" xfId="0" applyFont="1"/>
    <xf numFmtId="0" fontId="28" fillId="0" borderId="0" xfId="0" applyFont="1"/>
    <xf numFmtId="164" fontId="15" fillId="0" borderId="0" xfId="0" applyNumberFormat="1" applyFont="1" applyAlignment="1">
      <alignment horizontal="right" vertical="center"/>
    </xf>
    <xf numFmtId="3" fontId="19" fillId="0" borderId="0" xfId="0" applyNumberFormat="1" applyFont="1"/>
    <xf numFmtId="0" fontId="20" fillId="2" borderId="0" xfId="0" applyFont="1" applyFill="1"/>
    <xf numFmtId="9" fontId="0" fillId="0" borderId="0" xfId="0" applyNumberFormat="1"/>
    <xf numFmtId="0" fontId="14" fillId="0" borderId="0" xfId="0" applyFont="1" applyAlignment="1">
      <alignment vertical="center" wrapText="1"/>
    </xf>
    <xf numFmtId="165" fontId="6" fillId="0" borderId="0" xfId="4" applyNumberFormat="1" applyFont="1" applyAlignment="1">
      <alignment horizontal="right" vertical="center"/>
    </xf>
    <xf numFmtId="164" fontId="0" fillId="0" borderId="0" xfId="0" applyNumberFormat="1"/>
    <xf numFmtId="164" fontId="10" fillId="0" borderId="0" xfId="5" applyNumberFormat="1" applyFont="1" applyFill="1" applyAlignment="1">
      <alignment horizontal="right"/>
    </xf>
    <xf numFmtId="3" fontId="6" fillId="0" borderId="0" xfId="4" applyNumberFormat="1" applyFont="1" applyFill="1" applyBorder="1" applyAlignment="1">
      <alignment horizontal="right" vertical="center"/>
    </xf>
    <xf numFmtId="165" fontId="5" fillId="0" borderId="0" xfId="4" applyNumberFormat="1" applyFont="1" applyFill="1" applyBorder="1" applyAlignment="1">
      <alignment horizontal="right" vertical="center"/>
    </xf>
    <xf numFmtId="9" fontId="19" fillId="0" borderId="0" xfId="0" applyNumberFormat="1" applyFont="1"/>
    <xf numFmtId="9" fontId="19" fillId="2" borderId="0" xfId="0" applyNumberFormat="1" applyFont="1" applyFill="1"/>
    <xf numFmtId="170" fontId="19" fillId="0" borderId="0" xfId="0" applyNumberFormat="1" applyFont="1"/>
    <xf numFmtId="170" fontId="6" fillId="0" borderId="0" xfId="0" applyNumberFormat="1" applyFont="1"/>
    <xf numFmtId="165" fontId="6" fillId="0" borderId="0" xfId="0" applyNumberFormat="1" applyFont="1"/>
    <xf numFmtId="171" fontId="0" fillId="0" borderId="0" xfId="0" applyNumberFormat="1"/>
    <xf numFmtId="4" fontId="0" fillId="0" borderId="0" xfId="0" applyNumberFormat="1"/>
    <xf numFmtId="0" fontId="29" fillId="0" borderId="0" xfId="0" applyFont="1"/>
    <xf numFmtId="0" fontId="30" fillId="0" borderId="1" xfId="0" applyFont="1" applyBorder="1" applyAlignment="1">
      <alignment vertical="center"/>
    </xf>
    <xf numFmtId="172" fontId="19" fillId="0" borderId="0" xfId="0" applyNumberFormat="1" applyFont="1"/>
    <xf numFmtId="3" fontId="6" fillId="0" borderId="0" xfId="4" applyNumberFormat="1" applyFont="1" applyFill="1" applyBorder="1" applyAlignment="1">
      <alignment horizontal="center" vertical="center"/>
    </xf>
    <xf numFmtId="0" fontId="31" fillId="0" borderId="0" xfId="0" applyFont="1"/>
    <xf numFmtId="9" fontId="6" fillId="0" borderId="0" xfId="4" applyFont="1" applyFill="1" applyBorder="1" applyAlignment="1">
      <alignment horizontal="center" vertical="center"/>
    </xf>
    <xf numFmtId="9" fontId="27" fillId="0" borderId="0" xfId="0" applyNumberFormat="1" applyFont="1"/>
    <xf numFmtId="170" fontId="6" fillId="0" borderId="0" xfId="4" applyNumberFormat="1" applyFont="1" applyFill="1" applyBorder="1" applyAlignment="1">
      <alignment horizontal="center" vertical="center"/>
    </xf>
    <xf numFmtId="173" fontId="14" fillId="0" borderId="0" xfId="0" applyNumberFormat="1" applyFont="1"/>
  </cellXfs>
  <cellStyles count="6">
    <cellStyle name="Comma 2" xfId="2" xr:uid="{E5FDF58C-6B8A-408B-833E-FA43F4387B5E}"/>
    <cellStyle name="Normal" xfId="0" builtinId="0"/>
    <cellStyle name="Normal 2 2" xfId="3" xr:uid="{0A38BDEA-88FD-44D5-92D4-83A289416339}"/>
    <cellStyle name="Porcentagem" xfId="4" builtinId="5"/>
    <cellStyle name="Vírgula" xfId="5" builtinId="3"/>
    <cellStyle name="Vírgula 4" xfId="1" xr:uid="{E0F1BF20-526D-4676-83A6-3E28E746F42E}"/>
  </cellStyles>
  <dxfs count="0"/>
  <tableStyles count="0" defaultTableStyle="TableStyleMedium2" defaultPivotStyle="PivotStyleLight16"/>
  <colors>
    <mruColors>
      <color rgb="FFEBF3FB"/>
      <color rgb="FFF5F9FD"/>
      <color rgb="FF008000"/>
      <color rgb="FF002A9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_rels/drawing3.xml.rels><?xml version="1.0" encoding="UTF-8" standalone="yes"?>
<Relationships xmlns="http://schemas.openxmlformats.org/package/2006/relationships"><Relationship Id="rId1" Type="http://schemas.openxmlformats.org/officeDocument/2006/relationships/image" Target="../media/image2.emf"/></Relationships>
</file>

<file path=xl/drawings/_rels/drawing4.xml.rels><?xml version="1.0" encoding="UTF-8" standalone="yes"?>
<Relationships xmlns="http://schemas.openxmlformats.org/package/2006/relationships"><Relationship Id="rId1" Type="http://schemas.openxmlformats.org/officeDocument/2006/relationships/image" Target="../media/image2.emf"/></Relationships>
</file>

<file path=xl/drawings/_rels/drawing5.x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0</xdr:colOff>
      <xdr:row>24</xdr:row>
      <xdr:rowOff>190500</xdr:rowOff>
    </xdr:to>
    <xdr:pic>
      <xdr:nvPicPr>
        <xdr:cNvPr id="8" name="Picture 7">
          <a:extLst>
            <a:ext uri="{FF2B5EF4-FFF2-40B4-BE49-F238E27FC236}">
              <a16:creationId xmlns:a16="http://schemas.microsoft.com/office/drawing/2014/main" id="{3B233688-C319-4368-BF95-77F92DC636E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763000" cy="4837043"/>
        </a:xfrm>
        <a:prstGeom prst="rect">
          <a:avLst/>
        </a:prstGeom>
      </xdr:spPr>
    </xdr:pic>
    <xdr:clientData/>
  </xdr:twoCellAnchor>
  <xdr:twoCellAnchor editAs="oneCell">
    <xdr:from>
      <xdr:col>12</xdr:col>
      <xdr:colOff>345682</xdr:colOff>
      <xdr:row>2</xdr:row>
      <xdr:rowOff>182218</xdr:rowOff>
    </xdr:from>
    <xdr:to>
      <xdr:col>14</xdr:col>
      <xdr:colOff>153281</xdr:colOff>
      <xdr:row>4</xdr:row>
      <xdr:rowOff>39155</xdr:rowOff>
    </xdr:to>
    <xdr:pic>
      <xdr:nvPicPr>
        <xdr:cNvPr id="23" name="Imagem 5">
          <a:extLst>
            <a:ext uri="{FF2B5EF4-FFF2-40B4-BE49-F238E27FC236}">
              <a16:creationId xmlns:a16="http://schemas.microsoft.com/office/drawing/2014/main" id="{58B319E0-AD94-44A7-94E9-E95190436DBC}"/>
            </a:ext>
          </a:extLst>
        </xdr:cNvPr>
        <xdr:cNvPicPr>
          <a:picLocks noChangeAspect="1"/>
        </xdr:cNvPicPr>
      </xdr:nvPicPr>
      <xdr:blipFill>
        <a:blip xmlns:r="http://schemas.openxmlformats.org/officeDocument/2006/relationships" r:embed="rId2"/>
        <a:stretch>
          <a:fillRect/>
        </a:stretch>
      </xdr:blipFill>
      <xdr:spPr>
        <a:xfrm>
          <a:off x="7269943" y="563218"/>
          <a:ext cx="1033425" cy="237937"/>
        </a:xfrm>
        <a:prstGeom prst="rect">
          <a:avLst/>
        </a:prstGeom>
      </xdr:spPr>
    </xdr:pic>
    <xdr:clientData/>
  </xdr:twoCellAnchor>
  <xdr:twoCellAnchor>
    <xdr:from>
      <xdr:col>0</xdr:col>
      <xdr:colOff>119366</xdr:colOff>
      <xdr:row>0</xdr:row>
      <xdr:rowOff>95980</xdr:rowOff>
    </xdr:from>
    <xdr:to>
      <xdr:col>13</xdr:col>
      <xdr:colOff>469431</xdr:colOff>
      <xdr:row>14</xdr:row>
      <xdr:rowOff>28746</xdr:rowOff>
    </xdr:to>
    <xdr:sp macro="" textlink="">
      <xdr:nvSpPr>
        <xdr:cNvPr id="6" name="Title 1">
          <a:extLst>
            <a:ext uri="{FF2B5EF4-FFF2-40B4-BE49-F238E27FC236}">
              <a16:creationId xmlns:a16="http://schemas.microsoft.com/office/drawing/2014/main" id="{DE3381C2-1B84-4DC4-8A3A-B4263A1B6BAE}"/>
            </a:ext>
          </a:extLst>
        </xdr:cNvPr>
        <xdr:cNvSpPr>
          <a:spLocks noGrp="1"/>
        </xdr:cNvSpPr>
      </xdr:nvSpPr>
      <xdr:spPr>
        <a:xfrm>
          <a:off x="119366" y="95980"/>
          <a:ext cx="7887239" cy="2674309"/>
        </a:xfrm>
        <a:prstGeom prst="rect">
          <a:avLst/>
        </a:prstGeom>
      </xdr:spPr>
      <xdr:txBody>
        <a:bodyPr wrap="square" anchor="ctr">
          <a:noAutofit/>
        </a:bodyPr>
        <a:lstStyle>
          <a:lvl1pPr algn="l" defTabSz="914400" rtl="0" eaLnBrk="1" latinLnBrk="0" hangingPunct="1">
            <a:lnSpc>
              <a:spcPct val="90000"/>
            </a:lnSpc>
            <a:spcBef>
              <a:spcPct val="0"/>
            </a:spcBef>
            <a:buNone/>
            <a:defRPr sz="4400" b="1" i="0" kern="1200" baseline="0">
              <a:solidFill>
                <a:srgbClr val="EEE8E0"/>
              </a:solidFill>
              <a:latin typeface="Verdana" panose="020B0604030504040204" pitchFamily="34" charset="0"/>
              <a:ea typeface="Verdana" panose="020B0604030504040204" pitchFamily="34" charset="0"/>
              <a:cs typeface="Verdana" panose="020B0604030504040204" pitchFamily="34" charset="0"/>
            </a:defRPr>
          </a:lvl1pPr>
        </a:lstStyle>
        <a:p>
          <a:pPr>
            <a:lnSpc>
              <a:spcPts val="6300"/>
            </a:lnSpc>
            <a:spcAft>
              <a:spcPts val="2400"/>
            </a:spcAft>
          </a:pPr>
          <a:r>
            <a:rPr lang="pt-BR" sz="3600">
              <a:latin typeface="Axiforma ExtraBold" panose="00000900000000000000" pitchFamily="50" charset="0"/>
            </a:rPr>
            <a:t>Planilha</a:t>
          </a:r>
          <a:r>
            <a:rPr lang="pt-BR" sz="3600" baseline="0">
              <a:latin typeface="Axiforma ExtraBold" panose="00000900000000000000" pitchFamily="50" charset="0"/>
            </a:rPr>
            <a:t> de </a:t>
          </a:r>
          <a:r>
            <a:rPr lang="pt-BR" sz="3600">
              <a:latin typeface="Axiforma ExtraBold" panose="00000900000000000000" pitchFamily="50" charset="0"/>
            </a:rPr>
            <a:t>Resultados</a:t>
          </a:r>
        </a:p>
        <a:p>
          <a:pPr>
            <a:lnSpc>
              <a:spcPts val="6300"/>
            </a:lnSpc>
            <a:spcAft>
              <a:spcPts val="2400"/>
            </a:spcAft>
          </a:pPr>
          <a:r>
            <a:rPr lang="pt-BR" sz="3600" b="1" i="0" kern="1200" baseline="0">
              <a:solidFill>
                <a:srgbClr val="EEE8E0"/>
              </a:solidFill>
              <a:effectLst/>
              <a:latin typeface="Axiforma ExtraBold" panose="00000900000000000000" pitchFamily="50" charset="0"/>
              <a:ea typeface="Verdana" panose="020B0604030504040204" pitchFamily="34" charset="0"/>
              <a:cs typeface="Verdana" panose="020B0604030504040204" pitchFamily="34" charset="0"/>
            </a:rPr>
            <a:t>Results Spreadsheet</a:t>
          </a:r>
          <a:br>
            <a:rPr lang="pt-BR" sz="4800">
              <a:latin typeface="Axiforma" panose="00000500000000000000" pitchFamily="50" charset="0"/>
            </a:rPr>
          </a:br>
          <a:r>
            <a:rPr lang="pt-BR" sz="3600">
              <a:solidFill>
                <a:srgbClr val="C4E90D"/>
              </a:solidFill>
              <a:latin typeface="Axiforma ExtraBold" panose="00000900000000000000" pitchFamily="50" charset="0"/>
            </a:rPr>
            <a:t>3T/3Q 2024</a:t>
          </a:r>
          <a:endParaRPr lang="pt-BR" sz="4000" b="0">
            <a:solidFill>
              <a:srgbClr val="C4E90D"/>
            </a:solidFill>
            <a:latin typeface="Axiforma ExtraBold" panose="00000900000000000000" pitchFamily="50" charset="0"/>
          </a:endParaRPr>
        </a:p>
      </xdr:txBody>
    </xdr:sp>
    <xdr:clientData/>
  </xdr:twoCellAnchor>
  <xdr:twoCellAnchor>
    <xdr:from>
      <xdr:col>0</xdr:col>
      <xdr:colOff>0</xdr:colOff>
      <xdr:row>14</xdr:row>
      <xdr:rowOff>41413</xdr:rowOff>
    </xdr:from>
    <xdr:to>
      <xdr:col>7</xdr:col>
      <xdr:colOff>563217</xdr:colOff>
      <xdr:row>24</xdr:row>
      <xdr:rowOff>82826</xdr:rowOff>
    </xdr:to>
    <xdr:sp macro="" textlink="">
      <xdr:nvSpPr>
        <xdr:cNvPr id="7" name="Retângulo 2">
          <a:extLst>
            <a:ext uri="{FF2B5EF4-FFF2-40B4-BE49-F238E27FC236}">
              <a16:creationId xmlns:a16="http://schemas.microsoft.com/office/drawing/2014/main" id="{9A4AFDA1-400C-492B-B1A6-E7CFCB9FFF01}"/>
            </a:ext>
          </a:extLst>
        </xdr:cNvPr>
        <xdr:cNvSpPr/>
      </xdr:nvSpPr>
      <xdr:spPr>
        <a:xfrm>
          <a:off x="0" y="2782956"/>
          <a:ext cx="4422913" cy="194641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BR"/>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nSpc>
              <a:spcPct val="150000"/>
            </a:lnSpc>
          </a:pPr>
          <a:r>
            <a:rPr lang="en-US" sz="1050" b="1">
              <a:solidFill>
                <a:srgbClr val="C4E90D"/>
              </a:solidFill>
              <a:latin typeface="Verdana" panose="020B0604030504040204" pitchFamily="34" charset="0"/>
              <a:ea typeface="Verdana" panose="020B0604030504040204" pitchFamily="34" charset="0"/>
              <a:cs typeface="Arial" panose="020B0604020202020204" pitchFamily="34" charset="0"/>
            </a:rPr>
            <a:t>Disclaimer</a:t>
          </a:r>
          <a:endParaRPr lang="en-US" sz="1050" b="1">
            <a:solidFill>
              <a:srgbClr val="C4EB00"/>
            </a:solidFill>
            <a:effectLst/>
            <a:latin typeface="Verdana" panose="020B0604030504040204" pitchFamily="34" charset="0"/>
            <a:ea typeface="Calibri" panose="020F0502020204030204" pitchFamily="34" charset="0"/>
            <a:cs typeface="Times New Roman" panose="02020603050405020304" pitchFamily="18" charset="0"/>
          </a:endParaRPr>
        </a:p>
        <a:p>
          <a:pPr>
            <a:lnSpc>
              <a:spcPct val="150000"/>
            </a:lnSpc>
          </a:pPr>
          <a:r>
            <a:rPr lang="en-US" sz="700">
              <a:solidFill>
                <a:schemeClr val="bg1"/>
              </a:solidFill>
              <a:latin typeface="Verdana" panose="020B0604030504040204" pitchFamily="34" charset="0"/>
              <a:ea typeface="Verdana" panose="020B0604030504040204" pitchFamily="34" charset="0"/>
              <a:cs typeface="Arial" panose="020B0604020202020204" pitchFamily="34" charset="0"/>
            </a:rPr>
            <a:t>As métricas não contábeis apresentadas neste relatório não são medidas de desempenho financeiro, liquidez ou endividamento reconhecidas pelo BR GAAP nem pelas IFRS, e não possuem significado padrão. Outras companhias podem calcular as métricas não contábeis apresentadas neste relatório de forma distinta não havendo, desta forma, comparação entre as divulgações. As declarações contidas neste relatório relativas à perspectiva dos negócios da Companhia, às projeções e resultados e ao potencial de crescimento dela constituem-se em meras previsões e foram baseadas nas expectativas da administração em relação ao futuro da Companhia. Essas expectativas são altamente dependentes de mudanças no mercado e no desempenho econômico geral do País, do setor e do mercado internacional; estando, portanto, sujeitas a mudanças.</a:t>
          </a:r>
          <a:endParaRPr lang="en-US" sz="1050">
            <a:solidFill>
              <a:schemeClr val="bg1"/>
            </a:solidFill>
            <a:latin typeface="Verdana" panose="020B0604030504040204" pitchFamily="34" charset="0"/>
            <a:ea typeface="Verdana" panose="020B0604030504040204" pitchFamily="34" charset="0"/>
            <a:cs typeface="Arial" panose="020B0604020202020204" pitchFamily="34" charset="0"/>
          </a:endParaRPr>
        </a:p>
      </xdr:txBody>
    </xdr:sp>
    <xdr:clientData/>
  </xdr:twoCellAnchor>
  <xdr:twoCellAnchor>
    <xdr:from>
      <xdr:col>7</xdr:col>
      <xdr:colOff>480391</xdr:colOff>
      <xdr:row>14</xdr:row>
      <xdr:rowOff>41413</xdr:rowOff>
    </xdr:from>
    <xdr:to>
      <xdr:col>15</xdr:col>
      <xdr:colOff>0</xdr:colOff>
      <xdr:row>24</xdr:row>
      <xdr:rowOff>82826</xdr:rowOff>
    </xdr:to>
    <xdr:sp macro="" textlink="">
      <xdr:nvSpPr>
        <xdr:cNvPr id="9" name="Retângulo 2">
          <a:extLst>
            <a:ext uri="{FF2B5EF4-FFF2-40B4-BE49-F238E27FC236}">
              <a16:creationId xmlns:a16="http://schemas.microsoft.com/office/drawing/2014/main" id="{1FFE4F81-A1DC-4ECA-8AC4-A0E97EB710F9}"/>
            </a:ext>
          </a:extLst>
        </xdr:cNvPr>
        <xdr:cNvSpPr/>
      </xdr:nvSpPr>
      <xdr:spPr>
        <a:xfrm>
          <a:off x="4340087" y="2782956"/>
          <a:ext cx="4422913" cy="194641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BR"/>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nSpc>
              <a:spcPct val="150000"/>
            </a:lnSpc>
          </a:pPr>
          <a:r>
            <a:rPr lang="en-US" sz="1050" b="1">
              <a:solidFill>
                <a:srgbClr val="C4E90D"/>
              </a:solidFill>
              <a:latin typeface="Verdana" panose="020B0604030504040204" pitchFamily="34" charset="0"/>
              <a:ea typeface="Verdana" panose="020B0604030504040204" pitchFamily="34" charset="0"/>
              <a:cs typeface="Arial" panose="020B0604020202020204" pitchFamily="34" charset="0"/>
            </a:rPr>
            <a:t>Disclaimer</a:t>
          </a:r>
          <a:endParaRPr lang="en-US" sz="1050" b="1">
            <a:solidFill>
              <a:srgbClr val="C4EB00"/>
            </a:solidFill>
            <a:effectLst/>
            <a:latin typeface="Verdana" panose="020B0604030504040204" pitchFamily="34" charset="0"/>
            <a:ea typeface="Calibri" panose="020F0502020204030204" pitchFamily="34" charset="0"/>
            <a:cs typeface="Times New Roman" panose="02020603050405020304" pitchFamily="18" charset="0"/>
          </a:endParaRPr>
        </a:p>
        <a:p>
          <a:pPr algn="l">
            <a:lnSpc>
              <a:spcPct val="150000"/>
            </a:lnSpc>
          </a:pPr>
          <a:r>
            <a:rPr lang="en-US" sz="700">
              <a:solidFill>
                <a:schemeClr val="bg1"/>
              </a:solidFill>
              <a:latin typeface="Verdana" panose="020B0604030504040204" pitchFamily="34" charset="0"/>
              <a:ea typeface="Verdana" panose="020B0604030504040204" pitchFamily="34" charset="0"/>
              <a:cs typeface="Arial" panose="020B0604020202020204" pitchFamily="34" charset="0"/>
            </a:rPr>
            <a:t>The non-GAAP metrics presented in this report are not measures of financial performance, liquidity or indebtedness accepted by the BR GAAP or the IFRS, and they don’t have standard meanings. Other companies may calculate the non-GAAP metrics presented in this report in a different way, thus affecting and disabling comparison between disclosures. All statements made in this report are related to the Company’s perspective of its business, projections, results and to its potential growth and are all based on internal estimates made considering management’s expectations on the future of the Company. These expectations can all be affected by the overall results of the country’s economy, the sector and international market; thus, being subject to changes.</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33</xdr:col>
      <xdr:colOff>552452</xdr:colOff>
      <xdr:row>1</xdr:row>
      <xdr:rowOff>47625</xdr:rowOff>
    </xdr:from>
    <xdr:to>
      <xdr:col>34</xdr:col>
      <xdr:colOff>657226</xdr:colOff>
      <xdr:row>1</xdr:row>
      <xdr:rowOff>236227</xdr:rowOff>
    </xdr:to>
    <xdr:pic>
      <xdr:nvPicPr>
        <xdr:cNvPr id="3" name="Imagem 5">
          <a:extLst>
            <a:ext uri="{FF2B5EF4-FFF2-40B4-BE49-F238E27FC236}">
              <a16:creationId xmlns:a16="http://schemas.microsoft.com/office/drawing/2014/main" id="{DB3AC667-E2CF-404E-8E91-716FB93289CD}"/>
            </a:ext>
          </a:extLst>
        </xdr:cNvPr>
        <xdr:cNvPicPr>
          <a:picLocks noChangeAspect="1"/>
        </xdr:cNvPicPr>
      </xdr:nvPicPr>
      <xdr:blipFill>
        <a:blip xmlns:r="http://schemas.openxmlformats.org/officeDocument/2006/relationships" r:embed="rId1"/>
        <a:stretch>
          <a:fillRect/>
        </a:stretch>
      </xdr:blipFill>
      <xdr:spPr>
        <a:xfrm>
          <a:off x="18526127" y="200025"/>
          <a:ext cx="819150" cy="18860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33</xdr:col>
      <xdr:colOff>581025</xdr:colOff>
      <xdr:row>1</xdr:row>
      <xdr:rowOff>47625</xdr:rowOff>
    </xdr:from>
    <xdr:to>
      <xdr:col>34</xdr:col>
      <xdr:colOff>685800</xdr:colOff>
      <xdr:row>1</xdr:row>
      <xdr:rowOff>236227</xdr:rowOff>
    </xdr:to>
    <xdr:pic>
      <xdr:nvPicPr>
        <xdr:cNvPr id="2" name="Imagem 5">
          <a:extLst>
            <a:ext uri="{FF2B5EF4-FFF2-40B4-BE49-F238E27FC236}">
              <a16:creationId xmlns:a16="http://schemas.microsoft.com/office/drawing/2014/main" id="{840B62FD-D7EE-4494-8879-9AE590E4D895}"/>
            </a:ext>
          </a:extLst>
        </xdr:cNvPr>
        <xdr:cNvPicPr>
          <a:picLocks noChangeAspect="1"/>
        </xdr:cNvPicPr>
      </xdr:nvPicPr>
      <xdr:blipFill>
        <a:blip xmlns:r="http://schemas.openxmlformats.org/officeDocument/2006/relationships" r:embed="rId1"/>
        <a:stretch>
          <a:fillRect/>
        </a:stretch>
      </xdr:blipFill>
      <xdr:spPr>
        <a:xfrm>
          <a:off x="16363950" y="200025"/>
          <a:ext cx="819150" cy="18860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29</xdr:col>
      <xdr:colOff>697682</xdr:colOff>
      <xdr:row>1</xdr:row>
      <xdr:rowOff>48802</xdr:rowOff>
    </xdr:from>
    <xdr:ext cx="819150" cy="188602"/>
    <xdr:pic>
      <xdr:nvPicPr>
        <xdr:cNvPr id="3" name="Imagem 5">
          <a:extLst>
            <a:ext uri="{FF2B5EF4-FFF2-40B4-BE49-F238E27FC236}">
              <a16:creationId xmlns:a16="http://schemas.microsoft.com/office/drawing/2014/main" id="{93CAFCB5-6637-4EDC-B77E-FD130837664C}"/>
            </a:ext>
          </a:extLst>
        </xdr:cNvPr>
        <xdr:cNvPicPr>
          <a:picLocks noChangeAspect="1"/>
        </xdr:cNvPicPr>
      </xdr:nvPicPr>
      <xdr:blipFill>
        <a:blip xmlns:r="http://schemas.openxmlformats.org/officeDocument/2006/relationships" r:embed="rId1"/>
        <a:stretch>
          <a:fillRect/>
        </a:stretch>
      </xdr:blipFill>
      <xdr:spPr>
        <a:xfrm>
          <a:off x="8308157" y="201202"/>
          <a:ext cx="819150" cy="188602"/>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oneCellAnchor>
    <xdr:from>
      <xdr:col>33</xdr:col>
      <xdr:colOff>581025</xdr:colOff>
      <xdr:row>1</xdr:row>
      <xdr:rowOff>47625</xdr:rowOff>
    </xdr:from>
    <xdr:ext cx="819150" cy="188602"/>
    <xdr:pic>
      <xdr:nvPicPr>
        <xdr:cNvPr id="2" name="Imagem 5">
          <a:extLst>
            <a:ext uri="{FF2B5EF4-FFF2-40B4-BE49-F238E27FC236}">
              <a16:creationId xmlns:a16="http://schemas.microsoft.com/office/drawing/2014/main" id="{34755C8F-3811-4720-8E05-1BB4BBCE0D02}"/>
            </a:ext>
          </a:extLst>
        </xdr:cNvPr>
        <xdr:cNvPicPr>
          <a:picLocks noChangeAspect="1"/>
        </xdr:cNvPicPr>
      </xdr:nvPicPr>
      <xdr:blipFill>
        <a:blip xmlns:r="http://schemas.openxmlformats.org/officeDocument/2006/relationships" r:embed="rId1"/>
        <a:stretch>
          <a:fillRect/>
        </a:stretch>
      </xdr:blipFill>
      <xdr:spPr>
        <a:xfrm>
          <a:off x="18659475" y="200025"/>
          <a:ext cx="819150" cy="188602"/>
        </a:xfrm>
        <a:prstGeom prst="rect">
          <a:avLst/>
        </a:prstGeom>
      </xdr:spPr>
    </xdr:pic>
    <xdr:clientData/>
  </xdr:oneCellAnchor>
</xdr:wsDr>
</file>

<file path=xl/theme/theme1.xml><?xml version="1.0" encoding="utf-8"?>
<a:theme xmlns:a="http://schemas.openxmlformats.org/drawingml/2006/main" name="Tema do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270A42-5424-4EEB-8B15-ECD04F4DB895}">
  <sheetPr>
    <tabColor theme="4" tint="-0.249977111117893"/>
  </sheetPr>
  <dimension ref="A1:O31"/>
  <sheetViews>
    <sheetView showGridLines="0" zoomScale="115" zoomScaleNormal="115" workbookViewId="0">
      <selection activeCell="L17" sqref="L17"/>
    </sheetView>
  </sheetViews>
  <sheetFormatPr defaultColWidth="0" defaultRowHeight="15" zeroHeight="1" x14ac:dyDescent="0.25"/>
  <cols>
    <col min="1" max="1" width="2.7109375" customWidth="1"/>
    <col min="2" max="15" width="9.140625" customWidth="1"/>
    <col min="16" max="16384" width="9.140625" hidden="1"/>
  </cols>
  <sheetData>
    <row r="1" spans="3:3" x14ac:dyDescent="0.25"/>
    <row r="2" spans="3:3" x14ac:dyDescent="0.25"/>
    <row r="3" spans="3:3" ht="15" customHeight="1" x14ac:dyDescent="0.25"/>
    <row r="4" spans="3:3" x14ac:dyDescent="0.25"/>
    <row r="5" spans="3:3" x14ac:dyDescent="0.25"/>
    <row r="6" spans="3:3" x14ac:dyDescent="0.25"/>
    <row r="7" spans="3:3" x14ac:dyDescent="0.25"/>
    <row r="8" spans="3:3" ht="21" x14ac:dyDescent="0.25">
      <c r="C8" s="15"/>
    </row>
    <row r="9" spans="3:3" x14ac:dyDescent="0.25"/>
    <row r="10" spans="3:3" x14ac:dyDescent="0.25"/>
    <row r="11" spans="3:3" x14ac:dyDescent="0.25"/>
    <row r="12" spans="3:3" x14ac:dyDescent="0.25"/>
    <row r="13" spans="3:3" x14ac:dyDescent="0.25"/>
    <row r="14" spans="3:3" x14ac:dyDescent="0.25"/>
    <row r="15" spans="3:3" x14ac:dyDescent="0.25"/>
    <row r="16" spans="3:3" x14ac:dyDescent="0.25"/>
    <row r="17" customFormat="1" x14ac:dyDescent="0.25"/>
    <row r="18" customFormat="1" x14ac:dyDescent="0.25"/>
    <row r="19" customFormat="1" x14ac:dyDescent="0.25"/>
    <row r="20" customFormat="1" x14ac:dyDescent="0.25"/>
    <row r="21" customFormat="1" x14ac:dyDescent="0.25"/>
    <row r="22" customFormat="1" x14ac:dyDescent="0.25"/>
    <row r="23" customFormat="1" x14ac:dyDescent="0.25"/>
    <row r="24" customFormat="1" x14ac:dyDescent="0.25"/>
    <row r="25" customFormat="1" x14ac:dyDescent="0.25"/>
    <row r="26" customFormat="1" hidden="1" x14ac:dyDescent="0.25"/>
    <row r="27" customFormat="1" hidden="1" x14ac:dyDescent="0.25"/>
    <row r="28" customFormat="1" hidden="1" x14ac:dyDescent="0.25"/>
    <row r="29" customFormat="1" hidden="1" x14ac:dyDescent="0.25"/>
    <row r="30" customFormat="1" hidden="1" x14ac:dyDescent="0.25"/>
    <row r="31" customFormat="1" hidden="1" x14ac:dyDescent="0.25"/>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211AA3-F1FD-44A2-80F9-37BA5757835F}">
  <sheetPr>
    <tabColor theme="4" tint="-0.249977111117893"/>
  </sheetPr>
  <dimension ref="A1:AK56"/>
  <sheetViews>
    <sheetView showGridLines="0" tabSelected="1" zoomScaleNormal="100" workbookViewId="0">
      <pane xSplit="3" ySplit="4" topLeftCell="D35" activePane="bottomRight" state="frozen"/>
      <selection pane="topRight" activeCell="D1" sqref="D1"/>
      <selection pane="bottomLeft" activeCell="A5" sqref="A5"/>
      <selection pane="bottomRight" activeCell="AG38" sqref="AG38"/>
    </sheetView>
  </sheetViews>
  <sheetFormatPr defaultColWidth="9.140625" defaultRowHeight="15" outlineLevelCol="1" x14ac:dyDescent="0.25"/>
  <cols>
    <col min="1" max="1" width="2.7109375" customWidth="1"/>
    <col min="2" max="2" width="43.28515625" style="111" bestFit="1" customWidth="1"/>
    <col min="3" max="3" width="37.5703125" hidden="1" customWidth="1" outlineLevel="1"/>
    <col min="4" max="4" width="8" customWidth="1" collapsed="1"/>
    <col min="5" max="12" width="10.7109375" hidden="1" customWidth="1" outlineLevel="1"/>
    <col min="13" max="13" width="2.7109375" hidden="1" customWidth="1" outlineLevel="1"/>
    <col min="14" max="14" width="2.7109375" customWidth="1" collapsed="1"/>
    <col min="15" max="16" width="10.7109375" hidden="1" customWidth="1"/>
    <col min="17" max="18" width="11.28515625" hidden="1" customWidth="1"/>
    <col min="19" max="28" width="10.7109375" hidden="1" customWidth="1"/>
    <col min="29" max="35" width="10.7109375" customWidth="1"/>
    <col min="37" max="37" width="11.28515625" bestFit="1" customWidth="1"/>
  </cols>
  <sheetData>
    <row r="1" spans="1:37" ht="12" customHeight="1" x14ac:dyDescent="0.25"/>
    <row r="2" spans="1:37" ht="21" x14ac:dyDescent="0.25">
      <c r="B2" s="14" t="s">
        <v>7</v>
      </c>
      <c r="C2" s="14" t="s">
        <v>167</v>
      </c>
      <c r="D2" s="14"/>
      <c r="E2" s="14"/>
      <c r="F2" s="14"/>
      <c r="G2" s="14"/>
      <c r="H2" s="14"/>
      <c r="I2" s="14"/>
      <c r="J2" s="14"/>
      <c r="K2" s="14"/>
      <c r="L2" s="14"/>
      <c r="M2" s="14"/>
      <c r="N2" s="14"/>
      <c r="O2" s="14"/>
      <c r="P2" s="14"/>
      <c r="Q2" s="14"/>
      <c r="R2" s="14"/>
      <c r="S2" s="14"/>
      <c r="T2" s="14"/>
      <c r="U2" s="14"/>
      <c r="V2" s="14"/>
      <c r="W2" s="14"/>
      <c r="X2" s="14"/>
      <c r="Y2" s="14"/>
      <c r="Z2" s="14"/>
      <c r="AA2" s="14"/>
      <c r="AB2" s="14"/>
      <c r="AC2" s="14"/>
      <c r="AD2" s="14"/>
      <c r="AE2" s="14"/>
      <c r="AF2" s="14"/>
      <c r="AG2" s="14"/>
      <c r="AH2" s="14"/>
      <c r="AI2" s="14"/>
    </row>
    <row r="3" spans="1:37" ht="12" customHeight="1" x14ac:dyDescent="0.25">
      <c r="O3" s="19" t="s">
        <v>310</v>
      </c>
      <c r="P3" s="19" t="s">
        <v>311</v>
      </c>
      <c r="Q3" s="19" t="s">
        <v>312</v>
      </c>
      <c r="R3" s="19" t="s">
        <v>313</v>
      </c>
      <c r="S3" s="19" t="s">
        <v>314</v>
      </c>
      <c r="T3" s="19" t="s">
        <v>315</v>
      </c>
      <c r="U3" s="19" t="s">
        <v>316</v>
      </c>
      <c r="V3" s="19" t="s">
        <v>317</v>
      </c>
      <c r="W3" s="19" t="s">
        <v>318</v>
      </c>
      <c r="X3" s="19" t="s">
        <v>319</v>
      </c>
      <c r="Y3" s="19" t="s">
        <v>320</v>
      </c>
      <c r="Z3" s="19" t="s">
        <v>322</v>
      </c>
      <c r="AA3" s="19" t="s">
        <v>349</v>
      </c>
      <c r="AB3" s="19" t="s">
        <v>365</v>
      </c>
      <c r="AC3" s="19" t="s">
        <v>372</v>
      </c>
      <c r="AD3" s="19" t="s">
        <v>380</v>
      </c>
      <c r="AE3" s="19" t="s">
        <v>395</v>
      </c>
      <c r="AF3" s="19" t="s">
        <v>411</v>
      </c>
      <c r="AG3" s="19" t="s">
        <v>413</v>
      </c>
    </row>
    <row r="4" spans="1:37" x14ac:dyDescent="0.25">
      <c r="B4" s="112" t="s">
        <v>0</v>
      </c>
      <c r="C4" s="2" t="s">
        <v>168</v>
      </c>
      <c r="D4" s="3"/>
      <c r="E4" s="18">
        <v>2018</v>
      </c>
      <c r="F4" s="18">
        <v>2019</v>
      </c>
      <c r="G4" s="18">
        <v>2020</v>
      </c>
      <c r="H4" s="18">
        <v>2021</v>
      </c>
      <c r="I4" s="18">
        <v>2022</v>
      </c>
      <c r="J4" s="18">
        <v>2023</v>
      </c>
      <c r="K4" s="19" t="s">
        <v>321</v>
      </c>
      <c r="L4" s="19" t="s">
        <v>379</v>
      </c>
      <c r="M4" s="22"/>
      <c r="N4" s="23"/>
      <c r="O4" s="19" t="s">
        <v>86</v>
      </c>
      <c r="P4" s="19" t="s">
        <v>87</v>
      </c>
      <c r="Q4" s="19" t="s">
        <v>95</v>
      </c>
      <c r="R4" s="19" t="s">
        <v>96</v>
      </c>
      <c r="S4" s="19" t="s">
        <v>1</v>
      </c>
      <c r="T4" s="19" t="s">
        <v>2</v>
      </c>
      <c r="U4" s="19" t="s">
        <v>97</v>
      </c>
      <c r="V4" s="19" t="s">
        <v>146</v>
      </c>
      <c r="W4" s="19" t="s">
        <v>161</v>
      </c>
      <c r="X4" s="19" t="s">
        <v>188</v>
      </c>
      <c r="Y4" s="19" t="s">
        <v>309</v>
      </c>
      <c r="Z4" s="19" t="s">
        <v>323</v>
      </c>
      <c r="AA4" s="19" t="s">
        <v>350</v>
      </c>
      <c r="AB4" s="19" t="s">
        <v>366</v>
      </c>
      <c r="AC4" s="19" t="s">
        <v>373</v>
      </c>
      <c r="AD4" s="19" t="s">
        <v>381</v>
      </c>
      <c r="AE4" s="19" t="s">
        <v>396</v>
      </c>
      <c r="AF4" s="19" t="s">
        <v>412</v>
      </c>
      <c r="AG4" s="19" t="s">
        <v>414</v>
      </c>
      <c r="AH4" s="19" t="s">
        <v>105</v>
      </c>
      <c r="AI4" s="19" t="s">
        <v>106</v>
      </c>
    </row>
    <row r="5" spans="1:37" ht="6" customHeight="1" x14ac:dyDescent="0.25">
      <c r="B5" s="24"/>
      <c r="C5" s="24"/>
      <c r="D5" s="24"/>
      <c r="E5" s="24"/>
      <c r="F5" s="24"/>
      <c r="G5" s="24"/>
      <c r="H5" s="24"/>
      <c r="I5" s="24"/>
      <c r="J5" s="24"/>
      <c r="K5" s="24"/>
      <c r="L5" s="24"/>
      <c r="M5" s="25"/>
      <c r="N5" s="24"/>
      <c r="O5" s="24"/>
      <c r="P5" s="24"/>
      <c r="Q5" s="24"/>
      <c r="R5" s="24"/>
      <c r="S5" s="24"/>
      <c r="T5" s="24"/>
      <c r="U5" s="24"/>
      <c r="V5" s="24"/>
      <c r="W5" s="24"/>
      <c r="X5" s="24"/>
      <c r="Y5" s="24"/>
      <c r="Z5" s="24"/>
      <c r="AA5" s="24"/>
      <c r="AB5" s="24"/>
      <c r="AC5" s="24"/>
      <c r="AD5" s="24"/>
      <c r="AE5" s="24"/>
      <c r="AF5" s="24"/>
      <c r="AG5" s="24"/>
      <c r="AH5" s="24"/>
      <c r="AI5" s="24"/>
    </row>
    <row r="6" spans="1:37" s="92" customFormat="1" ht="18" x14ac:dyDescent="0.25">
      <c r="A6" s="81"/>
      <c r="B6" s="8" t="s">
        <v>117</v>
      </c>
      <c r="C6" s="8" t="s">
        <v>169</v>
      </c>
      <c r="D6" s="26"/>
      <c r="E6" s="27">
        <f t="shared" ref="E6" si="0">E7+E8</f>
        <v>47610</v>
      </c>
      <c r="F6" s="27">
        <f t="shared" ref="F6" si="1">F7+F8</f>
        <v>68199</v>
      </c>
      <c r="G6" s="27">
        <f t="shared" ref="G6:J6" si="2">G7+G8</f>
        <v>123584</v>
      </c>
      <c r="H6" s="27">
        <f t="shared" si="2"/>
        <v>431642</v>
      </c>
      <c r="I6" s="27">
        <f t="shared" si="2"/>
        <v>1050404</v>
      </c>
      <c r="J6" s="27">
        <f t="shared" si="2"/>
        <v>1493847</v>
      </c>
      <c r="K6" s="28">
        <f>I6/H6-1</f>
        <v>1.4335073973339019</v>
      </c>
      <c r="L6" s="28">
        <f>J6/I6-1</f>
        <v>0.42216423395188896</v>
      </c>
      <c r="M6" s="29"/>
      <c r="N6" s="30"/>
      <c r="O6" s="27">
        <f t="shared" ref="O6:T6" si="3">O7+O8</f>
        <v>22047</v>
      </c>
      <c r="P6" s="27">
        <f t="shared" si="3"/>
        <v>24289</v>
      </c>
      <c r="Q6" s="27">
        <f t="shared" si="3"/>
        <v>32571</v>
      </c>
      <c r="R6" s="27">
        <f t="shared" si="3"/>
        <v>44677</v>
      </c>
      <c r="S6" s="27">
        <f t="shared" si="3"/>
        <v>57120</v>
      </c>
      <c r="T6" s="27">
        <f t="shared" si="3"/>
        <v>79271</v>
      </c>
      <c r="U6" s="27">
        <f>U7+U8</f>
        <v>109730</v>
      </c>
      <c r="V6" s="27">
        <f>V7+V8</f>
        <v>185521</v>
      </c>
      <c r="W6" s="27">
        <f>W7+W8</f>
        <v>215790</v>
      </c>
      <c r="X6" s="27">
        <v>250499</v>
      </c>
      <c r="Y6" s="27">
        <f t="shared" ref="Y6:AF6" si="4">Y7+Y8</f>
        <v>275578</v>
      </c>
      <c r="Z6" s="27">
        <f t="shared" si="4"/>
        <v>308537</v>
      </c>
      <c r="AA6" s="27">
        <f t="shared" si="4"/>
        <v>318710</v>
      </c>
      <c r="AB6" s="27">
        <f t="shared" si="4"/>
        <v>342794</v>
      </c>
      <c r="AC6" s="27">
        <f t="shared" si="4"/>
        <v>394650</v>
      </c>
      <c r="AD6" s="27">
        <f t="shared" si="4"/>
        <v>437693</v>
      </c>
      <c r="AE6" s="27">
        <f t="shared" si="4"/>
        <v>430062</v>
      </c>
      <c r="AF6" s="27">
        <f t="shared" si="4"/>
        <v>454802.13419311331</v>
      </c>
      <c r="AG6" s="27">
        <f>SUM(AG7:AG8)</f>
        <v>547657.68132862775</v>
      </c>
      <c r="AH6" s="28">
        <f>AG6/AC6-1</f>
        <v>0.3877047544118275</v>
      </c>
      <c r="AI6" s="28">
        <f>AG6/AF6-1</f>
        <v>0.20416691161806888</v>
      </c>
      <c r="AK6" s="117"/>
    </row>
    <row r="7" spans="1:37" s="93" customFormat="1" ht="18" x14ac:dyDescent="0.25">
      <c r="A7" s="91"/>
      <c r="B7" s="31" t="s">
        <v>8</v>
      </c>
      <c r="C7" s="31" t="s">
        <v>170</v>
      </c>
      <c r="D7" s="32"/>
      <c r="E7" s="49">
        <v>45902</v>
      </c>
      <c r="F7" s="49">
        <v>66829</v>
      </c>
      <c r="G7" s="49">
        <v>122902</v>
      </c>
      <c r="H7" s="49">
        <v>426630</v>
      </c>
      <c r="I7" s="49">
        <v>989762</v>
      </c>
      <c r="J7" s="49">
        <f>SUM(AA7:AD7)</f>
        <v>1382753</v>
      </c>
      <c r="K7" s="33"/>
      <c r="L7" s="33"/>
      <c r="M7" s="34"/>
      <c r="N7" s="32"/>
      <c r="O7" s="49">
        <v>22042</v>
      </c>
      <c r="P7" s="49">
        <v>24059</v>
      </c>
      <c r="Q7" s="49">
        <v>32194</v>
      </c>
      <c r="R7" s="49">
        <v>44607</v>
      </c>
      <c r="S7" s="49">
        <v>55140</v>
      </c>
      <c r="T7" s="49">
        <v>78621</v>
      </c>
      <c r="U7" s="49">
        <v>109291</v>
      </c>
      <c r="V7" s="49">
        <v>183578</v>
      </c>
      <c r="W7" s="49">
        <v>206273</v>
      </c>
      <c r="X7" s="49">
        <v>238394</v>
      </c>
      <c r="Y7" s="49">
        <v>255166</v>
      </c>
      <c r="Z7" s="49">
        <v>289929</v>
      </c>
      <c r="AA7" s="49">
        <v>283195</v>
      </c>
      <c r="AB7" s="49">
        <v>324146</v>
      </c>
      <c r="AC7" s="49">
        <v>372429</v>
      </c>
      <c r="AD7" s="49">
        <v>402983</v>
      </c>
      <c r="AE7" s="49">
        <v>404827</v>
      </c>
      <c r="AF7" s="49">
        <v>434787.13419311331</v>
      </c>
      <c r="AG7" s="49">
        <v>500489.18132862775</v>
      </c>
      <c r="AH7" s="33"/>
      <c r="AI7" s="33"/>
    </row>
    <row r="8" spans="1:37" s="93" customFormat="1" ht="18" x14ac:dyDescent="0.25">
      <c r="A8" s="91"/>
      <c r="B8" s="31" t="s">
        <v>9</v>
      </c>
      <c r="C8" s="31" t="s">
        <v>171</v>
      </c>
      <c r="D8" s="32"/>
      <c r="E8" s="49">
        <v>1708</v>
      </c>
      <c r="F8" s="49">
        <v>1370</v>
      </c>
      <c r="G8" s="49">
        <v>682</v>
      </c>
      <c r="H8" s="49">
        <v>5012</v>
      </c>
      <c r="I8" s="49">
        <v>60642</v>
      </c>
      <c r="J8" s="49">
        <f>SUM(AA8:AD8)</f>
        <v>111094</v>
      </c>
      <c r="K8" s="32"/>
      <c r="L8" s="32"/>
      <c r="M8" s="34"/>
      <c r="N8" s="32"/>
      <c r="O8" s="49">
        <v>5</v>
      </c>
      <c r="P8" s="49">
        <v>230</v>
      </c>
      <c r="Q8" s="49">
        <v>377</v>
      </c>
      <c r="R8" s="49">
        <v>70</v>
      </c>
      <c r="S8" s="49">
        <v>1980</v>
      </c>
      <c r="T8" s="49">
        <v>650</v>
      </c>
      <c r="U8" s="49">
        <v>439</v>
      </c>
      <c r="V8" s="49">
        <v>1943</v>
      </c>
      <c r="W8" s="49">
        <v>9517</v>
      </c>
      <c r="X8" s="49">
        <v>12105</v>
      </c>
      <c r="Y8" s="49">
        <v>20412</v>
      </c>
      <c r="Z8" s="49">
        <v>18608</v>
      </c>
      <c r="AA8" s="49">
        <v>35515</v>
      </c>
      <c r="AB8" s="49">
        <v>18648</v>
      </c>
      <c r="AC8" s="49">
        <v>22221</v>
      </c>
      <c r="AD8" s="49">
        <v>34710</v>
      </c>
      <c r="AE8" s="49">
        <v>25235</v>
      </c>
      <c r="AF8" s="49">
        <v>20015</v>
      </c>
      <c r="AG8" s="49">
        <v>47168.5</v>
      </c>
      <c r="AH8" s="32"/>
      <c r="AI8" s="32"/>
    </row>
    <row r="9" spans="1:37" s="92" customFormat="1" ht="18" x14ac:dyDescent="0.25">
      <c r="A9" s="81"/>
      <c r="B9" s="30"/>
      <c r="C9" s="30"/>
      <c r="D9" s="30"/>
      <c r="E9" s="30"/>
      <c r="F9" s="30"/>
      <c r="G9" s="30"/>
      <c r="H9" s="30"/>
      <c r="I9" s="30"/>
      <c r="J9" s="30"/>
      <c r="K9" s="30"/>
      <c r="L9" s="30"/>
      <c r="M9" s="29"/>
      <c r="N9" s="30"/>
      <c r="O9" s="30"/>
      <c r="P9" s="30"/>
      <c r="Q9" s="30"/>
      <c r="R9" s="30"/>
      <c r="S9" s="30"/>
      <c r="T9" s="30"/>
      <c r="U9" s="107"/>
      <c r="V9" s="30"/>
      <c r="W9" s="30"/>
      <c r="X9" s="30"/>
      <c r="Y9" s="30"/>
      <c r="Z9" s="30"/>
      <c r="AA9" s="30"/>
      <c r="AB9" s="107"/>
      <c r="AC9" s="107"/>
      <c r="AD9" s="107"/>
      <c r="AE9" s="107"/>
      <c r="AF9" s="107"/>
      <c r="AG9" s="107"/>
      <c r="AH9" s="30"/>
      <c r="AI9" s="30"/>
    </row>
    <row r="10" spans="1:37" s="92" customFormat="1" ht="18" x14ac:dyDescent="0.25">
      <c r="A10" s="81"/>
      <c r="B10" s="55" t="s">
        <v>118</v>
      </c>
      <c r="C10" s="55" t="s">
        <v>172</v>
      </c>
      <c r="D10" s="53"/>
      <c r="E10" s="54">
        <f t="shared" ref="E10:G10" si="5">E11+E12+E13</f>
        <v>-4872</v>
      </c>
      <c r="F10" s="54">
        <f t="shared" si="5"/>
        <v>-6825</v>
      </c>
      <c r="G10" s="54">
        <f t="shared" si="5"/>
        <v>-12290</v>
      </c>
      <c r="H10" s="54">
        <f>H11+H12+H13</f>
        <v>-41888</v>
      </c>
      <c r="I10" s="54">
        <f>I11+I12+I13</f>
        <v>-98650</v>
      </c>
      <c r="J10" s="54">
        <f>J11+J12+J13</f>
        <v>-132880</v>
      </c>
      <c r="K10" s="10"/>
      <c r="L10" s="10"/>
      <c r="M10" s="29"/>
      <c r="N10" s="30"/>
      <c r="O10" s="54">
        <f t="shared" ref="O10:W10" si="6">O11+O12+O13</f>
        <v>-2220</v>
      </c>
      <c r="P10" s="54">
        <f t="shared" si="6"/>
        <v>-2421</v>
      </c>
      <c r="Q10" s="54">
        <f t="shared" si="6"/>
        <v>-3227</v>
      </c>
      <c r="R10" s="54">
        <f t="shared" si="6"/>
        <v>-4422</v>
      </c>
      <c r="S10" s="54">
        <f t="shared" si="6"/>
        <v>-5365</v>
      </c>
      <c r="T10" s="54">
        <f t="shared" si="6"/>
        <v>-7680</v>
      </c>
      <c r="U10" s="54">
        <f t="shared" si="6"/>
        <v>-10384</v>
      </c>
      <c r="V10" s="54">
        <f t="shared" si="6"/>
        <v>-18459</v>
      </c>
      <c r="W10" s="54">
        <f t="shared" si="6"/>
        <v>-20374</v>
      </c>
      <c r="X10" s="54">
        <v>-24636</v>
      </c>
      <c r="Y10" s="54">
        <f t="shared" ref="Y10:AA10" si="7">Y11+Y12+Y13</f>
        <v>-24980.999999999996</v>
      </c>
      <c r="Z10" s="54">
        <f t="shared" si="7"/>
        <v>-28659.000000000004</v>
      </c>
      <c r="AA10" s="54">
        <f t="shared" si="7"/>
        <v>-27219</v>
      </c>
      <c r="AB10" s="54">
        <f t="shared" ref="AB10:AF10" si="8">AB11+AB12+AB13</f>
        <v>-31856</v>
      </c>
      <c r="AC10" s="54">
        <f t="shared" si="8"/>
        <v>-35111</v>
      </c>
      <c r="AD10" s="54">
        <f t="shared" si="8"/>
        <v>-38694</v>
      </c>
      <c r="AE10" s="54">
        <f t="shared" si="8"/>
        <v>-42275</v>
      </c>
      <c r="AF10" s="54">
        <f t="shared" si="8"/>
        <v>-47099.183482929133</v>
      </c>
      <c r="AG10" s="54">
        <f>SUM(AG11:AG13)</f>
        <v>-50672.501596266928</v>
      </c>
      <c r="AH10" s="36"/>
      <c r="AI10" s="36"/>
    </row>
    <row r="11" spans="1:37" s="93" customFormat="1" ht="18" x14ac:dyDescent="0.25">
      <c r="A11" s="91"/>
      <c r="B11" s="31" t="s">
        <v>10</v>
      </c>
      <c r="C11" s="31" t="s">
        <v>10</v>
      </c>
      <c r="D11" s="32"/>
      <c r="E11" s="49">
        <v>-4245</v>
      </c>
      <c r="F11" s="49">
        <v>-6191</v>
      </c>
      <c r="G11" s="49">
        <v>-11298</v>
      </c>
      <c r="H11" s="49">
        <v>-38681</v>
      </c>
      <c r="I11" s="49">
        <v>-89040</v>
      </c>
      <c r="J11" s="49">
        <f t="shared" ref="J11:J13" si="9">SUM(AA11:AD11)</f>
        <v>-117461</v>
      </c>
      <c r="K11" s="32"/>
      <c r="L11" s="32"/>
      <c r="M11" s="34"/>
      <c r="N11" s="32"/>
      <c r="O11" s="49">
        <v>-2039</v>
      </c>
      <c r="P11" s="49">
        <v>-2220</v>
      </c>
      <c r="Q11" s="49">
        <v>-2976</v>
      </c>
      <c r="R11" s="49">
        <v>-4063</v>
      </c>
      <c r="S11" s="49">
        <v>-4973</v>
      </c>
      <c r="T11" s="49">
        <v>-7197</v>
      </c>
      <c r="U11" s="49">
        <v>-9838</v>
      </c>
      <c r="V11" s="49">
        <v>-16673</v>
      </c>
      <c r="W11" s="49">
        <v>-18923</v>
      </c>
      <c r="X11" s="49">
        <v>-21799</v>
      </c>
      <c r="Y11" s="49">
        <v>-22502.199999999997</v>
      </c>
      <c r="Z11" s="49">
        <v>-25815.800000000003</v>
      </c>
      <c r="AA11" s="49">
        <v>-24634</v>
      </c>
      <c r="AB11" s="49">
        <v>-28801</v>
      </c>
      <c r="AC11" s="49">
        <v>-31303</v>
      </c>
      <c r="AD11" s="49">
        <v>-32723</v>
      </c>
      <c r="AE11" s="49">
        <v>-36714</v>
      </c>
      <c r="AF11" s="49">
        <v>-38109.999618000002</v>
      </c>
      <c r="AG11" s="49">
        <v>-41812.901130871469</v>
      </c>
      <c r="AH11" s="119"/>
      <c r="AI11" s="52"/>
    </row>
    <row r="12" spans="1:37" s="93" customFormat="1" ht="18" x14ac:dyDescent="0.25">
      <c r="A12" s="91"/>
      <c r="B12" s="31" t="s">
        <v>11</v>
      </c>
      <c r="C12" s="31" t="s">
        <v>11</v>
      </c>
      <c r="D12" s="32"/>
      <c r="E12" s="49">
        <v>-627</v>
      </c>
      <c r="F12" s="49">
        <v>-634</v>
      </c>
      <c r="G12" s="49">
        <v>-992</v>
      </c>
      <c r="H12" s="49">
        <f>-2897</f>
        <v>-2897</v>
      </c>
      <c r="I12" s="49">
        <v>-9192</v>
      </c>
      <c r="J12" s="49">
        <f t="shared" si="9"/>
        <v>-15201</v>
      </c>
      <c r="K12" s="32"/>
      <c r="L12" s="32"/>
      <c r="M12" s="34"/>
      <c r="N12" s="32"/>
      <c r="O12" s="49">
        <v>-181</v>
      </c>
      <c r="P12" s="49">
        <v>-201</v>
      </c>
      <c r="Q12" s="49">
        <v>-251</v>
      </c>
      <c r="R12" s="49">
        <v>-359</v>
      </c>
      <c r="S12" s="49">
        <v>-392</v>
      </c>
      <c r="T12" s="49">
        <v>-483</v>
      </c>
      <c r="U12" s="49">
        <v>-546</v>
      </c>
      <c r="V12" s="49">
        <v>-1476</v>
      </c>
      <c r="W12" s="49">
        <v>-1315</v>
      </c>
      <c r="X12" s="49">
        <v>-2702</v>
      </c>
      <c r="Y12" s="49">
        <v>-2442</v>
      </c>
      <c r="Z12" s="49">
        <v>-2733</v>
      </c>
      <c r="AA12" s="49">
        <v>-2511</v>
      </c>
      <c r="AB12" s="49">
        <v>-2977</v>
      </c>
      <c r="AC12" s="49">
        <v>-3778</v>
      </c>
      <c r="AD12" s="49">
        <v>-5935</v>
      </c>
      <c r="AE12" s="49">
        <v>-5553</v>
      </c>
      <c r="AF12" s="49">
        <v>-8940.1838649291276</v>
      </c>
      <c r="AG12" s="49">
        <v>-8646.6004653954624</v>
      </c>
      <c r="AH12" s="32"/>
      <c r="AI12" s="32"/>
    </row>
    <row r="13" spans="1:37" s="93" customFormat="1" ht="18" x14ac:dyDescent="0.25">
      <c r="A13" s="91"/>
      <c r="B13" s="31" t="s">
        <v>149</v>
      </c>
      <c r="C13" s="31" t="s">
        <v>149</v>
      </c>
      <c r="D13" s="32"/>
      <c r="E13" s="49">
        <v>0</v>
      </c>
      <c r="F13" s="49">
        <v>0</v>
      </c>
      <c r="G13" s="49">
        <v>0</v>
      </c>
      <c r="H13" s="49">
        <f>-310</f>
        <v>-310</v>
      </c>
      <c r="I13" s="49">
        <v>-418</v>
      </c>
      <c r="J13" s="49">
        <f t="shared" si="9"/>
        <v>-218</v>
      </c>
      <c r="K13" s="32"/>
      <c r="L13" s="32"/>
      <c r="M13" s="34"/>
      <c r="N13" s="32"/>
      <c r="O13" s="49">
        <v>0</v>
      </c>
      <c r="P13" s="49">
        <v>0</v>
      </c>
      <c r="Q13" s="49"/>
      <c r="R13" s="49">
        <v>0</v>
      </c>
      <c r="S13" s="49">
        <v>0</v>
      </c>
      <c r="T13" s="49">
        <v>0</v>
      </c>
      <c r="U13" s="49">
        <v>0</v>
      </c>
      <c r="V13" s="49">
        <v>-310</v>
      </c>
      <c r="W13" s="49">
        <v>-136</v>
      </c>
      <c r="X13" s="49">
        <v>-135</v>
      </c>
      <c r="Y13" s="49">
        <v>-36.800000000000011</v>
      </c>
      <c r="Z13" s="49">
        <v>-110.19999999999999</v>
      </c>
      <c r="AA13" s="49">
        <v>-74</v>
      </c>
      <c r="AB13" s="49">
        <v>-78</v>
      </c>
      <c r="AC13" s="49">
        <v>-30</v>
      </c>
      <c r="AD13" s="49">
        <v>-36</v>
      </c>
      <c r="AE13" s="49">
        <v>-8</v>
      </c>
      <c r="AF13" s="49">
        <v>-49</v>
      </c>
      <c r="AG13" s="49">
        <v>-213</v>
      </c>
      <c r="AI13" s="32"/>
    </row>
    <row r="14" spans="1:37" s="92" customFormat="1" ht="18" x14ac:dyDescent="0.25">
      <c r="A14" s="81"/>
      <c r="B14" s="30"/>
      <c r="C14" s="30"/>
      <c r="D14" s="30"/>
      <c r="E14" s="30"/>
      <c r="F14" s="30"/>
      <c r="G14" s="30"/>
      <c r="H14" s="30"/>
      <c r="I14" s="30"/>
      <c r="J14" s="30"/>
      <c r="K14" s="30"/>
      <c r="L14" s="30"/>
      <c r="M14" s="29"/>
      <c r="N14" s="30"/>
      <c r="O14" s="30"/>
      <c r="P14" s="30"/>
      <c r="Q14" s="30"/>
      <c r="R14" s="30"/>
      <c r="S14" s="30"/>
      <c r="T14" s="30"/>
      <c r="U14" s="30"/>
      <c r="V14" s="30"/>
      <c r="W14" s="30"/>
      <c r="X14" s="30"/>
      <c r="Y14" s="30"/>
      <c r="Z14" s="30"/>
      <c r="AA14" s="30"/>
      <c r="AB14" s="30"/>
      <c r="AC14" s="30"/>
      <c r="AD14" s="30"/>
      <c r="AE14" s="30"/>
      <c r="AF14" s="30"/>
      <c r="AG14" s="30"/>
      <c r="AH14" s="30"/>
      <c r="AI14" s="30"/>
    </row>
    <row r="15" spans="1:37" s="92" customFormat="1" ht="18" x14ac:dyDescent="0.25">
      <c r="A15" s="81"/>
      <c r="B15" s="8" t="s">
        <v>119</v>
      </c>
      <c r="C15" s="8" t="s">
        <v>173</v>
      </c>
      <c r="D15" s="26"/>
      <c r="E15" s="27">
        <f t="shared" ref="E15:H15" si="10">E6+E10</f>
        <v>42738</v>
      </c>
      <c r="F15" s="27">
        <f t="shared" si="10"/>
        <v>61374</v>
      </c>
      <c r="G15" s="27">
        <f t="shared" si="10"/>
        <v>111294</v>
      </c>
      <c r="H15" s="27">
        <f t="shared" si="10"/>
        <v>389754</v>
      </c>
      <c r="I15" s="27">
        <f t="shared" ref="I15:J15" si="11">I6+I10</f>
        <v>951754</v>
      </c>
      <c r="J15" s="27">
        <f t="shared" si="11"/>
        <v>1360967</v>
      </c>
      <c r="K15" s="28">
        <f>I15/H15-1</f>
        <v>1.4419351693632394</v>
      </c>
      <c r="L15" s="28">
        <f>J15/I15-1</f>
        <v>0.42995669048934904</v>
      </c>
      <c r="M15" s="29"/>
      <c r="N15" s="30"/>
      <c r="O15" s="27">
        <f t="shared" ref="O15:S15" si="12">O6+O10</f>
        <v>19827</v>
      </c>
      <c r="P15" s="27">
        <f t="shared" si="12"/>
        <v>21868</v>
      </c>
      <c r="Q15" s="27">
        <f t="shared" si="12"/>
        <v>29344</v>
      </c>
      <c r="R15" s="27">
        <f t="shared" si="12"/>
        <v>40255</v>
      </c>
      <c r="S15" s="27">
        <f t="shared" si="12"/>
        <v>51755</v>
      </c>
      <c r="T15" s="27">
        <f>T6+T10</f>
        <v>71591</v>
      </c>
      <c r="U15" s="27">
        <f>U6+U10</f>
        <v>99346</v>
      </c>
      <c r="V15" s="27">
        <f>V6+V10</f>
        <v>167062</v>
      </c>
      <c r="W15" s="27">
        <f>W6+W10</f>
        <v>195416</v>
      </c>
      <c r="X15" s="27">
        <v>225863</v>
      </c>
      <c r="Y15" s="27">
        <f t="shared" ref="Y15:AG15" si="13">Y6+Y10</f>
        <v>250597</v>
      </c>
      <c r="Z15" s="27">
        <f t="shared" si="13"/>
        <v>279878</v>
      </c>
      <c r="AA15" s="27">
        <f t="shared" si="13"/>
        <v>291491</v>
      </c>
      <c r="AB15" s="27">
        <f t="shared" si="13"/>
        <v>310938</v>
      </c>
      <c r="AC15" s="27">
        <f t="shared" si="13"/>
        <v>359539</v>
      </c>
      <c r="AD15" s="27">
        <f t="shared" si="13"/>
        <v>398999</v>
      </c>
      <c r="AE15" s="27">
        <f t="shared" si="13"/>
        <v>387787</v>
      </c>
      <c r="AF15" s="27">
        <f t="shared" si="13"/>
        <v>407702.95071018417</v>
      </c>
      <c r="AG15" s="27">
        <f t="shared" si="13"/>
        <v>496985.17973236082</v>
      </c>
      <c r="AH15" s="28">
        <f>AG15/AC15-1</f>
        <v>0.38228448021594552</v>
      </c>
      <c r="AI15" s="28">
        <f>AG15/AF15-1</f>
        <v>0.21898842985230926</v>
      </c>
    </row>
    <row r="16" spans="1:37" s="92" customFormat="1" ht="18" x14ac:dyDescent="0.25">
      <c r="A16" s="81"/>
      <c r="B16" s="31" t="s">
        <v>166</v>
      </c>
      <c r="C16" s="31" t="s">
        <v>174</v>
      </c>
      <c r="E16" s="49">
        <f t="shared" ref="E16:G16" si="14">E7+E10</f>
        <v>41030</v>
      </c>
      <c r="F16" s="49">
        <f t="shared" si="14"/>
        <v>60004</v>
      </c>
      <c r="G16" s="49">
        <f t="shared" si="14"/>
        <v>110612</v>
      </c>
      <c r="H16" s="49">
        <f t="shared" ref="H16:I16" si="15">H7+H10</f>
        <v>384742</v>
      </c>
      <c r="I16" s="49">
        <f t="shared" si="15"/>
        <v>891112</v>
      </c>
      <c r="J16" s="49">
        <f t="shared" ref="J16" si="16">J7+J10</f>
        <v>1249873</v>
      </c>
      <c r="M16" s="29"/>
      <c r="N16" s="30"/>
      <c r="O16" s="49">
        <f t="shared" ref="O16:V16" si="17">O7+O10</f>
        <v>19822</v>
      </c>
      <c r="P16" s="49">
        <f t="shared" si="17"/>
        <v>21638</v>
      </c>
      <c r="Q16" s="49">
        <f t="shared" si="17"/>
        <v>28967</v>
      </c>
      <c r="R16" s="49">
        <f t="shared" si="17"/>
        <v>40185</v>
      </c>
      <c r="S16" s="49">
        <f t="shared" si="17"/>
        <v>49775</v>
      </c>
      <c r="T16" s="49">
        <f t="shared" si="17"/>
        <v>70941</v>
      </c>
      <c r="U16" s="49">
        <f t="shared" si="17"/>
        <v>98907</v>
      </c>
      <c r="V16" s="49">
        <f t="shared" si="17"/>
        <v>165119</v>
      </c>
      <c r="W16" s="49">
        <f>W7+W10</f>
        <v>185899</v>
      </c>
      <c r="X16" s="49">
        <v>213758</v>
      </c>
      <c r="Y16" s="49">
        <f t="shared" ref="Y16:AE16" si="18">Y7+Y10</f>
        <v>230185</v>
      </c>
      <c r="Z16" s="49">
        <f t="shared" si="18"/>
        <v>261270</v>
      </c>
      <c r="AA16" s="49">
        <f t="shared" si="18"/>
        <v>255976</v>
      </c>
      <c r="AB16" s="49">
        <f t="shared" si="18"/>
        <v>292290</v>
      </c>
      <c r="AC16" s="49">
        <f t="shared" si="18"/>
        <v>337318</v>
      </c>
      <c r="AD16" s="49">
        <f t="shared" si="18"/>
        <v>364289</v>
      </c>
      <c r="AE16" s="49">
        <f t="shared" si="18"/>
        <v>362552</v>
      </c>
      <c r="AF16" s="49">
        <f t="shared" ref="AF16:AG16" si="19">AF7+AF10</f>
        <v>387687.95071018417</v>
      </c>
      <c r="AG16" s="49">
        <f t="shared" si="19"/>
        <v>449816.67973236082</v>
      </c>
    </row>
    <row r="17" spans="1:35" s="92" customFormat="1" ht="18" x14ac:dyDescent="0.25">
      <c r="A17" s="81"/>
      <c r="B17" s="31" t="s">
        <v>382</v>
      </c>
      <c r="C17" s="31" t="s">
        <v>175</v>
      </c>
      <c r="E17" s="49">
        <f t="shared" ref="E17:G17" si="20">E8</f>
        <v>1708</v>
      </c>
      <c r="F17" s="49">
        <f t="shared" si="20"/>
        <v>1370</v>
      </c>
      <c r="G17" s="49">
        <f t="shared" si="20"/>
        <v>682</v>
      </c>
      <c r="H17" s="49">
        <f t="shared" ref="H17:I17" si="21">H8</f>
        <v>5012</v>
      </c>
      <c r="I17" s="49">
        <f t="shared" si="21"/>
        <v>60642</v>
      </c>
      <c r="J17" s="49">
        <f t="shared" ref="J17" si="22">J8</f>
        <v>111094</v>
      </c>
      <c r="M17" s="29"/>
      <c r="N17" s="30"/>
      <c r="O17" s="49">
        <f t="shared" ref="O17:V17" si="23">O8</f>
        <v>5</v>
      </c>
      <c r="P17" s="49">
        <f t="shared" si="23"/>
        <v>230</v>
      </c>
      <c r="Q17" s="49">
        <f t="shared" si="23"/>
        <v>377</v>
      </c>
      <c r="R17" s="49">
        <f t="shared" si="23"/>
        <v>70</v>
      </c>
      <c r="S17" s="49">
        <f t="shared" si="23"/>
        <v>1980</v>
      </c>
      <c r="T17" s="49">
        <f t="shared" si="23"/>
        <v>650</v>
      </c>
      <c r="U17" s="49">
        <f t="shared" si="23"/>
        <v>439</v>
      </c>
      <c r="V17" s="49">
        <f t="shared" si="23"/>
        <v>1943</v>
      </c>
      <c r="W17" s="49">
        <f>W8</f>
        <v>9517</v>
      </c>
      <c r="X17" s="49">
        <v>12105</v>
      </c>
      <c r="Y17" s="49">
        <f t="shared" ref="Y17:AE17" si="24">Y8</f>
        <v>20412</v>
      </c>
      <c r="Z17" s="49">
        <f t="shared" si="24"/>
        <v>18608</v>
      </c>
      <c r="AA17" s="49">
        <f t="shared" si="24"/>
        <v>35515</v>
      </c>
      <c r="AB17" s="49">
        <f t="shared" si="24"/>
        <v>18648</v>
      </c>
      <c r="AC17" s="49">
        <f t="shared" si="24"/>
        <v>22221</v>
      </c>
      <c r="AD17" s="49">
        <f t="shared" si="24"/>
        <v>34710</v>
      </c>
      <c r="AE17" s="49">
        <f t="shared" si="24"/>
        <v>25235</v>
      </c>
      <c r="AF17" s="49">
        <f t="shared" ref="AF17:AG17" si="25">AF8</f>
        <v>20015</v>
      </c>
      <c r="AG17" s="49">
        <f t="shared" si="25"/>
        <v>47168.5</v>
      </c>
    </row>
    <row r="18" spans="1:35" s="92" customFormat="1" ht="18" x14ac:dyDescent="0.25">
      <c r="A18" s="81"/>
      <c r="B18" s="30"/>
      <c r="C18" s="30"/>
      <c r="D18" s="30"/>
      <c r="E18" s="30"/>
      <c r="F18" s="30"/>
      <c r="G18" s="30"/>
      <c r="H18" s="30"/>
      <c r="I18" s="30"/>
      <c r="J18" s="30"/>
      <c r="K18" s="30"/>
      <c r="L18" s="30"/>
      <c r="M18" s="29"/>
      <c r="N18" s="30"/>
      <c r="O18" s="30"/>
      <c r="P18" s="30"/>
      <c r="Q18" s="30"/>
      <c r="R18" s="30"/>
      <c r="T18" s="30"/>
      <c r="U18" s="30"/>
      <c r="V18" s="30"/>
      <c r="W18" s="108"/>
      <c r="X18" s="108"/>
      <c r="Y18" s="108"/>
      <c r="Z18" s="108"/>
      <c r="AA18" s="108"/>
      <c r="AB18" s="108"/>
      <c r="AC18" s="108"/>
      <c r="AD18" s="108"/>
      <c r="AE18" s="108"/>
      <c r="AF18" s="108"/>
      <c r="AG18" s="108"/>
      <c r="AH18" s="30"/>
      <c r="AI18" s="30"/>
    </row>
    <row r="19" spans="1:35" s="92" customFormat="1" ht="18" x14ac:dyDescent="0.25">
      <c r="A19" s="81"/>
      <c r="B19" s="7" t="s">
        <v>12</v>
      </c>
      <c r="C19" s="7" t="s">
        <v>176</v>
      </c>
      <c r="D19" s="30"/>
      <c r="E19" s="35">
        <v>-25845</v>
      </c>
      <c r="F19" s="35">
        <v>-34481</v>
      </c>
      <c r="G19" s="35">
        <v>-61040</v>
      </c>
      <c r="H19" s="35">
        <v>-201903</v>
      </c>
      <c r="I19" s="35">
        <v>-504134</v>
      </c>
      <c r="J19" s="35">
        <f>SUM(AA19:AD19)</f>
        <v>-734137</v>
      </c>
      <c r="K19" s="30"/>
      <c r="L19" s="30"/>
      <c r="M19" s="29"/>
      <c r="N19" s="30"/>
      <c r="O19" s="35">
        <v>-10584</v>
      </c>
      <c r="P19" s="35">
        <v>-12362</v>
      </c>
      <c r="Q19" s="35">
        <v>-16236.917819999999</v>
      </c>
      <c r="R19" s="35">
        <v>-21857.082179999998</v>
      </c>
      <c r="S19" s="35">
        <v>-28443</v>
      </c>
      <c r="T19" s="35">
        <v>-37333</v>
      </c>
      <c r="U19" s="35">
        <v>-47541</v>
      </c>
      <c r="V19" s="35">
        <v>-88586</v>
      </c>
      <c r="W19" s="35">
        <v>-108171</v>
      </c>
      <c r="X19" s="35">
        <v>-126193</v>
      </c>
      <c r="Y19" s="35">
        <v>-130307</v>
      </c>
      <c r="Z19" s="35">
        <v>-139463</v>
      </c>
      <c r="AA19" s="35">
        <v>-157807</v>
      </c>
      <c r="AB19" s="35">
        <v>-156946</v>
      </c>
      <c r="AC19" s="35">
        <v>-190695</v>
      </c>
      <c r="AD19" s="35">
        <v>-228689</v>
      </c>
      <c r="AE19" s="35">
        <v>-214230</v>
      </c>
      <c r="AF19" s="35">
        <v>-237132.93026269996</v>
      </c>
      <c r="AG19" s="35">
        <v>-292151.74079567532</v>
      </c>
      <c r="AH19" s="30"/>
      <c r="AI19" s="30"/>
    </row>
    <row r="20" spans="1:35" s="92" customFormat="1" ht="18" x14ac:dyDescent="0.25">
      <c r="A20" s="81"/>
      <c r="B20" s="7" t="s">
        <v>4</v>
      </c>
      <c r="C20" s="7" t="s">
        <v>177</v>
      </c>
      <c r="D20" s="30"/>
      <c r="E20" s="21">
        <f t="shared" ref="E20" si="26">E19/E$15</f>
        <v>-0.60473115260423982</v>
      </c>
      <c r="F20" s="21">
        <f t="shared" ref="F20" si="27">F19/F$15</f>
        <v>-0.56181770782416007</v>
      </c>
      <c r="G20" s="21">
        <f t="shared" ref="G20:J20" si="28">G19/G$15</f>
        <v>-0.54845723938397395</v>
      </c>
      <c r="H20" s="21">
        <f t="shared" si="28"/>
        <v>-0.51802675533798237</v>
      </c>
      <c r="I20" s="21">
        <f t="shared" si="28"/>
        <v>-0.52968939452841801</v>
      </c>
      <c r="J20" s="21">
        <f t="shared" si="28"/>
        <v>-0.53942307197749839</v>
      </c>
      <c r="K20" s="30"/>
      <c r="L20" s="30"/>
      <c r="M20" s="29"/>
      <c r="N20" s="30"/>
      <c r="O20" s="21">
        <f t="shared" ref="O20:T20" si="29">O19/O$15</f>
        <v>-0.53381752156150708</v>
      </c>
      <c r="P20" s="21">
        <f t="shared" si="29"/>
        <v>-0.56530089628681179</v>
      </c>
      <c r="Q20" s="21">
        <f t="shared" si="29"/>
        <v>-0.55333007838058879</v>
      </c>
      <c r="R20" s="21">
        <f t="shared" si="29"/>
        <v>-0.54296564849087059</v>
      </c>
      <c r="S20" s="21">
        <f t="shared" si="29"/>
        <v>-0.54957008984639166</v>
      </c>
      <c r="T20" s="21">
        <f t="shared" si="29"/>
        <v>-0.52147616320487211</v>
      </c>
      <c r="U20" s="21">
        <f>U19/U$15</f>
        <v>-0.47853964930646425</v>
      </c>
      <c r="V20" s="21">
        <f>V19/V$15</f>
        <v>-0.53025822748440699</v>
      </c>
      <c r="W20" s="21">
        <f>W19/W$15</f>
        <v>-0.55354218692430512</v>
      </c>
      <c r="X20" s="21">
        <v>-0.55871479613748154</v>
      </c>
      <c r="Y20" s="21">
        <f t="shared" ref="Y20:AG20" si="30">Y19/Y$15</f>
        <v>-0.51998627278059995</v>
      </c>
      <c r="Z20" s="21">
        <f t="shared" si="30"/>
        <v>-0.49829925896283378</v>
      </c>
      <c r="AA20" s="21">
        <f t="shared" si="30"/>
        <v>-0.54137863604708203</v>
      </c>
      <c r="AB20" s="21">
        <f t="shared" si="30"/>
        <v>-0.50475014311534772</v>
      </c>
      <c r="AC20" s="21">
        <f t="shared" si="30"/>
        <v>-0.53038752402381939</v>
      </c>
      <c r="AD20" s="21">
        <f t="shared" si="30"/>
        <v>-0.57315682495444853</v>
      </c>
      <c r="AE20" s="21">
        <f t="shared" si="30"/>
        <v>-0.55244244907642592</v>
      </c>
      <c r="AF20" s="21">
        <f t="shared" si="30"/>
        <v>-0.58163162628485854</v>
      </c>
      <c r="AG20" s="21">
        <f t="shared" si="30"/>
        <v>-0.58784799368264151</v>
      </c>
      <c r="AH20" s="30"/>
      <c r="AI20" s="30"/>
    </row>
    <row r="21" spans="1:35" s="92" customFormat="1" ht="18" x14ac:dyDescent="0.25">
      <c r="A21" s="81"/>
      <c r="B21" s="30"/>
      <c r="C21" s="30"/>
      <c r="D21" s="30"/>
      <c r="E21" s="30"/>
      <c r="F21" s="30"/>
      <c r="G21" s="30"/>
      <c r="H21" s="30"/>
      <c r="I21" s="30"/>
      <c r="J21" s="30"/>
      <c r="K21" s="30"/>
      <c r="L21" s="30"/>
      <c r="M21" s="29"/>
      <c r="N21" s="30"/>
      <c r="O21" s="30"/>
      <c r="P21" s="30"/>
      <c r="Q21" s="30"/>
      <c r="R21" s="35"/>
      <c r="S21" s="30"/>
      <c r="T21" s="30"/>
      <c r="U21" s="30"/>
      <c r="V21" s="30"/>
      <c r="W21" s="30"/>
      <c r="X21" s="30"/>
      <c r="Y21" s="30"/>
      <c r="Z21" s="30"/>
      <c r="AA21" s="30"/>
      <c r="AB21" s="30"/>
      <c r="AC21" s="30"/>
      <c r="AD21" s="30"/>
      <c r="AE21" s="30"/>
      <c r="AF21" s="30"/>
      <c r="AG21" s="30"/>
      <c r="AH21" s="30"/>
      <c r="AI21" s="30"/>
    </row>
    <row r="22" spans="1:35" s="92" customFormat="1" ht="18" x14ac:dyDescent="0.25">
      <c r="A22" s="81"/>
      <c r="B22" s="8" t="s">
        <v>120</v>
      </c>
      <c r="C22" s="8" t="s">
        <v>178</v>
      </c>
      <c r="D22" s="26"/>
      <c r="E22" s="27">
        <f t="shared" ref="E22:G22" si="31">E15+E19</f>
        <v>16893</v>
      </c>
      <c r="F22" s="27">
        <f t="shared" si="31"/>
        <v>26893</v>
      </c>
      <c r="G22" s="27">
        <f t="shared" si="31"/>
        <v>50254</v>
      </c>
      <c r="H22" s="27">
        <f t="shared" ref="H22:J22" si="32">H15+H19</f>
        <v>187851</v>
      </c>
      <c r="I22" s="27">
        <f t="shared" si="32"/>
        <v>447620</v>
      </c>
      <c r="J22" s="27">
        <f t="shared" si="32"/>
        <v>626830</v>
      </c>
      <c r="K22" s="28">
        <f>I22/H22-1</f>
        <v>1.38284597899399</v>
      </c>
      <c r="L22" s="28">
        <f>J22/I22-1</f>
        <v>0.40036191412358701</v>
      </c>
      <c r="M22" s="29"/>
      <c r="N22" s="30"/>
      <c r="O22" s="27">
        <f t="shared" ref="O22:T22" si="33">O15+O19</f>
        <v>9243</v>
      </c>
      <c r="P22" s="27">
        <f t="shared" si="33"/>
        <v>9506</v>
      </c>
      <c r="Q22" s="27">
        <f t="shared" si="33"/>
        <v>13107.082180000001</v>
      </c>
      <c r="R22" s="27">
        <f t="shared" si="33"/>
        <v>18397.917820000002</v>
      </c>
      <c r="S22" s="27">
        <f t="shared" si="33"/>
        <v>23312</v>
      </c>
      <c r="T22" s="27">
        <f t="shared" si="33"/>
        <v>34258</v>
      </c>
      <c r="U22" s="27">
        <f>U15+U19</f>
        <v>51805</v>
      </c>
      <c r="V22" s="27">
        <f>V15+V19</f>
        <v>78476</v>
      </c>
      <c r="W22" s="27">
        <f>W15+W19</f>
        <v>87245</v>
      </c>
      <c r="X22" s="27">
        <v>99670</v>
      </c>
      <c r="Y22" s="27">
        <f t="shared" ref="Y22:AG22" si="34">Y15+Y19</f>
        <v>120290</v>
      </c>
      <c r="Z22" s="27">
        <f t="shared" si="34"/>
        <v>140415</v>
      </c>
      <c r="AA22" s="27">
        <f t="shared" si="34"/>
        <v>133684</v>
      </c>
      <c r="AB22" s="27">
        <f t="shared" si="34"/>
        <v>153992</v>
      </c>
      <c r="AC22" s="27">
        <f t="shared" si="34"/>
        <v>168844</v>
      </c>
      <c r="AD22" s="27">
        <f t="shared" si="34"/>
        <v>170310</v>
      </c>
      <c r="AE22" s="27">
        <f t="shared" si="34"/>
        <v>173557</v>
      </c>
      <c r="AF22" s="27">
        <f t="shared" si="34"/>
        <v>170570.02044748422</v>
      </c>
      <c r="AG22" s="27">
        <f t="shared" si="34"/>
        <v>204833.4389366855</v>
      </c>
      <c r="AH22" s="28">
        <f>AG22/AC22-1</f>
        <v>0.21315201568717579</v>
      </c>
      <c r="AI22" s="28">
        <f>AG22/AF22-1</f>
        <v>0.20087597104879551</v>
      </c>
    </row>
    <row r="23" spans="1:35" s="92" customFormat="1" ht="18" x14ac:dyDescent="0.25">
      <c r="A23" s="81"/>
      <c r="B23" s="7" t="s">
        <v>4</v>
      </c>
      <c r="C23" s="7" t="s">
        <v>177</v>
      </c>
      <c r="D23" s="30"/>
      <c r="E23" s="21">
        <f t="shared" ref="E23" si="35">E22/E$15</f>
        <v>0.39526884739576024</v>
      </c>
      <c r="F23" s="21">
        <f t="shared" ref="F23" si="36">F22/F$15</f>
        <v>0.43818229217583993</v>
      </c>
      <c r="G23" s="21">
        <f t="shared" ref="G23" si="37">G22/G$15</f>
        <v>0.451542760616026</v>
      </c>
      <c r="H23" s="21">
        <f t="shared" ref="H23:J23" si="38">H22/H$15</f>
        <v>0.48197324466201757</v>
      </c>
      <c r="I23" s="21">
        <f t="shared" si="38"/>
        <v>0.47031060547158193</v>
      </c>
      <c r="J23" s="21">
        <f t="shared" si="38"/>
        <v>0.46057692802250166</v>
      </c>
      <c r="K23" s="30"/>
      <c r="L23" s="30"/>
      <c r="M23" s="29"/>
      <c r="N23" s="30"/>
      <c r="O23" s="21">
        <f t="shared" ref="O23:T23" si="39">O22/O$15</f>
        <v>0.46618247843849298</v>
      </c>
      <c r="P23" s="21">
        <f t="shared" si="39"/>
        <v>0.43469910371318821</v>
      </c>
      <c r="Q23" s="21">
        <f t="shared" si="39"/>
        <v>0.44666992161941116</v>
      </c>
      <c r="R23" s="21">
        <f t="shared" si="39"/>
        <v>0.45703435150912936</v>
      </c>
      <c r="S23" s="21">
        <f t="shared" si="39"/>
        <v>0.45042991015360834</v>
      </c>
      <c r="T23" s="21">
        <f t="shared" si="39"/>
        <v>0.47852383679512789</v>
      </c>
      <c r="U23" s="21">
        <f>U22/U$15</f>
        <v>0.52146035069353569</v>
      </c>
      <c r="V23" s="21">
        <f>V22/V$15</f>
        <v>0.46974177251559301</v>
      </c>
      <c r="W23" s="21">
        <f>W22/W$15</f>
        <v>0.44645781307569493</v>
      </c>
      <c r="X23" s="21">
        <v>0.4412852038625184</v>
      </c>
      <c r="Y23" s="21">
        <f t="shared" ref="Y23:AG23" si="40">Y22/Y$15</f>
        <v>0.48001372721940005</v>
      </c>
      <c r="Z23" s="21">
        <f t="shared" si="40"/>
        <v>0.50170074103716622</v>
      </c>
      <c r="AA23" s="21">
        <f t="shared" si="40"/>
        <v>0.45862136395291792</v>
      </c>
      <c r="AB23" s="21">
        <f t="shared" si="40"/>
        <v>0.49524985688465223</v>
      </c>
      <c r="AC23" s="21">
        <f t="shared" si="40"/>
        <v>0.46961247597618061</v>
      </c>
      <c r="AD23" s="21">
        <f t="shared" si="40"/>
        <v>0.42684317504555147</v>
      </c>
      <c r="AE23" s="21">
        <f t="shared" si="40"/>
        <v>0.44755755092357402</v>
      </c>
      <c r="AF23" s="21">
        <f t="shared" si="40"/>
        <v>0.41836837371514141</v>
      </c>
      <c r="AG23" s="21">
        <f t="shared" si="40"/>
        <v>0.41215200631735843</v>
      </c>
      <c r="AH23" s="30"/>
      <c r="AI23" s="30"/>
    </row>
    <row r="24" spans="1:35" s="92" customFormat="1" ht="18" x14ac:dyDescent="0.25">
      <c r="A24" s="81"/>
      <c r="B24" s="30"/>
      <c r="C24" s="30"/>
      <c r="D24" s="30"/>
      <c r="E24" s="30"/>
      <c r="F24" s="30"/>
      <c r="G24" s="30"/>
      <c r="H24" s="30"/>
      <c r="I24" s="30"/>
      <c r="J24" s="30"/>
      <c r="K24" s="30"/>
      <c r="L24" s="30"/>
      <c r="M24" s="29"/>
      <c r="N24" s="30"/>
      <c r="O24" s="30"/>
      <c r="P24" s="30"/>
      <c r="Q24" s="30"/>
      <c r="R24" s="35"/>
      <c r="S24" s="30"/>
      <c r="T24" s="30"/>
      <c r="U24" s="30"/>
      <c r="V24" s="30"/>
      <c r="W24" s="30"/>
      <c r="X24" s="30"/>
      <c r="Y24" s="30"/>
      <c r="Z24" s="30"/>
      <c r="AA24" s="30"/>
      <c r="AB24" s="30"/>
      <c r="AC24" s="30"/>
      <c r="AD24" s="30"/>
      <c r="AE24" s="30"/>
      <c r="AF24" s="30"/>
      <c r="AG24" s="30"/>
      <c r="AH24" s="30"/>
      <c r="AI24" s="30"/>
    </row>
    <row r="25" spans="1:35" s="92" customFormat="1" ht="18" x14ac:dyDescent="0.25">
      <c r="A25" s="81"/>
      <c r="B25" s="7" t="s">
        <v>13</v>
      </c>
      <c r="C25" s="7" t="s">
        <v>179</v>
      </c>
      <c r="D25" s="30"/>
      <c r="E25" s="35">
        <v>-2330</v>
      </c>
      <c r="F25" s="35">
        <v>-4288</v>
      </c>
      <c r="G25" s="35">
        <v>-10434</v>
      </c>
      <c r="H25" s="35">
        <v>-58410</v>
      </c>
      <c r="I25" s="35">
        <v>-127307</v>
      </c>
      <c r="J25" s="35">
        <f>SUM(AA25:AD25)</f>
        <v>-171743</v>
      </c>
      <c r="K25" s="30"/>
      <c r="L25" s="30"/>
      <c r="M25" s="29"/>
      <c r="N25" s="30"/>
      <c r="O25" s="35">
        <v>-1944</v>
      </c>
      <c r="P25" s="35">
        <v>-1320</v>
      </c>
      <c r="Q25" s="35">
        <v>-2617.2451799999999</v>
      </c>
      <c r="R25" s="35">
        <v>-4552.7548200000001</v>
      </c>
      <c r="S25" s="35">
        <v>-4338</v>
      </c>
      <c r="T25" s="35">
        <v>-6901</v>
      </c>
      <c r="U25" s="35">
        <v>-23424</v>
      </c>
      <c r="V25" s="35">
        <v>-23747</v>
      </c>
      <c r="W25" s="35">
        <v>-24555</v>
      </c>
      <c r="X25" s="35">
        <v>-24748</v>
      </c>
      <c r="Y25" s="35">
        <v>-30648</v>
      </c>
      <c r="Z25" s="35">
        <v>-47356</v>
      </c>
      <c r="AA25" s="35">
        <v>-40039</v>
      </c>
      <c r="AB25" s="35">
        <v>-42476</v>
      </c>
      <c r="AC25" s="35">
        <v>-42004</v>
      </c>
      <c r="AD25" s="35">
        <v>-47224</v>
      </c>
      <c r="AE25" s="35">
        <v>-39606</v>
      </c>
      <c r="AF25" s="35">
        <v>-28774.691999999995</v>
      </c>
      <c r="AG25" s="35">
        <v>-51185.142000000007</v>
      </c>
      <c r="AH25" s="30"/>
      <c r="AI25" s="30"/>
    </row>
    <row r="26" spans="1:35" s="92" customFormat="1" ht="18" x14ac:dyDescent="0.25">
      <c r="A26" s="81"/>
      <c r="B26" s="7" t="s">
        <v>4</v>
      </c>
      <c r="C26" s="7" t="s">
        <v>177</v>
      </c>
      <c r="D26" s="30"/>
      <c r="E26" s="21">
        <f t="shared" ref="E26" si="41">E25/E$15</f>
        <v>-5.4518227338668165E-2</v>
      </c>
      <c r="F26" s="21">
        <f t="shared" ref="F26" si="42">F25/F$15</f>
        <v>-6.9866718806009059E-2</v>
      </c>
      <c r="G26" s="21">
        <f t="shared" ref="G26:I26" si="43">G25/G$15</f>
        <v>-9.3751684726939455E-2</v>
      </c>
      <c r="H26" s="21">
        <f t="shared" si="43"/>
        <v>-0.14986376021798364</v>
      </c>
      <c r="I26" s="21">
        <f t="shared" si="43"/>
        <v>-0.1337604044742654</v>
      </c>
      <c r="J26" s="21">
        <f t="shared" ref="J26" si="44">J25/J$15</f>
        <v>-0.12619189150067561</v>
      </c>
      <c r="K26" s="30"/>
      <c r="L26" s="30"/>
      <c r="M26" s="29"/>
      <c r="N26" s="30"/>
      <c r="O26" s="21">
        <f t="shared" ref="O26:T26" si="45">O25/O$15</f>
        <v>-9.8048116205174757E-2</v>
      </c>
      <c r="P26" s="21">
        <f t="shared" si="45"/>
        <v>-6.0362173038229376E-2</v>
      </c>
      <c r="Q26" s="21">
        <f t="shared" si="45"/>
        <v>-8.9191834105779716E-2</v>
      </c>
      <c r="R26" s="21">
        <f t="shared" si="45"/>
        <v>-0.11309787156874923</v>
      </c>
      <c r="S26" s="21">
        <f t="shared" si="45"/>
        <v>-8.3817988600135257E-2</v>
      </c>
      <c r="T26" s="21">
        <f t="shared" si="45"/>
        <v>-9.6394798228827641E-2</v>
      </c>
      <c r="U26" s="21">
        <f>U25/U$15</f>
        <v>-0.235782014374006</v>
      </c>
      <c r="V26" s="21">
        <f>V25/V$15</f>
        <v>-0.14214483245741102</v>
      </c>
      <c r="W26" s="21">
        <f>W25/W$15</f>
        <v>-0.12565501289556638</v>
      </c>
      <c r="X26" s="21">
        <v>-0.10957084604384074</v>
      </c>
      <c r="Y26" s="21">
        <f t="shared" ref="Y26:AE26" si="46">Y25/Y$15</f>
        <v>-0.1222999477248331</v>
      </c>
      <c r="Z26" s="21">
        <f t="shared" si="46"/>
        <v>-0.16920229528580311</v>
      </c>
      <c r="AA26" s="21">
        <f t="shared" si="46"/>
        <v>-0.1373593009732719</v>
      </c>
      <c r="AB26" s="21">
        <f t="shared" si="46"/>
        <v>-0.13660601148782073</v>
      </c>
      <c r="AC26" s="21">
        <f t="shared" si="46"/>
        <v>-0.11682738173049377</v>
      </c>
      <c r="AD26" s="21">
        <f t="shared" si="46"/>
        <v>-0.11835618635635678</v>
      </c>
      <c r="AE26" s="21">
        <f t="shared" si="46"/>
        <v>-0.10213338765868892</v>
      </c>
      <c r="AF26" s="21">
        <f t="shared" ref="AF26:AG26" si="47">AF25/AF$15</f>
        <v>-7.0577590743154811E-2</v>
      </c>
      <c r="AG26" s="21">
        <f t="shared" si="47"/>
        <v>-0.10299128442333937</v>
      </c>
      <c r="AH26" s="30"/>
      <c r="AI26" s="30"/>
    </row>
    <row r="27" spans="1:35" s="92" customFormat="1" ht="18" x14ac:dyDescent="0.25">
      <c r="A27" s="81"/>
      <c r="B27" s="30"/>
      <c r="C27" s="30"/>
      <c r="D27" s="30"/>
      <c r="E27" s="30"/>
      <c r="F27" s="30"/>
      <c r="G27" s="30"/>
      <c r="H27" s="30"/>
      <c r="I27" s="30"/>
      <c r="J27" s="30"/>
      <c r="K27" s="30"/>
      <c r="L27" s="30"/>
      <c r="M27" s="29"/>
      <c r="N27" s="30"/>
      <c r="O27" s="30"/>
      <c r="P27" s="30"/>
      <c r="Q27" s="30"/>
      <c r="R27" s="35"/>
      <c r="S27" s="30"/>
      <c r="T27" s="30"/>
      <c r="U27" s="30"/>
      <c r="V27" s="30"/>
      <c r="W27" s="30"/>
      <c r="X27" s="30"/>
      <c r="Y27" s="30"/>
      <c r="Z27" s="30"/>
      <c r="AA27" s="30"/>
      <c r="AB27" s="30"/>
      <c r="AC27" s="30"/>
      <c r="AD27" s="30"/>
      <c r="AE27" s="30"/>
      <c r="AF27" s="30"/>
      <c r="AG27" s="30"/>
      <c r="AH27" s="30"/>
      <c r="AI27" s="30"/>
    </row>
    <row r="28" spans="1:35" s="92" customFormat="1" ht="18" x14ac:dyDescent="0.25">
      <c r="A28" s="81"/>
      <c r="B28" s="8" t="s">
        <v>121</v>
      </c>
      <c r="C28" s="8" t="s">
        <v>180</v>
      </c>
      <c r="D28" s="26"/>
      <c r="E28" s="27">
        <f t="shared" ref="E28:G28" si="48">E22+E25</f>
        <v>14563</v>
      </c>
      <c r="F28" s="27">
        <f t="shared" si="48"/>
        <v>22605</v>
      </c>
      <c r="G28" s="27">
        <f t="shared" si="48"/>
        <v>39820</v>
      </c>
      <c r="H28" s="27">
        <f t="shared" ref="H28:I28" si="49">H22+H25</f>
        <v>129441</v>
      </c>
      <c r="I28" s="27">
        <f t="shared" si="49"/>
        <v>320313</v>
      </c>
      <c r="J28" s="27">
        <f t="shared" ref="J28" si="50">J22+J25</f>
        <v>455087</v>
      </c>
      <c r="K28" s="28">
        <f>I28/H28-1</f>
        <v>1.4745868774190556</v>
      </c>
      <c r="L28" s="28">
        <f>J28/I28-1</f>
        <v>0.42075719686681468</v>
      </c>
      <c r="M28" s="29"/>
      <c r="N28" s="30"/>
      <c r="O28" s="27">
        <f t="shared" ref="O28:T28" si="51">O22+O25</f>
        <v>7299</v>
      </c>
      <c r="P28" s="27">
        <f t="shared" si="51"/>
        <v>8186</v>
      </c>
      <c r="Q28" s="27">
        <f t="shared" si="51"/>
        <v>10489.837000000001</v>
      </c>
      <c r="R28" s="27">
        <f t="shared" si="51"/>
        <v>13845.163000000002</v>
      </c>
      <c r="S28" s="27">
        <f t="shared" si="51"/>
        <v>18974</v>
      </c>
      <c r="T28" s="27">
        <f t="shared" si="51"/>
        <v>27357</v>
      </c>
      <c r="U28" s="27">
        <f>U22+U25</f>
        <v>28381</v>
      </c>
      <c r="V28" s="27">
        <f>V22+V25</f>
        <v>54729</v>
      </c>
      <c r="W28" s="27">
        <f>W22+W25</f>
        <v>62690</v>
      </c>
      <c r="X28" s="27">
        <v>74922</v>
      </c>
      <c r="Y28" s="27">
        <f t="shared" ref="Y28:AE28" si="52">Y22+Y25</f>
        <v>89642</v>
      </c>
      <c r="Z28" s="27">
        <f t="shared" si="52"/>
        <v>93059</v>
      </c>
      <c r="AA28" s="27">
        <f t="shared" si="52"/>
        <v>93645</v>
      </c>
      <c r="AB28" s="27">
        <f t="shared" si="52"/>
        <v>111516</v>
      </c>
      <c r="AC28" s="27">
        <f t="shared" si="52"/>
        <v>126840</v>
      </c>
      <c r="AD28" s="27">
        <f t="shared" si="52"/>
        <v>123086</v>
      </c>
      <c r="AE28" s="27">
        <f t="shared" si="52"/>
        <v>133951</v>
      </c>
      <c r="AF28" s="27">
        <f t="shared" ref="AF28:AG28" si="53">AF22+AF25</f>
        <v>141795.32844748424</v>
      </c>
      <c r="AG28" s="27">
        <f t="shared" si="53"/>
        <v>153648.29693668551</v>
      </c>
      <c r="AH28" s="28">
        <f>AG28/AC28-1</f>
        <v>0.21135522655854233</v>
      </c>
      <c r="AI28" s="28">
        <f>AG28/AF28-1</f>
        <v>8.3592094457407784E-2</v>
      </c>
    </row>
    <row r="29" spans="1:35" s="92" customFormat="1" ht="18" x14ac:dyDescent="0.25">
      <c r="A29" s="81"/>
      <c r="B29" s="7" t="s">
        <v>4</v>
      </c>
      <c r="C29" s="7" t="s">
        <v>177</v>
      </c>
      <c r="D29" s="30"/>
      <c r="E29" s="21">
        <f t="shared" ref="E29" si="54">E28/E$15</f>
        <v>0.34075062005709206</v>
      </c>
      <c r="F29" s="21">
        <f t="shared" ref="F29" si="55">F28/F$15</f>
        <v>0.3683155733698309</v>
      </c>
      <c r="G29" s="21">
        <f t="shared" ref="G29:J29" si="56">G28/G$15</f>
        <v>0.35779107588908654</v>
      </c>
      <c r="H29" s="21">
        <f t="shared" si="56"/>
        <v>0.33210948444403393</v>
      </c>
      <c r="I29" s="21">
        <f t="shared" si="56"/>
        <v>0.33655020099731653</v>
      </c>
      <c r="J29" s="21">
        <f t="shared" si="56"/>
        <v>0.33438503652182605</v>
      </c>
      <c r="K29" s="30"/>
      <c r="L29" s="30"/>
      <c r="M29" s="29"/>
      <c r="N29" s="30"/>
      <c r="O29" s="21">
        <f t="shared" ref="O29:T29" si="57">O28/O$15</f>
        <v>0.36813436223331819</v>
      </c>
      <c r="P29" s="21">
        <f t="shared" si="57"/>
        <v>0.37433693067495882</v>
      </c>
      <c r="Q29" s="21">
        <f t="shared" si="57"/>
        <v>0.35747808751363147</v>
      </c>
      <c r="R29" s="21">
        <f t="shared" si="57"/>
        <v>0.34393647994038012</v>
      </c>
      <c r="S29" s="21">
        <f t="shared" si="57"/>
        <v>0.36661192155347311</v>
      </c>
      <c r="T29" s="21">
        <f t="shared" si="57"/>
        <v>0.38212903856630026</v>
      </c>
      <c r="U29" s="21">
        <f>U28/U$15</f>
        <v>0.28567833631952971</v>
      </c>
      <c r="V29" s="21">
        <f>V28/V$15</f>
        <v>0.32759694005818202</v>
      </c>
      <c r="W29" s="21">
        <f>W28/W$15</f>
        <v>0.32080280018012852</v>
      </c>
      <c r="X29" s="21">
        <v>0.3317143578186777</v>
      </c>
      <c r="Y29" s="21">
        <f t="shared" ref="Y29:AG29" si="58">Y28/Y$15</f>
        <v>0.35771377949456695</v>
      </c>
      <c r="Z29" s="21">
        <f t="shared" si="58"/>
        <v>0.33249844575136311</v>
      </c>
      <c r="AA29" s="21">
        <f t="shared" si="58"/>
        <v>0.32126206297964605</v>
      </c>
      <c r="AB29" s="21">
        <f t="shared" si="58"/>
        <v>0.35864384539683153</v>
      </c>
      <c r="AC29" s="21">
        <f t="shared" si="58"/>
        <v>0.35278509424568683</v>
      </c>
      <c r="AD29" s="21">
        <f t="shared" si="58"/>
        <v>0.30848698868919472</v>
      </c>
      <c r="AE29" s="21">
        <f t="shared" si="58"/>
        <v>0.34542416326488512</v>
      </c>
      <c r="AF29" s="21">
        <f t="shared" si="58"/>
        <v>0.34779078297198668</v>
      </c>
      <c r="AG29" s="21">
        <f t="shared" si="58"/>
        <v>0.30916072189401911</v>
      </c>
      <c r="AH29" s="30"/>
      <c r="AI29" s="30"/>
    </row>
    <row r="30" spans="1:35" s="92" customFormat="1" ht="18" x14ac:dyDescent="0.25">
      <c r="A30" s="81"/>
      <c r="B30" s="30"/>
      <c r="C30" s="30"/>
      <c r="D30" s="30"/>
      <c r="E30" s="30"/>
      <c r="F30" s="30"/>
      <c r="G30" s="30"/>
      <c r="H30" s="30"/>
      <c r="I30" s="30"/>
      <c r="J30" s="30"/>
      <c r="K30" s="30"/>
      <c r="L30" s="30"/>
      <c r="M30" s="29"/>
      <c r="N30" s="30"/>
      <c r="O30" s="30"/>
      <c r="P30" s="30"/>
      <c r="Q30" s="30"/>
      <c r="R30" s="35"/>
      <c r="S30" s="30"/>
      <c r="T30" s="30"/>
      <c r="U30" s="30"/>
      <c r="V30" s="30"/>
      <c r="W30" s="30"/>
      <c r="X30" s="30"/>
      <c r="AH30" s="30"/>
      <c r="AI30" s="30"/>
    </row>
    <row r="31" spans="1:35" s="92" customFormat="1" ht="18" x14ac:dyDescent="0.25">
      <c r="A31" s="81"/>
      <c r="B31" s="7" t="s">
        <v>122</v>
      </c>
      <c r="C31" s="7" t="s">
        <v>181</v>
      </c>
      <c r="D31" s="30"/>
      <c r="E31" s="35">
        <v>563</v>
      </c>
      <c r="F31" s="35">
        <v>296</v>
      </c>
      <c r="G31" s="35">
        <v>859</v>
      </c>
      <c r="H31" s="35">
        <v>27692</v>
      </c>
      <c r="I31" s="35">
        <v>126974</v>
      </c>
      <c r="J31" s="35">
        <f>SUM(AA31:AD31)</f>
        <v>99055.6</v>
      </c>
      <c r="K31" s="30"/>
      <c r="L31" s="30"/>
      <c r="M31" s="29"/>
      <c r="N31" s="30"/>
      <c r="O31" s="35">
        <v>125</v>
      </c>
      <c r="P31" s="35">
        <v>33</v>
      </c>
      <c r="Q31" s="35">
        <v>70.755319999999998</v>
      </c>
      <c r="R31" s="35">
        <v>630.24468000000002</v>
      </c>
      <c r="S31" s="35">
        <v>447</v>
      </c>
      <c r="T31" s="35">
        <v>567</v>
      </c>
      <c r="U31" s="35">
        <v>9378</v>
      </c>
      <c r="V31" s="35">
        <v>17300</v>
      </c>
      <c r="W31" s="35">
        <v>38592</v>
      </c>
      <c r="X31" s="35">
        <v>29335</v>
      </c>
      <c r="Y31" s="35">
        <v>31475</v>
      </c>
      <c r="Z31" s="35">
        <v>27572</v>
      </c>
      <c r="AA31" s="35">
        <v>28107</v>
      </c>
      <c r="AB31" s="35">
        <v>25253</v>
      </c>
      <c r="AC31" s="35">
        <v>23878.600000000006</v>
      </c>
      <c r="AD31" s="35">
        <v>21817</v>
      </c>
      <c r="AE31" s="35">
        <v>21400</v>
      </c>
      <c r="AF31" s="35">
        <v>31689.232999999993</v>
      </c>
      <c r="AG31" s="35">
        <v>29504.135999999999</v>
      </c>
      <c r="AI31" s="30"/>
    </row>
    <row r="32" spans="1:35" s="92" customFormat="1" ht="18" x14ac:dyDescent="0.25">
      <c r="A32" s="81"/>
      <c r="B32" s="7" t="s">
        <v>123</v>
      </c>
      <c r="C32" s="7" t="s">
        <v>182</v>
      </c>
      <c r="D32" s="30"/>
      <c r="E32" s="35">
        <v>-5473</v>
      </c>
      <c r="F32" s="35">
        <v>-7813</v>
      </c>
      <c r="G32" s="35">
        <v>-16200</v>
      </c>
      <c r="H32" s="35">
        <v>-67544</v>
      </c>
      <c r="I32" s="35">
        <v>-279296</v>
      </c>
      <c r="J32" s="35">
        <f>SUM(AA32:AD32)</f>
        <v>-355307.4</v>
      </c>
      <c r="K32" s="30"/>
      <c r="L32" s="30"/>
      <c r="M32" s="29"/>
      <c r="N32" s="30"/>
      <c r="O32" s="35">
        <v>-2498</v>
      </c>
      <c r="P32" s="35">
        <v>-3010</v>
      </c>
      <c r="Q32" s="35">
        <v>-4239.9753400000009</v>
      </c>
      <c r="R32" s="35">
        <v>-6452.0246599999991</v>
      </c>
      <c r="S32" s="35">
        <v>-7443</v>
      </c>
      <c r="T32" s="35">
        <v>-10673</v>
      </c>
      <c r="U32" s="35">
        <v>-16830</v>
      </c>
      <c r="V32" s="35">
        <v>-32598</v>
      </c>
      <c r="W32" s="35">
        <v>-64465</v>
      </c>
      <c r="X32" s="35">
        <v>-63711</v>
      </c>
      <c r="Y32" s="35">
        <v>-70442</v>
      </c>
      <c r="Z32" s="35">
        <v>-80678</v>
      </c>
      <c r="AA32" s="35">
        <v>-91020</v>
      </c>
      <c r="AB32" s="35">
        <v>-89044</v>
      </c>
      <c r="AC32" s="35">
        <v>-87767.000000000029</v>
      </c>
      <c r="AD32" s="35">
        <v>-87476.400000000023</v>
      </c>
      <c r="AE32" s="35">
        <v>-87202</v>
      </c>
      <c r="AF32" s="35">
        <v>-104038.644</v>
      </c>
      <c r="AG32" s="35">
        <v>-108721.95599999998</v>
      </c>
      <c r="AH32" s="30"/>
      <c r="AI32" s="30"/>
    </row>
    <row r="33" spans="1:35" s="92" customFormat="1" ht="18" x14ac:dyDescent="0.25">
      <c r="A33" s="81"/>
      <c r="B33" s="30"/>
      <c r="C33" s="30"/>
      <c r="D33" s="30"/>
      <c r="E33" s="30"/>
      <c r="F33" s="30"/>
      <c r="G33" s="30"/>
      <c r="H33" s="30"/>
      <c r="I33" s="30"/>
      <c r="J33" s="30"/>
      <c r="K33" s="30"/>
      <c r="L33" s="30"/>
      <c r="M33" s="29"/>
      <c r="N33" s="30"/>
      <c r="O33" s="30"/>
      <c r="P33" s="30"/>
      <c r="Q33" s="30"/>
      <c r="R33" s="30"/>
      <c r="S33" s="30"/>
      <c r="T33" s="30"/>
      <c r="U33" s="30"/>
      <c r="V33" s="30"/>
      <c r="W33" s="30"/>
      <c r="X33" s="30"/>
      <c r="Y33" s="30"/>
      <c r="Z33" s="30"/>
      <c r="AA33" s="30"/>
      <c r="AB33" s="30"/>
      <c r="AC33" s="30"/>
      <c r="AD33" s="30"/>
      <c r="AE33" s="30"/>
      <c r="AF33" s="30"/>
      <c r="AG33" s="30"/>
      <c r="AH33" s="30"/>
      <c r="AI33" s="30"/>
    </row>
    <row r="34" spans="1:35" s="92" customFormat="1" ht="18" x14ac:dyDescent="0.25">
      <c r="A34" s="81"/>
      <c r="B34" s="8" t="s">
        <v>124</v>
      </c>
      <c r="C34" s="8" t="s">
        <v>183</v>
      </c>
      <c r="D34" s="26"/>
      <c r="E34" s="27">
        <f t="shared" ref="E34:G34" si="59">E28+E31+E32</f>
        <v>9653</v>
      </c>
      <c r="F34" s="27">
        <f t="shared" si="59"/>
        <v>15088</v>
      </c>
      <c r="G34" s="27">
        <f t="shared" si="59"/>
        <v>24479</v>
      </c>
      <c r="H34" s="27">
        <f t="shared" ref="H34:J34" si="60">H28+H31+H32</f>
        <v>89589</v>
      </c>
      <c r="I34" s="27">
        <f t="shared" si="60"/>
        <v>167991</v>
      </c>
      <c r="J34" s="27">
        <f t="shared" si="60"/>
        <v>198835.19999999995</v>
      </c>
      <c r="K34" s="28">
        <f>I34/H34-1</f>
        <v>0.87512975923383451</v>
      </c>
      <c r="L34" s="28">
        <f>J34/I34-1</f>
        <v>0.18360626462131879</v>
      </c>
      <c r="M34" s="29"/>
      <c r="N34" s="30"/>
      <c r="O34" s="27">
        <f t="shared" ref="O34:T34" si="61">O28+O31+O32</f>
        <v>4926</v>
      </c>
      <c r="P34" s="27">
        <f t="shared" si="61"/>
        <v>5209</v>
      </c>
      <c r="Q34" s="27">
        <f t="shared" si="61"/>
        <v>6320.6169800000007</v>
      </c>
      <c r="R34" s="27">
        <f t="shared" si="61"/>
        <v>8023.3830200000029</v>
      </c>
      <c r="S34" s="27">
        <f t="shared" si="61"/>
        <v>11978</v>
      </c>
      <c r="T34" s="27">
        <f t="shared" si="61"/>
        <v>17251</v>
      </c>
      <c r="U34" s="27">
        <f>U28+U31+U32</f>
        <v>20929</v>
      </c>
      <c r="V34" s="27">
        <f>V28+V31+V32</f>
        <v>39431</v>
      </c>
      <c r="W34" s="27">
        <f>W28+W31+W32</f>
        <v>36817</v>
      </c>
      <c r="X34" s="27">
        <v>40546</v>
      </c>
      <c r="Y34" s="27">
        <f t="shared" ref="Y34:AG34" si="62">Y28+Y32+Y31</f>
        <v>50675</v>
      </c>
      <c r="Z34" s="27">
        <f t="shared" si="62"/>
        <v>39953</v>
      </c>
      <c r="AA34" s="27">
        <f t="shared" si="62"/>
        <v>30732</v>
      </c>
      <c r="AB34" s="27">
        <f t="shared" si="62"/>
        <v>47725</v>
      </c>
      <c r="AC34" s="27">
        <f t="shared" si="62"/>
        <v>62951.599999999977</v>
      </c>
      <c r="AD34" s="27">
        <f t="shared" si="62"/>
        <v>57426.599999999977</v>
      </c>
      <c r="AE34" s="27">
        <f t="shared" si="62"/>
        <v>68149</v>
      </c>
      <c r="AF34" s="27">
        <f t="shared" si="62"/>
        <v>69445.917447484229</v>
      </c>
      <c r="AG34" s="27">
        <f t="shared" si="62"/>
        <v>74430.476936685533</v>
      </c>
      <c r="AH34" s="28">
        <f>AG34/AC34-1</f>
        <v>0.18234448269282377</v>
      </c>
      <c r="AI34" s="28">
        <f>AG34/AF34-1</f>
        <v>7.1776134183419549E-2</v>
      </c>
    </row>
    <row r="35" spans="1:35" s="92" customFormat="1" ht="18" x14ac:dyDescent="0.25">
      <c r="A35" s="81"/>
      <c r="B35" s="7" t="s">
        <v>4</v>
      </c>
      <c r="C35" s="7" t="s">
        <v>177</v>
      </c>
      <c r="D35" s="30"/>
      <c r="E35" s="21">
        <f t="shared" ref="E35" si="63">E34/E$15</f>
        <v>0.22586457017174411</v>
      </c>
      <c r="F35" s="21">
        <f t="shared" ref="F35" si="64">F34/F$15</f>
        <v>0.2458369993808453</v>
      </c>
      <c r="G35" s="21">
        <f t="shared" ref="G35" si="65">G34/G$15</f>
        <v>0.21994896400524735</v>
      </c>
      <c r="H35" s="21">
        <f t="shared" ref="H35:J35" si="66">H34/H$15</f>
        <v>0.22986037346634031</v>
      </c>
      <c r="I35" s="21">
        <f t="shared" si="66"/>
        <v>0.17650674438983183</v>
      </c>
      <c r="J35" s="21">
        <f t="shared" si="66"/>
        <v>0.14609847263012252</v>
      </c>
      <c r="K35" s="30"/>
      <c r="L35" s="30"/>
      <c r="M35" s="29"/>
      <c r="N35" s="30"/>
      <c r="O35" s="21">
        <f t="shared" ref="O35:T35" si="67">O34/O$15</f>
        <v>0.24844908458163112</v>
      </c>
      <c r="P35" s="21">
        <f t="shared" si="67"/>
        <v>0.23820193890616426</v>
      </c>
      <c r="Q35" s="21">
        <f t="shared" si="67"/>
        <v>0.21539725258996731</v>
      </c>
      <c r="R35" s="21">
        <f t="shared" si="67"/>
        <v>0.19931394907464919</v>
      </c>
      <c r="S35" s="21">
        <f t="shared" si="67"/>
        <v>0.23143657617621485</v>
      </c>
      <c r="T35" s="21">
        <f t="shared" si="67"/>
        <v>0.24096604321772289</v>
      </c>
      <c r="U35" s="21">
        <f>U34/U$15</f>
        <v>0.21066776719747146</v>
      </c>
      <c r="V35" s="21">
        <f>V34/V$15</f>
        <v>0.23602614598173133</v>
      </c>
      <c r="W35" s="21">
        <f>W34/W$15</f>
        <v>0.18840320137552707</v>
      </c>
      <c r="X35" s="21">
        <v>0.17951590123216285</v>
      </c>
      <c r="Y35" s="21">
        <f t="shared" ref="Y35:AG35" si="68">Y34/Y$15</f>
        <v>0.20221710555194197</v>
      </c>
      <c r="Z35" s="21">
        <f t="shared" si="68"/>
        <v>0.14275148457542214</v>
      </c>
      <c r="AA35" s="21">
        <f t="shared" si="68"/>
        <v>0.10543035634033297</v>
      </c>
      <c r="AB35" s="21">
        <f t="shared" si="68"/>
        <v>0.1534871903723572</v>
      </c>
      <c r="AC35" s="21">
        <f t="shared" si="68"/>
        <v>0.17508976773034352</v>
      </c>
      <c r="AD35" s="21">
        <f t="shared" si="68"/>
        <v>0.14392667650796112</v>
      </c>
      <c r="AE35" s="21">
        <f t="shared" si="68"/>
        <v>0.17573822742897519</v>
      </c>
      <c r="AF35" s="21">
        <f t="shared" si="68"/>
        <v>0.1703345961232689</v>
      </c>
      <c r="AG35" s="21">
        <f t="shared" si="68"/>
        <v>0.14976397681872172</v>
      </c>
      <c r="AH35" s="30"/>
      <c r="AI35" s="30"/>
    </row>
    <row r="36" spans="1:35" s="92" customFormat="1" ht="18" x14ac:dyDescent="0.25">
      <c r="A36" s="81"/>
      <c r="B36" s="30"/>
      <c r="C36" s="30"/>
      <c r="D36" s="30"/>
      <c r="E36" s="30"/>
      <c r="F36" s="30"/>
      <c r="G36" s="30"/>
      <c r="H36" s="30"/>
      <c r="I36" s="30"/>
      <c r="J36" s="30"/>
      <c r="K36" s="30"/>
      <c r="L36" s="30"/>
      <c r="M36" s="29"/>
      <c r="N36" s="30"/>
      <c r="O36" s="30"/>
      <c r="P36" s="30"/>
      <c r="Q36" s="30"/>
      <c r="R36" s="30"/>
      <c r="S36" s="30"/>
      <c r="T36" s="30"/>
      <c r="U36" s="30"/>
      <c r="V36" s="30"/>
      <c r="W36" s="30"/>
      <c r="X36" s="30"/>
      <c r="Y36" s="30"/>
      <c r="Z36" s="30"/>
      <c r="AA36" s="30"/>
      <c r="AB36" s="30"/>
      <c r="AC36" s="30"/>
      <c r="AD36" s="30"/>
      <c r="AE36" s="30"/>
      <c r="AF36" s="30"/>
      <c r="AG36" s="30"/>
      <c r="AH36" s="30"/>
      <c r="AI36" s="30"/>
    </row>
    <row r="37" spans="1:35" s="92" customFormat="1" ht="18" x14ac:dyDescent="0.25">
      <c r="A37" s="81"/>
      <c r="B37" s="55" t="s">
        <v>125</v>
      </c>
      <c r="C37" s="55" t="s">
        <v>184</v>
      </c>
      <c r="D37" s="56"/>
      <c r="E37" s="54">
        <f t="shared" ref="E37" si="69">E38+E39</f>
        <v>-3334</v>
      </c>
      <c r="F37" s="54">
        <f t="shared" ref="F37" si="70">F38+F39</f>
        <v>-5924</v>
      </c>
      <c r="G37" s="54">
        <f t="shared" ref="G37:J37" si="71">G38+G39</f>
        <v>-6946</v>
      </c>
      <c r="H37" s="54">
        <f t="shared" si="71"/>
        <v>-31524.774632087621</v>
      </c>
      <c r="I37" s="54">
        <f t="shared" si="71"/>
        <v>-19399</v>
      </c>
      <c r="J37" s="54">
        <f t="shared" si="71"/>
        <v>-35552</v>
      </c>
      <c r="K37" s="10"/>
      <c r="L37" s="10"/>
      <c r="M37" s="29"/>
      <c r="N37" s="30"/>
      <c r="O37" s="54">
        <f t="shared" ref="O37:T37" si="72">O38+O39</f>
        <v>-1878</v>
      </c>
      <c r="P37" s="54">
        <f t="shared" si="72"/>
        <v>-1787</v>
      </c>
      <c r="Q37" s="54">
        <f t="shared" si="72"/>
        <v>-2386.8052000000002</v>
      </c>
      <c r="R37" s="54">
        <f t="shared" si="72"/>
        <v>-894.1947999999993</v>
      </c>
      <c r="S37" s="54">
        <f t="shared" si="72"/>
        <v>-4313</v>
      </c>
      <c r="T37" s="54">
        <f t="shared" si="72"/>
        <v>-6447</v>
      </c>
      <c r="U37" s="54">
        <f>U38+U39</f>
        <v>-7253</v>
      </c>
      <c r="V37" s="54">
        <f>V38+V39</f>
        <v>-13511.774632087621</v>
      </c>
      <c r="W37" s="54">
        <f>W38+W39</f>
        <v>-8852</v>
      </c>
      <c r="X37" s="54">
        <v>-9709</v>
      </c>
      <c r="Y37" s="54">
        <f t="shared" ref="Y37:AG37" si="73">Y38+Y39</f>
        <v>-11840</v>
      </c>
      <c r="Z37" s="54">
        <f t="shared" si="73"/>
        <v>11002</v>
      </c>
      <c r="AA37" s="54">
        <f t="shared" si="73"/>
        <v>-4510</v>
      </c>
      <c r="AB37" s="54">
        <f t="shared" si="73"/>
        <v>-4290</v>
      </c>
      <c r="AC37" s="54">
        <f t="shared" si="73"/>
        <v>-15078</v>
      </c>
      <c r="AD37" s="54">
        <f t="shared" si="73"/>
        <v>-11674</v>
      </c>
      <c r="AE37" s="54">
        <f t="shared" si="73"/>
        <v>-15035</v>
      </c>
      <c r="AF37" s="54">
        <f t="shared" si="73"/>
        <v>-14322</v>
      </c>
      <c r="AG37" s="54">
        <f t="shared" si="73"/>
        <v>-13591.383000000002</v>
      </c>
      <c r="AH37" s="10"/>
      <c r="AI37" s="36"/>
    </row>
    <row r="38" spans="1:35" s="93" customFormat="1" ht="18" x14ac:dyDescent="0.25">
      <c r="A38" s="91"/>
      <c r="B38" s="31" t="s">
        <v>126</v>
      </c>
      <c r="C38" s="31" t="s">
        <v>185</v>
      </c>
      <c r="D38" s="32"/>
      <c r="E38" s="49">
        <v>-3334</v>
      </c>
      <c r="F38" s="49">
        <v>-5818</v>
      </c>
      <c r="G38" s="49">
        <v>-6946</v>
      </c>
      <c r="H38" s="49">
        <v>-28024.774632087621</v>
      </c>
      <c r="I38" s="49">
        <v>-13319</v>
      </c>
      <c r="J38" s="35">
        <f>SUM(AA38:AD38)</f>
        <v>-35552</v>
      </c>
      <c r="K38" s="32"/>
      <c r="L38" s="32"/>
      <c r="M38" s="34"/>
      <c r="N38" s="32"/>
      <c r="O38" s="49">
        <v>-1878</v>
      </c>
      <c r="P38" s="49">
        <v>-1787</v>
      </c>
      <c r="Q38" s="49">
        <v>-2386.8052000000002</v>
      </c>
      <c r="R38" s="49">
        <v>-894.1947999999993</v>
      </c>
      <c r="S38" s="49">
        <v>-4179</v>
      </c>
      <c r="T38" s="49">
        <v>-5966</v>
      </c>
      <c r="U38" s="49">
        <v>-7492</v>
      </c>
      <c r="V38" s="49">
        <v>-10387.774632087621</v>
      </c>
      <c r="W38" s="49">
        <v>-7052</v>
      </c>
      <c r="X38" s="49">
        <v>-7961</v>
      </c>
      <c r="Y38" s="49">
        <v>-9308</v>
      </c>
      <c r="Z38" s="49">
        <v>11002</v>
      </c>
      <c r="AA38" s="49">
        <v>-4510</v>
      </c>
      <c r="AB38" s="49">
        <v>-4290</v>
      </c>
      <c r="AC38" s="49">
        <v>-15078</v>
      </c>
      <c r="AD38" s="49">
        <v>-11674</v>
      </c>
      <c r="AE38" s="49">
        <v>-15035</v>
      </c>
      <c r="AF38" s="49">
        <v>-14322</v>
      </c>
      <c r="AG38" s="49">
        <v>-9063.3470000000016</v>
      </c>
      <c r="AH38" s="32"/>
      <c r="AI38" s="32"/>
    </row>
    <row r="39" spans="1:35" s="93" customFormat="1" ht="18" x14ac:dyDescent="0.25">
      <c r="A39" s="91"/>
      <c r="B39" s="31" t="s">
        <v>127</v>
      </c>
      <c r="C39" s="31" t="s">
        <v>186</v>
      </c>
      <c r="D39" s="32"/>
      <c r="E39" s="49">
        <v>0</v>
      </c>
      <c r="F39" s="49">
        <v>-106</v>
      </c>
      <c r="G39" s="49">
        <v>0</v>
      </c>
      <c r="H39" s="49">
        <v>-3500</v>
      </c>
      <c r="I39" s="49">
        <v>-6080</v>
      </c>
      <c r="J39" s="35">
        <f>SUM(AA39:AD39)</f>
        <v>0</v>
      </c>
      <c r="K39" s="32"/>
      <c r="L39" s="32"/>
      <c r="M39" s="34"/>
      <c r="N39" s="32"/>
      <c r="O39" s="49">
        <v>0</v>
      </c>
      <c r="P39" s="49">
        <v>0</v>
      </c>
      <c r="Q39" s="49">
        <v>0</v>
      </c>
      <c r="R39" s="49">
        <v>0</v>
      </c>
      <c r="S39" s="49">
        <v>-134</v>
      </c>
      <c r="T39" s="49">
        <v>-481</v>
      </c>
      <c r="U39" s="49">
        <v>239</v>
      </c>
      <c r="V39" s="49">
        <v>-3124</v>
      </c>
      <c r="W39" s="49">
        <v>-1800</v>
      </c>
      <c r="X39" s="49">
        <v>-1748</v>
      </c>
      <c r="Y39" s="49">
        <v>-2532</v>
      </c>
      <c r="Z39" s="49">
        <v>0</v>
      </c>
      <c r="AA39" s="49">
        <v>0</v>
      </c>
      <c r="AB39" s="49">
        <v>0</v>
      </c>
      <c r="AC39" s="49">
        <v>0</v>
      </c>
      <c r="AD39" s="49">
        <v>0</v>
      </c>
      <c r="AE39" s="49">
        <v>0</v>
      </c>
      <c r="AF39" s="49">
        <v>0</v>
      </c>
      <c r="AG39" s="49">
        <v>-4528.0360000000001</v>
      </c>
      <c r="AH39" s="32"/>
      <c r="AI39" s="32"/>
    </row>
    <row r="40" spans="1:35" s="92" customFormat="1" ht="18" x14ac:dyDescent="0.25">
      <c r="A40" s="81"/>
      <c r="B40" s="30"/>
      <c r="C40" s="30"/>
      <c r="D40" s="30"/>
      <c r="E40" s="30"/>
      <c r="F40" s="30"/>
      <c r="G40" s="30"/>
      <c r="H40" s="30"/>
      <c r="I40" s="30"/>
      <c r="J40" s="30"/>
      <c r="K40" s="30"/>
      <c r="L40" s="30"/>
      <c r="M40" s="29"/>
      <c r="N40" s="30"/>
      <c r="O40" s="30"/>
      <c r="P40" s="30"/>
      <c r="Q40" s="30"/>
      <c r="R40" s="30"/>
      <c r="S40" s="30"/>
      <c r="T40" s="30"/>
      <c r="U40" s="30"/>
      <c r="V40" s="30"/>
      <c r="W40" s="30"/>
      <c r="X40" s="30"/>
      <c r="Y40" s="30"/>
      <c r="Z40" s="30"/>
      <c r="AA40" s="30"/>
      <c r="AB40" s="30"/>
      <c r="AC40" s="30"/>
      <c r="AD40" s="30"/>
      <c r="AE40" s="30"/>
      <c r="AF40" s="30"/>
      <c r="AG40" s="30"/>
      <c r="AH40" s="30"/>
      <c r="AI40" s="30"/>
    </row>
    <row r="41" spans="1:35" s="92" customFormat="1" ht="18" x14ac:dyDescent="0.25">
      <c r="A41" s="81"/>
      <c r="B41" s="8" t="s">
        <v>128</v>
      </c>
      <c r="C41" s="8" t="s">
        <v>187</v>
      </c>
      <c r="D41" s="26"/>
      <c r="E41" s="27">
        <f t="shared" ref="E41:H41" si="74">E34+E37</f>
        <v>6319</v>
      </c>
      <c r="F41" s="27">
        <f t="shared" si="74"/>
        <v>9164</v>
      </c>
      <c r="G41" s="27">
        <f t="shared" si="74"/>
        <v>17533</v>
      </c>
      <c r="H41" s="27">
        <f t="shared" si="74"/>
        <v>58064.225367912382</v>
      </c>
      <c r="I41" s="27">
        <f t="shared" ref="I41:J41" si="75">I34+I37</f>
        <v>148592</v>
      </c>
      <c r="J41" s="27">
        <f t="shared" si="75"/>
        <v>163283.19999999995</v>
      </c>
      <c r="K41" s="28">
        <f>I41/H41-1</f>
        <v>1.5590972592586301</v>
      </c>
      <c r="L41" s="28">
        <f>J41/I41-1</f>
        <v>9.8869387315602131E-2</v>
      </c>
      <c r="M41" s="29"/>
      <c r="N41" s="30"/>
      <c r="O41" s="27">
        <f t="shared" ref="O41:T41" si="76">O34+O37</f>
        <v>3048</v>
      </c>
      <c r="P41" s="27">
        <f t="shared" si="76"/>
        <v>3422</v>
      </c>
      <c r="Q41" s="27">
        <f t="shared" si="76"/>
        <v>3933.8117800000005</v>
      </c>
      <c r="R41" s="27">
        <f t="shared" si="76"/>
        <v>7129.1882200000036</v>
      </c>
      <c r="S41" s="27">
        <f t="shared" si="76"/>
        <v>7665</v>
      </c>
      <c r="T41" s="27">
        <f t="shared" si="76"/>
        <v>10804</v>
      </c>
      <c r="U41" s="27">
        <f>U34+U37</f>
        <v>13676</v>
      </c>
      <c r="V41" s="27">
        <f>V34+V37</f>
        <v>25919.225367912379</v>
      </c>
      <c r="W41" s="27">
        <f>W34+W37</f>
        <v>27965</v>
      </c>
      <c r="X41" s="27">
        <v>30837</v>
      </c>
      <c r="Y41" s="27">
        <f t="shared" ref="Y41:AE41" si="77">Y34+Y37</f>
        <v>38835</v>
      </c>
      <c r="Z41" s="27">
        <f t="shared" si="77"/>
        <v>50955</v>
      </c>
      <c r="AA41" s="27">
        <f t="shared" si="77"/>
        <v>26222</v>
      </c>
      <c r="AB41" s="27">
        <f t="shared" si="77"/>
        <v>43435</v>
      </c>
      <c r="AC41" s="27">
        <f t="shared" si="77"/>
        <v>47873.599999999977</v>
      </c>
      <c r="AD41" s="27">
        <f t="shared" si="77"/>
        <v>45752.599999999977</v>
      </c>
      <c r="AE41" s="27">
        <f t="shared" si="77"/>
        <v>53114</v>
      </c>
      <c r="AF41" s="27">
        <f t="shared" ref="AF41:AG41" si="78">AF34+AF37</f>
        <v>55123.917447484229</v>
      </c>
      <c r="AG41" s="27">
        <f t="shared" si="78"/>
        <v>60839.093936685531</v>
      </c>
      <c r="AH41" s="28">
        <f>AG41/AC41-1</f>
        <v>0.2708276364569524</v>
      </c>
      <c r="AI41" s="28">
        <f>AG41/AF41-1</f>
        <v>0.10367870706297433</v>
      </c>
    </row>
    <row r="42" spans="1:35" s="92" customFormat="1" ht="18" x14ac:dyDescent="0.25">
      <c r="A42" s="81"/>
      <c r="B42" s="7" t="s">
        <v>4</v>
      </c>
      <c r="C42" s="7" t="s">
        <v>177</v>
      </c>
      <c r="D42" s="30"/>
      <c r="E42" s="21">
        <f t="shared" ref="E42" si="79">E41/E$15</f>
        <v>0.14785436847770134</v>
      </c>
      <c r="F42" s="21">
        <f t="shared" ref="F42" si="80">F41/F$15</f>
        <v>0.14931404177664809</v>
      </c>
      <c r="G42" s="21">
        <f t="shared" ref="G42:H42" si="81">G41/G$15</f>
        <v>0.15753769295739214</v>
      </c>
      <c r="H42" s="21">
        <f t="shared" si="81"/>
        <v>0.14897659900324919</v>
      </c>
      <c r="I42" s="21">
        <f t="shared" ref="I42:J42" si="82">I41/I$15</f>
        <v>0.15612437667716658</v>
      </c>
      <c r="J42" s="21">
        <f t="shared" si="82"/>
        <v>0.11997587009824628</v>
      </c>
      <c r="K42" s="30"/>
      <c r="L42" s="30"/>
      <c r="M42" s="29"/>
      <c r="N42" s="30"/>
      <c r="O42" s="21">
        <f t="shared" ref="O42:T42" si="83">O41/O$15</f>
        <v>0.15372976244515055</v>
      </c>
      <c r="P42" s="21">
        <f t="shared" si="83"/>
        <v>0.15648436070971283</v>
      </c>
      <c r="Q42" s="21">
        <f t="shared" si="83"/>
        <v>0.13405847123773174</v>
      </c>
      <c r="R42" s="21">
        <f t="shared" si="83"/>
        <v>0.17710068861011063</v>
      </c>
      <c r="S42" s="21">
        <f t="shared" si="83"/>
        <v>0.14810163269249349</v>
      </c>
      <c r="T42" s="21">
        <f t="shared" si="83"/>
        <v>0.15091282423768351</v>
      </c>
      <c r="U42" s="21">
        <f>U41/U$15</f>
        <v>0.13766029835121696</v>
      </c>
      <c r="V42" s="21">
        <f>V41/V$15</f>
        <v>0.15514734271056482</v>
      </c>
      <c r="W42" s="21">
        <f>W41/W$15</f>
        <v>0.14310496581651452</v>
      </c>
      <c r="X42" s="21">
        <v>0.13652966621358967</v>
      </c>
      <c r="Y42" s="21">
        <f t="shared" ref="Y42:AE42" si="84">Y41/Y$15</f>
        <v>0.15496993180285479</v>
      </c>
      <c r="Z42" s="21">
        <f t="shared" si="84"/>
        <v>0.18206146964034328</v>
      </c>
      <c r="AA42" s="21">
        <f t="shared" si="84"/>
        <v>8.9958180527014556E-2</v>
      </c>
      <c r="AB42" s="21">
        <f t="shared" si="84"/>
        <v>0.13969022763380481</v>
      </c>
      <c r="AC42" s="21">
        <f t="shared" si="84"/>
        <v>0.13315273169252842</v>
      </c>
      <c r="AD42" s="21">
        <f t="shared" si="84"/>
        <v>0.11466845781568369</v>
      </c>
      <c r="AE42" s="21">
        <f t="shared" si="84"/>
        <v>0.13696694319304153</v>
      </c>
      <c r="AF42" s="21">
        <f t="shared" ref="AF42:AG42" si="85">AF41/AF$15</f>
        <v>0.13520607920904917</v>
      </c>
      <c r="AG42" s="21">
        <f t="shared" si="85"/>
        <v>0.12241631424391555</v>
      </c>
      <c r="AH42" s="30"/>
      <c r="AI42" s="30"/>
    </row>
    <row r="43" spans="1:35" s="39" customFormat="1" x14ac:dyDescent="0.25">
      <c r="B43" s="92"/>
      <c r="R43" s="94"/>
    </row>
    <row r="44" spans="1:35" ht="6" customHeight="1" x14ac:dyDescent="0.25"/>
    <row r="56" ht="6" customHeight="1" x14ac:dyDescent="0.25"/>
  </sheetData>
  <phoneticPr fontId="12" type="noConversion"/>
  <pageMargins left="0.7" right="0.7" top="0.75" bottom="0.75" header="0.3" footer="0.3"/>
  <pageSetup paperSize="9" orientation="portrait" r:id="rId1"/>
  <ignoredErrors>
    <ignoredError sqref="J7:J8 J11:J13 J19:J39" formulaRange="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34875E-6E5D-4BF9-8E8B-A2AD202E752F}">
  <sheetPr>
    <tabColor theme="4" tint="-0.249977111117893"/>
  </sheetPr>
  <dimension ref="A1:AQ61"/>
  <sheetViews>
    <sheetView showGridLines="0" zoomScaleNormal="100" workbookViewId="0">
      <pane xSplit="3" ySplit="4" topLeftCell="D5" activePane="bottomRight" state="frozen"/>
      <selection pane="topRight" activeCell="D1" sqref="D1"/>
      <selection pane="bottomLeft" activeCell="A5" sqref="A5"/>
      <selection pane="bottomRight" activeCell="AK24" sqref="AK24"/>
    </sheetView>
  </sheetViews>
  <sheetFormatPr defaultRowHeight="15" outlineLevelCol="1" x14ac:dyDescent="0.25"/>
  <cols>
    <col min="1" max="1" width="2.7109375" customWidth="1"/>
    <col min="2" max="2" width="37" bestFit="1" customWidth="1"/>
    <col min="3" max="3" width="39.7109375" hidden="1" customWidth="1" outlineLevel="1"/>
    <col min="4" max="4" width="8" customWidth="1" collapsed="1"/>
    <col min="5" max="12" width="10.7109375" hidden="1" customWidth="1" outlineLevel="1"/>
    <col min="13" max="13" width="2.7109375" hidden="1" customWidth="1" outlineLevel="1"/>
    <col min="14" max="14" width="2.7109375" customWidth="1" collapsed="1"/>
    <col min="15" max="17" width="10.7109375" hidden="1" customWidth="1"/>
    <col min="18" max="18" width="11.7109375" hidden="1" customWidth="1"/>
    <col min="19" max="28" width="10.7109375" hidden="1" customWidth="1"/>
    <col min="29" max="35" width="10.7109375" customWidth="1"/>
    <col min="42" max="42" width="13.85546875" bestFit="1" customWidth="1"/>
    <col min="43" max="43" width="10.5703125" bestFit="1" customWidth="1"/>
  </cols>
  <sheetData>
    <row r="1" spans="1:43" ht="12" customHeight="1" x14ac:dyDescent="0.25"/>
    <row r="2" spans="1:43" ht="21" x14ac:dyDescent="0.25">
      <c r="B2" s="14" t="s">
        <v>15</v>
      </c>
      <c r="C2" s="14" t="s">
        <v>190</v>
      </c>
      <c r="D2" s="14"/>
      <c r="E2" s="13"/>
      <c r="F2" s="14"/>
      <c r="G2" s="13"/>
      <c r="H2" s="13"/>
      <c r="I2" s="13"/>
      <c r="J2" s="13"/>
      <c r="K2" s="14"/>
      <c r="L2" s="13"/>
      <c r="M2" s="14"/>
      <c r="N2" s="13"/>
      <c r="O2" s="13"/>
      <c r="P2" s="13"/>
      <c r="Q2" s="13"/>
      <c r="R2" s="13"/>
      <c r="S2" s="14"/>
      <c r="T2" s="13"/>
      <c r="U2" s="13"/>
      <c r="V2" s="13"/>
      <c r="W2" s="13"/>
      <c r="X2" s="13"/>
      <c r="Y2" s="13"/>
      <c r="Z2" s="13"/>
      <c r="AA2" s="13"/>
      <c r="AB2" s="13"/>
      <c r="AC2" s="13"/>
      <c r="AD2" s="13"/>
      <c r="AE2" s="13"/>
      <c r="AF2" s="13"/>
      <c r="AG2" s="13"/>
      <c r="AH2" s="13"/>
      <c r="AI2" s="14"/>
    </row>
    <row r="3" spans="1:43" ht="12" customHeight="1" x14ac:dyDescent="0.25">
      <c r="O3" s="19" t="s">
        <v>310</v>
      </c>
      <c r="P3" s="19" t="s">
        <v>311</v>
      </c>
      <c r="Q3" s="19" t="s">
        <v>312</v>
      </c>
      <c r="R3" s="19" t="s">
        <v>313</v>
      </c>
      <c r="S3" s="19" t="s">
        <v>314</v>
      </c>
      <c r="T3" s="19" t="s">
        <v>315</v>
      </c>
      <c r="U3" s="19" t="s">
        <v>316</v>
      </c>
      <c r="V3" s="19" t="s">
        <v>317</v>
      </c>
      <c r="W3" s="19" t="s">
        <v>318</v>
      </c>
      <c r="X3" s="19" t="s">
        <v>319</v>
      </c>
      <c r="Y3" s="19" t="s">
        <v>320</v>
      </c>
      <c r="Z3" s="19" t="s">
        <v>322</v>
      </c>
      <c r="AA3" s="19" t="s">
        <v>349</v>
      </c>
      <c r="AB3" s="19" t="s">
        <v>365</v>
      </c>
      <c r="AC3" s="19" t="s">
        <v>372</v>
      </c>
      <c r="AD3" s="19" t="s">
        <v>380</v>
      </c>
      <c r="AE3" s="19" t="s">
        <v>395</v>
      </c>
      <c r="AF3" s="19" t="s">
        <v>411</v>
      </c>
      <c r="AG3" s="19" t="s">
        <v>413</v>
      </c>
    </row>
    <row r="4" spans="1:43" x14ac:dyDescent="0.25">
      <c r="B4" s="2" t="s">
        <v>0</v>
      </c>
      <c r="C4" s="2" t="s">
        <v>168</v>
      </c>
      <c r="D4" s="3"/>
      <c r="E4" s="18">
        <v>2018</v>
      </c>
      <c r="F4" s="18">
        <v>2019</v>
      </c>
      <c r="G4" s="18">
        <v>2020</v>
      </c>
      <c r="H4" s="18">
        <v>2021</v>
      </c>
      <c r="I4" s="18">
        <v>2022</v>
      </c>
      <c r="J4" s="18">
        <v>2023</v>
      </c>
      <c r="K4" s="19" t="s">
        <v>321</v>
      </c>
      <c r="L4" s="19" t="s">
        <v>379</v>
      </c>
      <c r="M4" s="20"/>
      <c r="N4" s="6"/>
      <c r="O4" s="19" t="s">
        <v>86</v>
      </c>
      <c r="P4" s="19" t="s">
        <v>87</v>
      </c>
      <c r="Q4" s="19" t="s">
        <v>95</v>
      </c>
      <c r="R4" s="19" t="s">
        <v>96</v>
      </c>
      <c r="S4" s="19" t="s">
        <v>1</v>
      </c>
      <c r="T4" s="19" t="s">
        <v>2</v>
      </c>
      <c r="U4" s="19" t="s">
        <v>97</v>
      </c>
      <c r="V4" s="19" t="s">
        <v>146</v>
      </c>
      <c r="W4" s="19" t="s">
        <v>161</v>
      </c>
      <c r="X4" s="19" t="s">
        <v>188</v>
      </c>
      <c r="Y4" s="19" t="s">
        <v>309</v>
      </c>
      <c r="Z4" s="19" t="s">
        <v>323</v>
      </c>
      <c r="AA4" s="19" t="s">
        <v>350</v>
      </c>
      <c r="AB4" s="19" t="s">
        <v>366</v>
      </c>
      <c r="AC4" s="19" t="s">
        <v>373</v>
      </c>
      <c r="AD4" s="19" t="s">
        <v>381</v>
      </c>
      <c r="AE4" s="19" t="s">
        <v>396</v>
      </c>
      <c r="AF4" s="19" t="s">
        <v>412</v>
      </c>
      <c r="AG4" s="19" t="s">
        <v>414</v>
      </c>
      <c r="AH4" s="19" t="s">
        <v>105</v>
      </c>
      <c r="AI4" s="19" t="s">
        <v>106</v>
      </c>
    </row>
    <row r="5" spans="1:43" ht="6" customHeight="1" x14ac:dyDescent="0.25">
      <c r="M5" s="4"/>
    </row>
    <row r="6" spans="1:43" s="39" customFormat="1" ht="18" x14ac:dyDescent="0.25">
      <c r="A6" s="81"/>
      <c r="B6" s="7" t="s">
        <v>16</v>
      </c>
      <c r="C6" s="7" t="s">
        <v>191</v>
      </c>
      <c r="E6" s="35">
        <v>2460</v>
      </c>
      <c r="F6" s="35">
        <v>6793</v>
      </c>
      <c r="G6" s="35">
        <v>84767</v>
      </c>
      <c r="H6" s="35">
        <v>1668121</v>
      </c>
      <c r="I6" s="35">
        <v>938358</v>
      </c>
      <c r="J6" s="35">
        <v>254404.55469271995</v>
      </c>
      <c r="K6" s="40"/>
      <c r="L6" s="10"/>
      <c r="M6" s="41"/>
      <c r="O6" s="35">
        <v>4405</v>
      </c>
      <c r="P6" s="35">
        <v>13372</v>
      </c>
      <c r="Q6" s="35">
        <v>49038.092210000003</v>
      </c>
      <c r="R6" s="35">
        <v>84767</v>
      </c>
      <c r="S6" s="35">
        <v>108963</v>
      </c>
      <c r="T6" s="35">
        <v>134925</v>
      </c>
      <c r="U6" s="35">
        <v>892411.2876618756</v>
      </c>
      <c r="V6" s="35">
        <v>3442</v>
      </c>
      <c r="W6" s="35">
        <v>1842</v>
      </c>
      <c r="X6" s="35">
        <v>4363</v>
      </c>
      <c r="Y6" s="35">
        <v>320</v>
      </c>
      <c r="Z6" s="35">
        <v>938358</v>
      </c>
      <c r="AA6" s="35">
        <v>869390</v>
      </c>
      <c r="AB6" s="35">
        <v>762979</v>
      </c>
      <c r="AC6" s="35">
        <v>379438</v>
      </c>
      <c r="AD6" s="35">
        <v>254404.55469271995</v>
      </c>
      <c r="AE6" s="35">
        <v>264628.96709999995</v>
      </c>
      <c r="AF6" s="35">
        <v>242994.85837999999</v>
      </c>
      <c r="AG6" s="35">
        <v>385200.01533916825</v>
      </c>
      <c r="AH6" s="35"/>
      <c r="AI6" s="10"/>
    </row>
    <row r="7" spans="1:43" s="39" customFormat="1" ht="18" x14ac:dyDescent="0.25">
      <c r="A7" s="81"/>
      <c r="B7" s="7" t="s">
        <v>374</v>
      </c>
      <c r="C7" s="7" t="s">
        <v>375</v>
      </c>
      <c r="E7" s="35">
        <v>0</v>
      </c>
      <c r="F7" s="35">
        <v>0</v>
      </c>
      <c r="G7" s="35">
        <v>0</v>
      </c>
      <c r="H7" s="35">
        <v>0</v>
      </c>
      <c r="I7" s="35">
        <v>0</v>
      </c>
      <c r="J7" s="35">
        <v>475190.44530728005</v>
      </c>
      <c r="K7" s="40"/>
      <c r="L7" s="10"/>
      <c r="M7" s="41"/>
      <c r="O7" s="35">
        <v>0</v>
      </c>
      <c r="P7" s="35">
        <v>0</v>
      </c>
      <c r="Q7" s="35">
        <v>0</v>
      </c>
      <c r="R7" s="35">
        <v>0</v>
      </c>
      <c r="S7" s="35">
        <v>0</v>
      </c>
      <c r="T7" s="35">
        <v>0</v>
      </c>
      <c r="U7" s="35">
        <v>0</v>
      </c>
      <c r="V7" s="35">
        <v>1664679</v>
      </c>
      <c r="W7" s="35">
        <v>1351137</v>
      </c>
      <c r="X7" s="35">
        <v>879595</v>
      </c>
      <c r="Y7" s="35">
        <v>859034</v>
      </c>
      <c r="Z7" s="35">
        <v>0</v>
      </c>
      <c r="AA7" s="35">
        <v>0</v>
      </c>
      <c r="AB7" s="35">
        <v>0</v>
      </c>
      <c r="AC7" s="35">
        <v>407606</v>
      </c>
      <c r="AD7" s="35">
        <v>475190.44530728005</v>
      </c>
      <c r="AE7" s="35">
        <v>1080342.0329</v>
      </c>
      <c r="AF7" s="35">
        <v>932708.91462000005</v>
      </c>
      <c r="AG7" s="35">
        <v>737761.84466083173</v>
      </c>
      <c r="AH7" s="35"/>
      <c r="AI7" s="10"/>
    </row>
    <row r="8" spans="1:43" s="39" customFormat="1" ht="18" x14ac:dyDescent="0.25">
      <c r="A8" s="81"/>
      <c r="B8" s="7" t="s">
        <v>17</v>
      </c>
      <c r="C8" s="7" t="s">
        <v>331</v>
      </c>
      <c r="E8" s="35">
        <v>5611</v>
      </c>
      <c r="F8" s="35">
        <v>8468</v>
      </c>
      <c r="G8" s="35">
        <v>23866</v>
      </c>
      <c r="H8" s="35">
        <v>170499</v>
      </c>
      <c r="I8" s="35">
        <v>237500</v>
      </c>
      <c r="J8" s="35">
        <v>325596</v>
      </c>
      <c r="K8" s="40"/>
      <c r="L8" s="10"/>
      <c r="M8" s="41"/>
      <c r="O8" s="35">
        <v>12303</v>
      </c>
      <c r="P8" s="35">
        <v>10821</v>
      </c>
      <c r="Q8" s="35">
        <v>16820</v>
      </c>
      <c r="R8" s="35">
        <v>23866</v>
      </c>
      <c r="S8" s="35">
        <v>38497</v>
      </c>
      <c r="T8" s="35">
        <v>63331</v>
      </c>
      <c r="U8" s="35">
        <v>96325</v>
      </c>
      <c r="V8" s="35">
        <f t="shared" ref="V8:V11" si="0">H8</f>
        <v>170499</v>
      </c>
      <c r="W8" s="35">
        <v>222996</v>
      </c>
      <c r="X8" s="35">
        <v>250781</v>
      </c>
      <c r="Y8" s="35">
        <v>245392</v>
      </c>
      <c r="Z8" s="35">
        <v>237500</v>
      </c>
      <c r="AA8" s="35">
        <v>251542</v>
      </c>
      <c r="AB8" s="35">
        <v>265547</v>
      </c>
      <c r="AC8" s="35">
        <v>311946</v>
      </c>
      <c r="AD8" s="35">
        <v>325596</v>
      </c>
      <c r="AE8" s="35">
        <v>403695</v>
      </c>
      <c r="AF8" s="35">
        <v>452351.18199999997</v>
      </c>
      <c r="AG8" s="35">
        <v>503281.54800000001</v>
      </c>
      <c r="AH8" s="35"/>
      <c r="AI8" s="10"/>
    </row>
    <row r="9" spans="1:43" s="39" customFormat="1" ht="18" x14ac:dyDescent="0.25">
      <c r="A9" s="81"/>
      <c r="B9" s="7" t="s">
        <v>18</v>
      </c>
      <c r="C9" s="7" t="s">
        <v>192</v>
      </c>
      <c r="E9" s="35">
        <v>0</v>
      </c>
      <c r="F9" s="35">
        <v>0</v>
      </c>
      <c r="G9" s="35">
        <v>1985</v>
      </c>
      <c r="H9" s="35">
        <v>17299</v>
      </c>
      <c r="I9" s="35">
        <v>34811</v>
      </c>
      <c r="J9" s="35">
        <v>56525</v>
      </c>
      <c r="K9" s="9"/>
      <c r="L9" s="10"/>
      <c r="M9" s="41"/>
      <c r="O9" s="35">
        <v>4.9133999999999993</v>
      </c>
      <c r="P9" s="35">
        <v>0</v>
      </c>
      <c r="Q9" s="35">
        <v>1060</v>
      </c>
      <c r="R9" s="35">
        <v>1985</v>
      </c>
      <c r="S9" s="35">
        <v>2807</v>
      </c>
      <c r="T9" s="35">
        <v>4721</v>
      </c>
      <c r="U9" s="35">
        <v>7784</v>
      </c>
      <c r="V9" s="35">
        <f t="shared" si="0"/>
        <v>17299</v>
      </c>
      <c r="W9" s="35">
        <v>20824</v>
      </c>
      <c r="X9" s="35">
        <v>25994</v>
      </c>
      <c r="Y9" s="35">
        <v>30874</v>
      </c>
      <c r="Z9" s="35">
        <v>34811</v>
      </c>
      <c r="AA9" s="35">
        <v>44637</v>
      </c>
      <c r="AB9" s="35">
        <v>52036</v>
      </c>
      <c r="AC9" s="35">
        <v>54253</v>
      </c>
      <c r="AD9" s="35">
        <v>56525</v>
      </c>
      <c r="AE9" s="35">
        <v>55505</v>
      </c>
      <c r="AF9" s="35">
        <v>62434.464</v>
      </c>
      <c r="AG9" s="35">
        <v>71130.613000000012</v>
      </c>
      <c r="AH9" s="35"/>
      <c r="AI9" s="10"/>
    </row>
    <row r="10" spans="1:43" s="39" customFormat="1" ht="18" x14ac:dyDescent="0.25">
      <c r="A10" s="81"/>
      <c r="B10" s="7" t="s">
        <v>19</v>
      </c>
      <c r="C10" s="7" t="s">
        <v>193</v>
      </c>
      <c r="E10" s="35">
        <v>2361</v>
      </c>
      <c r="F10" s="35">
        <v>1809</v>
      </c>
      <c r="G10" s="35">
        <v>9649</v>
      </c>
      <c r="H10" s="35">
        <v>33061</v>
      </c>
      <c r="I10" s="35">
        <v>68330</v>
      </c>
      <c r="J10" s="35">
        <v>33322</v>
      </c>
      <c r="K10" s="40"/>
      <c r="L10" s="10"/>
      <c r="M10" s="41"/>
      <c r="O10" s="35">
        <v>2605.25632</v>
      </c>
      <c r="P10" s="35">
        <v>3935</v>
      </c>
      <c r="Q10" s="35">
        <v>8234</v>
      </c>
      <c r="R10" s="35">
        <v>9649</v>
      </c>
      <c r="S10" s="35">
        <v>13637</v>
      </c>
      <c r="T10" s="35">
        <v>23986</v>
      </c>
      <c r="U10" s="35">
        <v>36376</v>
      </c>
      <c r="V10" s="35">
        <f t="shared" si="0"/>
        <v>33061</v>
      </c>
      <c r="W10" s="35">
        <v>38041</v>
      </c>
      <c r="X10" s="35">
        <v>33942</v>
      </c>
      <c r="Y10" s="35">
        <v>45278</v>
      </c>
      <c r="Z10" s="35">
        <v>68330</v>
      </c>
      <c r="AA10" s="35">
        <v>59467</v>
      </c>
      <c r="AB10" s="35">
        <v>44817</v>
      </c>
      <c r="AC10" s="35">
        <v>29834</v>
      </c>
      <c r="AD10" s="35">
        <v>33322</v>
      </c>
      <c r="AE10" s="35">
        <v>28805</v>
      </c>
      <c r="AF10" s="35">
        <v>34340.072999999997</v>
      </c>
      <c r="AG10" s="35">
        <v>35579.993999999999</v>
      </c>
      <c r="AH10" s="35"/>
      <c r="AI10" s="10"/>
      <c r="AP10" s="95"/>
    </row>
    <row r="11" spans="1:43" s="39" customFormat="1" ht="18" x14ac:dyDescent="0.25">
      <c r="A11" s="81"/>
      <c r="B11" s="11" t="s">
        <v>20</v>
      </c>
      <c r="C11" s="11" t="s">
        <v>194</v>
      </c>
      <c r="D11" s="42"/>
      <c r="E11" s="43">
        <v>231</v>
      </c>
      <c r="F11" s="43">
        <v>569</v>
      </c>
      <c r="G11" s="43">
        <v>1970</v>
      </c>
      <c r="H11" s="43">
        <v>8393</v>
      </c>
      <c r="I11" s="43">
        <v>11610</v>
      </c>
      <c r="J11" s="43">
        <v>42898</v>
      </c>
      <c r="K11" s="44"/>
      <c r="L11" s="45"/>
      <c r="M11" s="41"/>
      <c r="O11" s="43">
        <v>1161</v>
      </c>
      <c r="P11" s="43">
        <v>1476</v>
      </c>
      <c r="Q11" s="43">
        <v>2388</v>
      </c>
      <c r="R11" s="43">
        <v>1970</v>
      </c>
      <c r="S11" s="43">
        <v>4575</v>
      </c>
      <c r="T11" s="43">
        <v>5132</v>
      </c>
      <c r="U11" s="43">
        <v>6098</v>
      </c>
      <c r="V11" s="43">
        <f t="shared" si="0"/>
        <v>8393</v>
      </c>
      <c r="W11" s="43">
        <v>7227.3923700000014</v>
      </c>
      <c r="X11" s="43">
        <v>16486</v>
      </c>
      <c r="Y11" s="43">
        <v>11140</v>
      </c>
      <c r="Z11" s="43">
        <v>11610</v>
      </c>
      <c r="AA11" s="43">
        <v>30454</v>
      </c>
      <c r="AB11" s="43">
        <v>43377</v>
      </c>
      <c r="AC11" s="43">
        <v>45713</v>
      </c>
      <c r="AD11" s="43">
        <v>42898</v>
      </c>
      <c r="AE11" s="43">
        <v>59483</v>
      </c>
      <c r="AF11" s="43">
        <v>64310.325000000004</v>
      </c>
      <c r="AG11" s="43">
        <v>59417.786</v>
      </c>
      <c r="AH11" s="43"/>
      <c r="AI11" s="45"/>
      <c r="AP11" s="95"/>
    </row>
    <row r="12" spans="1:43" s="39" customFormat="1" ht="18" x14ac:dyDescent="0.25">
      <c r="A12" s="81"/>
      <c r="B12" s="5" t="s">
        <v>21</v>
      </c>
      <c r="C12" s="5" t="s">
        <v>195</v>
      </c>
      <c r="D12" s="46"/>
      <c r="E12" s="37">
        <f t="shared" ref="E12:J12" si="1">SUM(E6:E11)</f>
        <v>10663</v>
      </c>
      <c r="F12" s="37">
        <f t="shared" si="1"/>
        <v>17639</v>
      </c>
      <c r="G12" s="37">
        <f t="shared" si="1"/>
        <v>122237</v>
      </c>
      <c r="H12" s="37">
        <f t="shared" si="1"/>
        <v>1897373</v>
      </c>
      <c r="I12" s="37">
        <f t="shared" si="1"/>
        <v>1290609</v>
      </c>
      <c r="J12" s="37">
        <f t="shared" si="1"/>
        <v>1187936</v>
      </c>
      <c r="K12" s="36">
        <f>I12/H12-1</f>
        <v>-0.31979162768733405</v>
      </c>
      <c r="L12" s="36">
        <f>J12/I12-1</f>
        <v>-7.9553916019491577E-2</v>
      </c>
      <c r="M12" s="41"/>
      <c r="O12" s="37">
        <f t="shared" ref="O12:W12" si="2">SUM(O6:O11)</f>
        <v>20479.169720000002</v>
      </c>
      <c r="P12" s="37">
        <f t="shared" si="2"/>
        <v>29604</v>
      </c>
      <c r="Q12" s="37">
        <f t="shared" si="2"/>
        <v>77540.092210000003</v>
      </c>
      <c r="R12" s="37">
        <f t="shared" si="2"/>
        <v>122237</v>
      </c>
      <c r="S12" s="37">
        <f t="shared" si="2"/>
        <v>168479</v>
      </c>
      <c r="T12" s="37">
        <f t="shared" si="2"/>
        <v>232095</v>
      </c>
      <c r="U12" s="37">
        <f t="shared" si="2"/>
        <v>1038994.2876618756</v>
      </c>
      <c r="V12" s="37">
        <f t="shared" si="2"/>
        <v>1897373</v>
      </c>
      <c r="W12" s="37">
        <f t="shared" si="2"/>
        <v>1642067.39237</v>
      </c>
      <c r="X12" s="37">
        <f t="shared" ref="X12:AG12" si="3">SUM(X6:X11)</f>
        <v>1211161</v>
      </c>
      <c r="Y12" s="37">
        <f t="shared" si="3"/>
        <v>1192038</v>
      </c>
      <c r="Z12" s="37">
        <f t="shared" si="3"/>
        <v>1290609</v>
      </c>
      <c r="AA12" s="37">
        <f t="shared" si="3"/>
        <v>1255490</v>
      </c>
      <c r="AB12" s="37">
        <f t="shared" si="3"/>
        <v>1168756</v>
      </c>
      <c r="AC12" s="37">
        <f t="shared" si="3"/>
        <v>1228790</v>
      </c>
      <c r="AD12" s="37">
        <f t="shared" si="3"/>
        <v>1187936</v>
      </c>
      <c r="AE12" s="37">
        <f t="shared" si="3"/>
        <v>1892459</v>
      </c>
      <c r="AF12" s="37">
        <f t="shared" si="3"/>
        <v>1789139.817</v>
      </c>
      <c r="AG12" s="37">
        <f t="shared" si="3"/>
        <v>1792371.8009999997</v>
      </c>
      <c r="AH12" s="36">
        <f>AG12/AC12-1</f>
        <v>0.45864777626771036</v>
      </c>
      <c r="AI12" s="36">
        <f>AG12/AF12-1</f>
        <v>1.8064457396174127E-3</v>
      </c>
      <c r="AP12" s="95"/>
    </row>
    <row r="13" spans="1:43" s="39" customFormat="1" ht="18" x14ac:dyDescent="0.25">
      <c r="A13" s="81"/>
      <c r="M13" s="41"/>
      <c r="AP13" s="95"/>
      <c r="AQ13" s="113"/>
    </row>
    <row r="14" spans="1:43" s="39" customFormat="1" ht="18" x14ac:dyDescent="0.25">
      <c r="A14" s="81"/>
      <c r="B14" s="7" t="s">
        <v>19</v>
      </c>
      <c r="C14" s="7" t="s">
        <v>193</v>
      </c>
      <c r="E14" s="35">
        <v>0</v>
      </c>
      <c r="F14" s="35">
        <v>0</v>
      </c>
      <c r="G14" s="35">
        <v>318</v>
      </c>
      <c r="H14" s="35">
        <v>0</v>
      </c>
      <c r="I14" s="35">
        <v>0</v>
      </c>
      <c r="J14" s="35">
        <v>0</v>
      </c>
      <c r="K14" s="9"/>
      <c r="L14" s="10"/>
      <c r="M14" s="41"/>
      <c r="O14" s="35">
        <v>300</v>
      </c>
      <c r="P14" s="35">
        <v>316</v>
      </c>
      <c r="Q14" s="35">
        <v>342</v>
      </c>
      <c r="R14" s="35">
        <v>318</v>
      </c>
      <c r="S14" s="35">
        <v>295</v>
      </c>
      <c r="T14" s="35">
        <v>272</v>
      </c>
      <c r="U14" s="35">
        <v>248</v>
      </c>
      <c r="V14" s="35">
        <f t="shared" ref="V14:V19" si="4">H14</f>
        <v>0</v>
      </c>
      <c r="W14" s="35">
        <v>202</v>
      </c>
      <c r="X14" s="35">
        <v>10531</v>
      </c>
      <c r="Y14" s="35">
        <v>18593</v>
      </c>
      <c r="Z14" s="35">
        <v>0</v>
      </c>
      <c r="AA14" s="35">
        <v>0</v>
      </c>
      <c r="AB14" s="35">
        <v>0</v>
      </c>
      <c r="AC14" s="35">
        <v>0</v>
      </c>
      <c r="AD14" s="35">
        <v>0</v>
      </c>
      <c r="AE14" s="35">
        <v>0</v>
      </c>
      <c r="AF14" s="35">
        <v>0</v>
      </c>
      <c r="AG14" s="35">
        <v>0</v>
      </c>
      <c r="AH14" s="35"/>
      <c r="AI14" s="10"/>
    </row>
    <row r="15" spans="1:43" s="39" customFormat="1" ht="18" x14ac:dyDescent="0.25">
      <c r="A15" s="81"/>
      <c r="B15" s="7" t="s">
        <v>363</v>
      </c>
      <c r="C15" s="7" t="s">
        <v>364</v>
      </c>
      <c r="E15" s="35"/>
      <c r="F15" s="35"/>
      <c r="G15" s="35"/>
      <c r="H15" s="35"/>
      <c r="I15" s="35"/>
      <c r="J15" s="35">
        <v>1855</v>
      </c>
      <c r="K15" s="9"/>
      <c r="L15" s="10"/>
      <c r="M15" s="41"/>
      <c r="O15" s="35"/>
      <c r="P15" s="35"/>
      <c r="Q15" s="35"/>
      <c r="R15" s="35"/>
      <c r="S15" s="35"/>
      <c r="T15" s="35"/>
      <c r="U15" s="35"/>
      <c r="V15" s="35"/>
      <c r="W15" s="35">
        <v>0</v>
      </c>
      <c r="X15" s="35">
        <v>0</v>
      </c>
      <c r="Y15" s="35">
        <v>0</v>
      </c>
      <c r="Z15" s="35">
        <v>0</v>
      </c>
      <c r="AA15" s="35">
        <v>1635</v>
      </c>
      <c r="AB15" s="35">
        <v>1638</v>
      </c>
      <c r="AC15" s="35">
        <v>1556</v>
      </c>
      <c r="AD15" s="35">
        <v>1855</v>
      </c>
      <c r="AE15" s="35">
        <v>1960</v>
      </c>
      <c r="AF15" s="35">
        <v>2184</v>
      </c>
      <c r="AG15" s="35">
        <v>2199.422</v>
      </c>
      <c r="AH15" s="35"/>
      <c r="AI15" s="10"/>
    </row>
    <row r="16" spans="1:43" s="39" customFormat="1" ht="18" x14ac:dyDescent="0.25">
      <c r="A16" s="81"/>
      <c r="B16" s="7" t="s">
        <v>20</v>
      </c>
      <c r="C16" s="7" t="s">
        <v>194</v>
      </c>
      <c r="E16" s="35">
        <v>203</v>
      </c>
      <c r="F16" s="35">
        <v>229</v>
      </c>
      <c r="G16" s="35">
        <v>715</v>
      </c>
      <c r="H16" s="35">
        <v>839</v>
      </c>
      <c r="I16" s="35">
        <v>2104</v>
      </c>
      <c r="J16" s="35">
        <v>28040</v>
      </c>
      <c r="K16" s="40"/>
      <c r="L16" s="10"/>
      <c r="M16" s="41"/>
      <c r="O16" s="35">
        <v>333</v>
      </c>
      <c r="P16" s="35">
        <v>191</v>
      </c>
      <c r="Q16" s="35">
        <v>663</v>
      </c>
      <c r="R16" s="35">
        <v>715</v>
      </c>
      <c r="S16" s="35">
        <v>488</v>
      </c>
      <c r="T16" s="35">
        <v>570</v>
      </c>
      <c r="U16" s="35">
        <v>410</v>
      </c>
      <c r="V16" s="35">
        <f t="shared" si="4"/>
        <v>839</v>
      </c>
      <c r="W16" s="35">
        <v>1145</v>
      </c>
      <c r="X16" s="35">
        <v>1138</v>
      </c>
      <c r="Y16" s="35">
        <v>2059</v>
      </c>
      <c r="Z16" s="35">
        <v>2104</v>
      </c>
      <c r="AA16" s="35">
        <v>2637</v>
      </c>
      <c r="AB16" s="35">
        <v>3134</v>
      </c>
      <c r="AC16" s="35">
        <v>13288</v>
      </c>
      <c r="AD16" s="35">
        <v>28040</v>
      </c>
      <c r="AE16" s="35">
        <v>30153</v>
      </c>
      <c r="AF16" s="35">
        <v>38234.663</v>
      </c>
      <c r="AG16" s="35">
        <v>42745.030000000006</v>
      </c>
      <c r="AH16" s="35"/>
      <c r="AI16" s="10"/>
    </row>
    <row r="17" spans="1:35" s="39" customFormat="1" ht="18" x14ac:dyDescent="0.25">
      <c r="A17" s="81"/>
      <c r="B17" s="7" t="s">
        <v>22</v>
      </c>
      <c r="C17" s="7" t="s">
        <v>196</v>
      </c>
      <c r="E17" s="35">
        <v>64345</v>
      </c>
      <c r="F17" s="35">
        <v>98431</v>
      </c>
      <c r="G17" s="35">
        <v>306305</v>
      </c>
      <c r="H17" s="35">
        <v>1251287</v>
      </c>
      <c r="I17" s="35">
        <v>2313223</v>
      </c>
      <c r="J17" s="35">
        <v>2639478</v>
      </c>
      <c r="K17" s="40"/>
      <c r="L17" s="10"/>
      <c r="M17" s="41"/>
      <c r="O17" s="35">
        <v>122397</v>
      </c>
      <c r="P17" s="35">
        <v>151463</v>
      </c>
      <c r="Q17" s="35">
        <v>238215</v>
      </c>
      <c r="R17" s="35">
        <v>306305</v>
      </c>
      <c r="S17" s="35">
        <v>429219</v>
      </c>
      <c r="T17" s="35">
        <v>613945</v>
      </c>
      <c r="U17" s="35">
        <v>902750</v>
      </c>
      <c r="V17" s="35">
        <f t="shared" si="4"/>
        <v>1251287</v>
      </c>
      <c r="W17" s="35">
        <v>1437500</v>
      </c>
      <c r="X17" s="35">
        <v>1632763</v>
      </c>
      <c r="Y17" s="35">
        <v>2132161</v>
      </c>
      <c r="Z17" s="35">
        <v>2313223</v>
      </c>
      <c r="AA17" s="35">
        <v>2373128</v>
      </c>
      <c r="AB17" s="35">
        <v>2453478</v>
      </c>
      <c r="AC17" s="35">
        <v>2588697</v>
      </c>
      <c r="AD17" s="35">
        <v>2639478</v>
      </c>
      <c r="AE17" s="35">
        <v>2673707</v>
      </c>
      <c r="AF17" s="35">
        <v>2948959.4180000001</v>
      </c>
      <c r="AG17" s="35">
        <v>3050996.4610000001</v>
      </c>
      <c r="AH17" s="35"/>
      <c r="AI17" s="10"/>
    </row>
    <row r="18" spans="1:35" s="39" customFormat="1" ht="18" x14ac:dyDescent="0.25">
      <c r="A18" s="81"/>
      <c r="B18" s="7" t="s">
        <v>23</v>
      </c>
      <c r="C18" s="7" t="s">
        <v>197</v>
      </c>
      <c r="E18" s="35">
        <v>110</v>
      </c>
      <c r="F18" s="35">
        <v>79</v>
      </c>
      <c r="G18" s="35">
        <v>453</v>
      </c>
      <c r="H18" s="35">
        <v>131988</v>
      </c>
      <c r="I18" s="35">
        <v>125039</v>
      </c>
      <c r="J18" s="35">
        <v>125418</v>
      </c>
      <c r="K18" s="40"/>
      <c r="L18" s="10"/>
      <c r="M18" s="41"/>
      <c r="O18" s="35">
        <v>90</v>
      </c>
      <c r="P18" s="35">
        <v>75</v>
      </c>
      <c r="Q18" s="35">
        <v>235</v>
      </c>
      <c r="R18" s="35">
        <v>453</v>
      </c>
      <c r="S18" s="35">
        <v>520</v>
      </c>
      <c r="T18" s="35">
        <v>608</v>
      </c>
      <c r="U18" s="35">
        <v>16580</v>
      </c>
      <c r="V18" s="35">
        <f t="shared" si="4"/>
        <v>131988</v>
      </c>
      <c r="W18" s="35">
        <v>126672</v>
      </c>
      <c r="X18" s="35">
        <v>125134</v>
      </c>
      <c r="Y18" s="35">
        <v>123927</v>
      </c>
      <c r="Z18" s="35">
        <v>125039</v>
      </c>
      <c r="AA18" s="35">
        <v>127661</v>
      </c>
      <c r="AB18" s="35">
        <v>130746</v>
      </c>
      <c r="AC18" s="35">
        <v>132126</v>
      </c>
      <c r="AD18" s="35">
        <v>125418</v>
      </c>
      <c r="AE18" s="35">
        <v>122072</v>
      </c>
      <c r="AF18" s="35">
        <v>119989</v>
      </c>
      <c r="AG18" s="35">
        <v>206182.245</v>
      </c>
      <c r="AH18" s="35"/>
      <c r="AI18" s="10"/>
    </row>
    <row r="19" spans="1:35" s="39" customFormat="1" ht="18" x14ac:dyDescent="0.25">
      <c r="A19" s="81"/>
      <c r="B19" s="11" t="s">
        <v>415</v>
      </c>
      <c r="C19" s="11" t="s">
        <v>416</v>
      </c>
      <c r="D19" s="42"/>
      <c r="E19" s="43">
        <v>0</v>
      </c>
      <c r="F19" s="43">
        <v>0</v>
      </c>
      <c r="G19" s="43">
        <v>0</v>
      </c>
      <c r="H19" s="43">
        <v>0</v>
      </c>
      <c r="I19" s="43">
        <v>0</v>
      </c>
      <c r="J19" s="43">
        <v>0</v>
      </c>
      <c r="K19" s="44"/>
      <c r="L19" s="45"/>
      <c r="M19" s="41"/>
      <c r="O19" s="43"/>
      <c r="P19" s="43"/>
      <c r="Q19" s="43"/>
      <c r="R19" s="43"/>
      <c r="S19" s="43"/>
      <c r="T19" s="43"/>
      <c r="U19" s="43"/>
      <c r="V19" s="43">
        <f t="shared" si="4"/>
        <v>0</v>
      </c>
      <c r="W19" s="43"/>
      <c r="X19" s="43"/>
      <c r="Y19" s="43"/>
      <c r="Z19" s="43"/>
      <c r="AA19" s="43"/>
      <c r="AB19" s="43"/>
      <c r="AC19" s="43">
        <v>0</v>
      </c>
      <c r="AD19" s="43">
        <v>0</v>
      </c>
      <c r="AE19" s="43">
        <v>0</v>
      </c>
      <c r="AF19" s="43">
        <v>0</v>
      </c>
      <c r="AG19" s="43">
        <v>8116</v>
      </c>
      <c r="AH19" s="43"/>
      <c r="AI19" s="45"/>
    </row>
    <row r="20" spans="1:35" s="39" customFormat="1" ht="18" x14ac:dyDescent="0.25">
      <c r="A20" s="81"/>
      <c r="B20" s="5" t="s">
        <v>24</v>
      </c>
      <c r="C20" s="5" t="s">
        <v>198</v>
      </c>
      <c r="D20" s="46"/>
      <c r="E20" s="37">
        <f>SUM(E14:E19)</f>
        <v>64658</v>
      </c>
      <c r="F20" s="37">
        <f t="shared" ref="F20:J20" si="5">SUM(F14:F19)</f>
        <v>98739</v>
      </c>
      <c r="G20" s="37">
        <f t="shared" si="5"/>
        <v>307791</v>
      </c>
      <c r="H20" s="37">
        <f t="shared" si="5"/>
        <v>1384114</v>
      </c>
      <c r="I20" s="37">
        <f t="shared" si="5"/>
        <v>2440366</v>
      </c>
      <c r="J20" s="37">
        <f t="shared" si="5"/>
        <v>2794791</v>
      </c>
      <c r="K20" s="36">
        <f>I20/H20-1</f>
        <v>0.76312500270931438</v>
      </c>
      <c r="L20" s="36">
        <f>J20/I20-1</f>
        <v>0.14523436238662568</v>
      </c>
      <c r="M20" s="41"/>
      <c r="O20" s="37">
        <f t="shared" ref="O20" si="6">SUM(O14:O19)</f>
        <v>123120</v>
      </c>
      <c r="P20" s="37">
        <f t="shared" ref="P20" si="7">SUM(P14:P19)</f>
        <v>152045</v>
      </c>
      <c r="Q20" s="37">
        <f t="shared" ref="Q20" si="8">SUM(Q14:Q19)</f>
        <v>239455</v>
      </c>
      <c r="R20" s="37">
        <f t="shared" ref="R20" si="9">SUM(R14:R19)</f>
        <v>307791</v>
      </c>
      <c r="S20" s="37">
        <f t="shared" ref="S20" si="10">SUM(S14:S19)</f>
        <v>430522</v>
      </c>
      <c r="T20" s="37">
        <f t="shared" ref="T20" si="11">SUM(T14:T19)</f>
        <v>615395</v>
      </c>
      <c r="U20" s="37">
        <f t="shared" ref="U20" si="12">SUM(U14:U19)</f>
        <v>919988</v>
      </c>
      <c r="V20" s="37">
        <f t="shared" ref="V20" si="13">SUM(V14:V19)</f>
        <v>1384114</v>
      </c>
      <c r="W20" s="37">
        <f t="shared" ref="W20" si="14">SUM(W14:W19)</f>
        <v>1565519</v>
      </c>
      <c r="X20" s="37">
        <f t="shared" ref="X20" si="15">SUM(X14:X19)</f>
        <v>1769566</v>
      </c>
      <c r="Y20" s="37">
        <f t="shared" ref="Y20" si="16">SUM(Y14:Y19)</f>
        <v>2276740</v>
      </c>
      <c r="Z20" s="37">
        <f t="shared" ref="Z20" si="17">SUM(Z14:Z19)</f>
        <v>2440366</v>
      </c>
      <c r="AA20" s="37">
        <f t="shared" ref="AA20" si="18">SUM(AA14:AA19)</f>
        <v>2505061</v>
      </c>
      <c r="AB20" s="37">
        <f t="shared" ref="AB20" si="19">SUM(AB14:AB19)</f>
        <v>2588996</v>
      </c>
      <c r="AC20" s="37">
        <f t="shared" ref="AC20" si="20">SUM(AC14:AC19)</f>
        <v>2735667</v>
      </c>
      <c r="AD20" s="37">
        <f t="shared" ref="AD20" si="21">SUM(AD14:AD19)</f>
        <v>2794791</v>
      </c>
      <c r="AE20" s="37">
        <f t="shared" ref="AE20" si="22">SUM(AE14:AE19)</f>
        <v>2827892</v>
      </c>
      <c r="AF20" s="37">
        <f t="shared" ref="AF20" si="23">SUM(AF14:AF19)</f>
        <v>3109367.0810000002</v>
      </c>
      <c r="AG20" s="37">
        <f t="shared" ref="AG20" si="24">SUM(AG14:AG19)</f>
        <v>3310239.1580000003</v>
      </c>
      <c r="AH20" s="36">
        <f>AG20/AC20-1</f>
        <v>0.21003000657609294</v>
      </c>
      <c r="AI20" s="36">
        <f>AG20/AF20-1</f>
        <v>6.4602239544968132E-2</v>
      </c>
    </row>
    <row r="21" spans="1:35" s="39" customFormat="1" ht="18" x14ac:dyDescent="0.25">
      <c r="A21" s="81"/>
      <c r="M21" s="41"/>
      <c r="R21" s="39" t="s">
        <v>85</v>
      </c>
    </row>
    <row r="22" spans="1:35" s="39" customFormat="1" ht="18" x14ac:dyDescent="0.25">
      <c r="A22" s="81"/>
      <c r="B22" s="8" t="s">
        <v>25</v>
      </c>
      <c r="C22" s="8" t="s">
        <v>199</v>
      </c>
      <c r="D22" s="47"/>
      <c r="E22" s="27">
        <f t="shared" ref="E22:J22" si="25">E20+E12</f>
        <v>75321</v>
      </c>
      <c r="F22" s="27">
        <f t="shared" si="25"/>
        <v>116378</v>
      </c>
      <c r="G22" s="27">
        <f t="shared" si="25"/>
        <v>430028</v>
      </c>
      <c r="H22" s="27">
        <f t="shared" si="25"/>
        <v>3281487</v>
      </c>
      <c r="I22" s="27">
        <f t="shared" si="25"/>
        <v>3730975</v>
      </c>
      <c r="J22" s="27">
        <f t="shared" si="25"/>
        <v>3982727</v>
      </c>
      <c r="K22" s="28">
        <f>I22/H22-1</f>
        <v>0.13697692539997863</v>
      </c>
      <c r="L22" s="28">
        <f>J22/I22-1</f>
        <v>6.7476195900535441E-2</v>
      </c>
      <c r="M22" s="41"/>
      <c r="O22" s="27">
        <f t="shared" ref="O22:W22" si="26">O20+O12</f>
        <v>143599.16972000001</v>
      </c>
      <c r="P22" s="27">
        <f t="shared" si="26"/>
        <v>181649</v>
      </c>
      <c r="Q22" s="27">
        <f t="shared" si="26"/>
        <v>316995.09221000003</v>
      </c>
      <c r="R22" s="27">
        <f t="shared" si="26"/>
        <v>430028</v>
      </c>
      <c r="S22" s="27">
        <f t="shared" si="26"/>
        <v>599001</v>
      </c>
      <c r="T22" s="27">
        <f t="shared" si="26"/>
        <v>847490</v>
      </c>
      <c r="U22" s="27">
        <f t="shared" si="26"/>
        <v>1958982.2876618756</v>
      </c>
      <c r="V22" s="27">
        <f t="shared" si="26"/>
        <v>3281487</v>
      </c>
      <c r="W22" s="27">
        <f t="shared" si="26"/>
        <v>3207586.39237</v>
      </c>
      <c r="X22" s="27">
        <v>2980727</v>
      </c>
      <c r="Y22" s="27">
        <f t="shared" ref="Y22:AG22" si="27">Y20+Y12</f>
        <v>3468778</v>
      </c>
      <c r="Z22" s="27">
        <f t="shared" si="27"/>
        <v>3730975</v>
      </c>
      <c r="AA22" s="27">
        <f t="shared" si="27"/>
        <v>3760551</v>
      </c>
      <c r="AB22" s="27">
        <f t="shared" si="27"/>
        <v>3757752</v>
      </c>
      <c r="AC22" s="27">
        <f t="shared" si="27"/>
        <v>3964457</v>
      </c>
      <c r="AD22" s="27">
        <f t="shared" si="27"/>
        <v>3982727</v>
      </c>
      <c r="AE22" s="27">
        <f t="shared" si="27"/>
        <v>4720351</v>
      </c>
      <c r="AF22" s="27">
        <f t="shared" si="27"/>
        <v>4898506.898</v>
      </c>
      <c r="AG22" s="27">
        <f t="shared" si="27"/>
        <v>5102610.9589999998</v>
      </c>
      <c r="AH22" s="28">
        <f>AG22/AC22-1</f>
        <v>0.28708949523226002</v>
      </c>
      <c r="AI22" s="28">
        <f>AG22/AF22-1</f>
        <v>4.1666586421126084E-2</v>
      </c>
    </row>
    <row r="23" spans="1:35" s="39" customFormat="1" ht="18" x14ac:dyDescent="0.25">
      <c r="A23" s="81"/>
      <c r="M23" s="41"/>
    </row>
    <row r="24" spans="1:35" s="39" customFormat="1" ht="18" x14ac:dyDescent="0.25">
      <c r="A24" s="81"/>
      <c r="B24" s="7" t="s">
        <v>26</v>
      </c>
      <c r="C24" s="7" t="s">
        <v>200</v>
      </c>
      <c r="E24" s="35">
        <v>2138</v>
      </c>
      <c r="F24" s="35">
        <v>6729</v>
      </c>
      <c r="G24" s="35">
        <v>12781</v>
      </c>
      <c r="H24" s="35">
        <v>49583</v>
      </c>
      <c r="I24" s="35">
        <v>116768</v>
      </c>
      <c r="J24" s="35">
        <v>36175.975144991418</v>
      </c>
      <c r="K24" s="40"/>
      <c r="L24" s="10"/>
      <c r="M24" s="41"/>
      <c r="O24" s="35">
        <v>5344</v>
      </c>
      <c r="P24" s="35">
        <v>15905</v>
      </c>
      <c r="Q24" s="35">
        <v>15353</v>
      </c>
      <c r="R24" s="35">
        <v>12781</v>
      </c>
      <c r="S24" s="35">
        <v>10947</v>
      </c>
      <c r="T24" s="35">
        <v>29156</v>
      </c>
      <c r="U24" s="35">
        <v>61535</v>
      </c>
      <c r="V24" s="35">
        <f t="shared" ref="V24:V35" si="28">H24</f>
        <v>49583</v>
      </c>
      <c r="W24" s="35">
        <v>107902</v>
      </c>
      <c r="X24" s="35">
        <v>95080</v>
      </c>
      <c r="Y24" s="35">
        <v>284313</v>
      </c>
      <c r="Z24" s="35">
        <v>116768</v>
      </c>
      <c r="AA24" s="35">
        <v>83735</v>
      </c>
      <c r="AB24" s="35">
        <v>48670.691239999986</v>
      </c>
      <c r="AC24" s="35">
        <v>59840.2686829546</v>
      </c>
      <c r="AD24" s="35">
        <v>36175.975144991418</v>
      </c>
      <c r="AE24" s="35">
        <v>34891</v>
      </c>
      <c r="AF24" s="35">
        <v>53751.479353010647</v>
      </c>
      <c r="AG24" s="35">
        <v>50045.292167928797</v>
      </c>
      <c r="AH24" s="35"/>
      <c r="AI24" s="10"/>
    </row>
    <row r="25" spans="1:35" s="39" customFormat="1" ht="18" x14ac:dyDescent="0.25">
      <c r="A25" s="81"/>
      <c r="B25" s="7" t="s">
        <v>324</v>
      </c>
      <c r="C25" s="7" t="s">
        <v>330</v>
      </c>
      <c r="E25" s="35">
        <v>0</v>
      </c>
      <c r="F25" s="35">
        <v>0</v>
      </c>
      <c r="G25" s="35">
        <v>0</v>
      </c>
      <c r="H25" s="35">
        <v>0</v>
      </c>
      <c r="I25" s="35">
        <v>167472</v>
      </c>
      <c r="J25" s="35">
        <v>360128.02485500858</v>
      </c>
      <c r="K25" s="40"/>
      <c r="L25" s="10"/>
      <c r="M25" s="41"/>
      <c r="O25" s="35">
        <v>0</v>
      </c>
      <c r="P25" s="35">
        <v>0</v>
      </c>
      <c r="Q25" s="35">
        <v>0</v>
      </c>
      <c r="R25" s="35">
        <v>0</v>
      </c>
      <c r="S25" s="35">
        <v>0</v>
      </c>
      <c r="T25" s="35">
        <v>0</v>
      </c>
      <c r="U25" s="35">
        <v>0</v>
      </c>
      <c r="V25" s="35">
        <v>0</v>
      </c>
      <c r="W25" s="35">
        <v>0</v>
      </c>
      <c r="X25" s="35">
        <v>0</v>
      </c>
      <c r="Y25" s="35">
        <v>0</v>
      </c>
      <c r="Z25" s="35">
        <v>167472</v>
      </c>
      <c r="AA25" s="35">
        <v>155376</v>
      </c>
      <c r="AB25" s="35">
        <v>210871.30876000001</v>
      </c>
      <c r="AC25" s="35">
        <v>253457.73131704499</v>
      </c>
      <c r="AD25" s="35">
        <v>360128.02485500858</v>
      </c>
      <c r="AE25" s="35">
        <v>256415</v>
      </c>
      <c r="AF25" s="35">
        <v>408885.40564698935</v>
      </c>
      <c r="AG25" s="35">
        <v>421302.07983207121</v>
      </c>
      <c r="AH25" s="35"/>
      <c r="AI25" s="10"/>
    </row>
    <row r="26" spans="1:35" s="39" customFormat="1" ht="18" x14ac:dyDescent="0.25">
      <c r="A26" s="81"/>
      <c r="B26" s="7" t="s">
        <v>27</v>
      </c>
      <c r="C26" s="7" t="s">
        <v>201</v>
      </c>
      <c r="E26" s="35">
        <v>15247</v>
      </c>
      <c r="F26" s="35">
        <v>27070</v>
      </c>
      <c r="G26" s="35">
        <v>64963</v>
      </c>
      <c r="H26" s="35">
        <v>163742</v>
      </c>
      <c r="I26" s="35">
        <v>56580</v>
      </c>
      <c r="J26" s="35">
        <v>261370</v>
      </c>
      <c r="K26" s="40"/>
      <c r="L26" s="10"/>
      <c r="M26" s="41"/>
      <c r="O26" s="35">
        <v>27221</v>
      </c>
      <c r="P26" s="35">
        <v>27029</v>
      </c>
      <c r="Q26" s="35">
        <v>41489</v>
      </c>
      <c r="R26" s="35">
        <v>64963</v>
      </c>
      <c r="S26" s="35">
        <v>78358</v>
      </c>
      <c r="T26" s="35">
        <v>83984</v>
      </c>
      <c r="U26" s="35">
        <v>124893</v>
      </c>
      <c r="V26" s="35">
        <f t="shared" si="28"/>
        <v>163742</v>
      </c>
      <c r="W26" s="35">
        <v>190376</v>
      </c>
      <c r="X26" s="35">
        <v>124856</v>
      </c>
      <c r="Y26" s="35">
        <v>95102</v>
      </c>
      <c r="Z26" s="35">
        <v>56580</v>
      </c>
      <c r="AA26" s="35">
        <v>126671</v>
      </c>
      <c r="AB26" s="35">
        <v>64454</v>
      </c>
      <c r="AC26" s="35">
        <v>126640</v>
      </c>
      <c r="AD26" s="35">
        <v>261370</v>
      </c>
      <c r="AE26" s="35">
        <v>366950</v>
      </c>
      <c r="AF26" s="35">
        <v>343902</v>
      </c>
      <c r="AG26" s="35">
        <v>379004.86200000002</v>
      </c>
      <c r="AH26" s="35"/>
      <c r="AI26" s="10"/>
    </row>
    <row r="27" spans="1:35" s="39" customFormat="1" ht="18" x14ac:dyDescent="0.25">
      <c r="A27" s="81"/>
      <c r="B27" s="7" t="s">
        <v>28</v>
      </c>
      <c r="C27" s="7" t="s">
        <v>202</v>
      </c>
      <c r="E27" s="35">
        <v>0</v>
      </c>
      <c r="F27" s="35">
        <v>0</v>
      </c>
      <c r="G27" s="35">
        <v>1156</v>
      </c>
      <c r="H27" s="35">
        <v>6882</v>
      </c>
      <c r="I27" s="35">
        <v>5138</v>
      </c>
      <c r="J27" s="35">
        <v>8505</v>
      </c>
      <c r="K27" s="9"/>
      <c r="L27" s="10"/>
      <c r="M27" s="41"/>
      <c r="O27" s="35">
        <v>270</v>
      </c>
      <c r="P27" s="35">
        <v>1323</v>
      </c>
      <c r="Q27" s="35">
        <v>2366</v>
      </c>
      <c r="R27" s="35">
        <v>1156</v>
      </c>
      <c r="S27" s="35">
        <v>1203</v>
      </c>
      <c r="T27" s="35">
        <v>1303</v>
      </c>
      <c r="U27" s="35">
        <v>1612</v>
      </c>
      <c r="V27" s="35">
        <f t="shared" si="28"/>
        <v>6882</v>
      </c>
      <c r="W27" s="35">
        <v>7440</v>
      </c>
      <c r="X27" s="35">
        <v>9611</v>
      </c>
      <c r="Y27" s="35">
        <v>4625</v>
      </c>
      <c r="Z27" s="35">
        <v>5138</v>
      </c>
      <c r="AA27" s="35">
        <v>4979</v>
      </c>
      <c r="AB27" s="35">
        <v>5105</v>
      </c>
      <c r="AC27" s="35">
        <v>7584</v>
      </c>
      <c r="AD27" s="35">
        <v>8505</v>
      </c>
      <c r="AE27" s="35">
        <v>6993</v>
      </c>
      <c r="AF27" s="35">
        <v>8451</v>
      </c>
      <c r="AG27" s="35">
        <v>9013.2010000000009</v>
      </c>
      <c r="AH27" s="35"/>
      <c r="AI27" s="10"/>
    </row>
    <row r="28" spans="1:35" s="39" customFormat="1" ht="18" x14ac:dyDescent="0.25">
      <c r="A28" s="81"/>
      <c r="B28" s="7" t="s">
        <v>29</v>
      </c>
      <c r="C28" s="7" t="s">
        <v>203</v>
      </c>
      <c r="E28" s="35">
        <v>921</v>
      </c>
      <c r="F28" s="35">
        <v>1772</v>
      </c>
      <c r="G28" s="35">
        <v>4283</v>
      </c>
      <c r="H28" s="35">
        <v>20911</v>
      </c>
      <c r="I28" s="35">
        <v>35682</v>
      </c>
      <c r="J28" s="35">
        <v>54578</v>
      </c>
      <c r="K28" s="40"/>
      <c r="L28" s="10"/>
      <c r="M28" s="41"/>
      <c r="O28" s="35">
        <v>2436</v>
      </c>
      <c r="P28" s="35">
        <v>3898</v>
      </c>
      <c r="Q28" s="35">
        <v>4669</v>
      </c>
      <c r="R28" s="35">
        <v>4283</v>
      </c>
      <c r="S28" s="35">
        <v>5612</v>
      </c>
      <c r="T28" s="35">
        <v>8000</v>
      </c>
      <c r="U28" s="35">
        <v>13823</v>
      </c>
      <c r="V28" s="35">
        <f t="shared" si="28"/>
        <v>20911</v>
      </c>
      <c r="W28" s="35">
        <v>19930</v>
      </c>
      <c r="X28" s="35">
        <v>27965</v>
      </c>
      <c r="Y28" s="35">
        <v>33950</v>
      </c>
      <c r="Z28" s="35">
        <v>35682</v>
      </c>
      <c r="AA28" s="35">
        <v>44745</v>
      </c>
      <c r="AB28" s="35">
        <v>44316</v>
      </c>
      <c r="AC28" s="35">
        <v>58876</v>
      </c>
      <c r="AD28" s="35">
        <v>54578</v>
      </c>
      <c r="AE28" s="35">
        <v>65838</v>
      </c>
      <c r="AF28" s="35">
        <v>65181.175000000003</v>
      </c>
      <c r="AG28" s="35">
        <v>84801.50499999999</v>
      </c>
      <c r="AH28" s="35"/>
      <c r="AI28" s="10"/>
    </row>
    <row r="29" spans="1:35" s="39" customFormat="1" ht="18" x14ac:dyDescent="0.25">
      <c r="A29" s="81"/>
      <c r="B29" s="7" t="s">
        <v>30</v>
      </c>
      <c r="C29" s="7" t="s">
        <v>204</v>
      </c>
      <c r="E29" s="35">
        <v>21</v>
      </c>
      <c r="F29" s="35">
        <v>21</v>
      </c>
      <c r="G29" s="35">
        <v>250</v>
      </c>
      <c r="H29" s="35">
        <v>5398</v>
      </c>
      <c r="I29" s="35">
        <v>5822</v>
      </c>
      <c r="J29" s="35">
        <v>9313</v>
      </c>
      <c r="K29" s="40"/>
      <c r="L29" s="10"/>
      <c r="M29" s="41"/>
      <c r="O29" s="35">
        <v>0</v>
      </c>
      <c r="P29" s="35">
        <v>210</v>
      </c>
      <c r="Q29" s="35">
        <v>6</v>
      </c>
      <c r="R29" s="35">
        <v>250</v>
      </c>
      <c r="S29" s="35">
        <v>406</v>
      </c>
      <c r="T29" s="35">
        <v>1553</v>
      </c>
      <c r="U29" s="35">
        <v>3603</v>
      </c>
      <c r="V29" s="35">
        <f t="shared" si="28"/>
        <v>5398</v>
      </c>
      <c r="W29" s="35">
        <v>8646</v>
      </c>
      <c r="X29" s="35">
        <v>8181</v>
      </c>
      <c r="Y29" s="35">
        <v>8228</v>
      </c>
      <c r="Z29" s="35">
        <v>5822</v>
      </c>
      <c r="AA29" s="35">
        <v>7351</v>
      </c>
      <c r="AB29" s="35">
        <v>7138</v>
      </c>
      <c r="AC29" s="35">
        <v>14994</v>
      </c>
      <c r="AD29" s="35">
        <v>9313</v>
      </c>
      <c r="AE29" s="35">
        <v>28387</v>
      </c>
      <c r="AF29" s="35">
        <v>26321</v>
      </c>
      <c r="AG29" s="35">
        <v>30863.557999999997</v>
      </c>
      <c r="AH29" s="35"/>
      <c r="AI29" s="10"/>
    </row>
    <row r="30" spans="1:35" s="39" customFormat="1" ht="18" x14ac:dyDescent="0.25">
      <c r="A30" s="81"/>
      <c r="B30" s="7" t="s">
        <v>34</v>
      </c>
      <c r="C30" s="7" t="s">
        <v>205</v>
      </c>
      <c r="E30" s="35">
        <v>62</v>
      </c>
      <c r="F30" s="35">
        <v>60</v>
      </c>
      <c r="G30" s="35">
        <v>130</v>
      </c>
      <c r="H30" s="35">
        <v>383</v>
      </c>
      <c r="I30" s="35">
        <v>154</v>
      </c>
      <c r="J30" s="35">
        <v>171</v>
      </c>
      <c r="K30" s="40"/>
      <c r="L30" s="10"/>
      <c r="M30" s="41"/>
      <c r="O30" s="35">
        <v>55</v>
      </c>
      <c r="P30" s="35">
        <v>122</v>
      </c>
      <c r="Q30" s="35">
        <v>110</v>
      </c>
      <c r="R30" s="35">
        <v>0</v>
      </c>
      <c r="S30" s="35">
        <v>0</v>
      </c>
      <c r="T30" s="35">
        <v>0</v>
      </c>
      <c r="U30" s="35">
        <v>132</v>
      </c>
      <c r="V30" s="35">
        <f t="shared" si="28"/>
        <v>383</v>
      </c>
      <c r="W30" s="35">
        <v>127</v>
      </c>
      <c r="X30" s="35">
        <v>143</v>
      </c>
      <c r="Y30" s="35">
        <v>153</v>
      </c>
      <c r="Z30" s="35">
        <v>154</v>
      </c>
      <c r="AA30" s="35">
        <v>157</v>
      </c>
      <c r="AB30" s="35">
        <v>159</v>
      </c>
      <c r="AC30" s="35">
        <v>166</v>
      </c>
      <c r="AD30" s="35">
        <v>171</v>
      </c>
      <c r="AE30" s="35">
        <v>147</v>
      </c>
      <c r="AF30" s="35">
        <v>2342</v>
      </c>
      <c r="AG30" s="35">
        <v>2348</v>
      </c>
      <c r="AH30" s="35"/>
      <c r="AI30" s="10"/>
    </row>
    <row r="31" spans="1:35" s="39" customFormat="1" ht="18" x14ac:dyDescent="0.25">
      <c r="A31" s="81"/>
      <c r="B31" s="7" t="s">
        <v>31</v>
      </c>
      <c r="C31" s="7" t="s">
        <v>206</v>
      </c>
      <c r="E31" s="35">
        <v>0</v>
      </c>
      <c r="F31" s="35">
        <v>500</v>
      </c>
      <c r="G31" s="35">
        <v>5500</v>
      </c>
      <c r="H31" s="35">
        <v>0</v>
      </c>
      <c r="I31" s="35">
        <v>0</v>
      </c>
      <c r="J31" s="35">
        <v>0</v>
      </c>
      <c r="K31" s="9"/>
      <c r="L31" s="10"/>
      <c r="M31" s="41"/>
      <c r="O31" s="35">
        <v>16</v>
      </c>
      <c r="P31" s="35">
        <v>0</v>
      </c>
      <c r="Q31" s="35">
        <v>0</v>
      </c>
      <c r="R31" s="35">
        <v>5500</v>
      </c>
      <c r="S31" s="35">
        <v>0</v>
      </c>
      <c r="T31" s="35">
        <v>20428</v>
      </c>
      <c r="U31" s="35">
        <v>0</v>
      </c>
      <c r="V31" s="35">
        <f t="shared" si="28"/>
        <v>0</v>
      </c>
      <c r="W31" s="35">
        <v>0</v>
      </c>
      <c r="X31" s="35">
        <v>0</v>
      </c>
      <c r="Y31" s="35">
        <v>0</v>
      </c>
      <c r="Z31" s="35">
        <v>0</v>
      </c>
      <c r="AA31" s="35">
        <v>0</v>
      </c>
      <c r="AB31" s="35">
        <v>0</v>
      </c>
      <c r="AC31" s="35">
        <v>0</v>
      </c>
      <c r="AD31" s="35">
        <v>0</v>
      </c>
      <c r="AE31" s="35">
        <v>0</v>
      </c>
      <c r="AF31" s="35">
        <v>0</v>
      </c>
      <c r="AG31" s="35">
        <v>0</v>
      </c>
      <c r="AH31" s="35"/>
      <c r="AI31" s="10"/>
    </row>
    <row r="32" spans="1:35" s="39" customFormat="1" ht="18" x14ac:dyDescent="0.25">
      <c r="A32" s="81"/>
      <c r="B32" s="7" t="s">
        <v>162</v>
      </c>
      <c r="C32" s="7" t="s">
        <v>207</v>
      </c>
      <c r="E32" s="35">
        <v>0</v>
      </c>
      <c r="F32" s="35">
        <v>0</v>
      </c>
      <c r="G32" s="35">
        <v>0</v>
      </c>
      <c r="H32" s="35">
        <v>0</v>
      </c>
      <c r="I32" s="35">
        <v>0</v>
      </c>
      <c r="J32" s="35">
        <v>0</v>
      </c>
      <c r="K32" s="9"/>
      <c r="L32" s="10"/>
      <c r="M32" s="41"/>
      <c r="O32" s="35">
        <v>0</v>
      </c>
      <c r="P32" s="35">
        <v>0</v>
      </c>
      <c r="Q32" s="35">
        <v>0</v>
      </c>
      <c r="R32" s="35">
        <v>0</v>
      </c>
      <c r="S32" s="35">
        <v>0</v>
      </c>
      <c r="T32" s="35">
        <v>0</v>
      </c>
      <c r="U32" s="35">
        <v>0</v>
      </c>
      <c r="V32" s="35">
        <v>0</v>
      </c>
      <c r="W32" s="35">
        <v>6212</v>
      </c>
      <c r="X32" s="35">
        <v>7709</v>
      </c>
      <c r="Y32" s="35">
        <v>0</v>
      </c>
      <c r="Z32" s="35">
        <v>0</v>
      </c>
      <c r="AA32" s="35">
        <v>6227.7250000000004</v>
      </c>
      <c r="AB32" s="35">
        <v>15957</v>
      </c>
      <c r="AC32" s="35">
        <v>27914</v>
      </c>
      <c r="AD32" s="35">
        <v>0</v>
      </c>
      <c r="AE32" s="35">
        <v>12615</v>
      </c>
      <c r="AF32" s="35">
        <v>583</v>
      </c>
      <c r="AG32" s="35">
        <v>0</v>
      </c>
      <c r="AH32" s="35"/>
      <c r="AI32" s="10"/>
    </row>
    <row r="33" spans="1:38" s="39" customFormat="1" ht="18" x14ac:dyDescent="0.25">
      <c r="A33" s="81"/>
      <c r="B33" s="7" t="s">
        <v>98</v>
      </c>
      <c r="C33" s="7" t="s">
        <v>208</v>
      </c>
      <c r="E33" s="35">
        <v>0</v>
      </c>
      <c r="F33" s="35">
        <v>0</v>
      </c>
      <c r="G33" s="35">
        <v>608</v>
      </c>
      <c r="H33" s="35">
        <v>0</v>
      </c>
      <c r="I33" s="35">
        <v>0</v>
      </c>
      <c r="J33" s="35">
        <v>0</v>
      </c>
      <c r="K33" s="9"/>
      <c r="L33" s="10"/>
      <c r="M33" s="41"/>
      <c r="O33" s="35">
        <v>0</v>
      </c>
      <c r="P33" s="35">
        <v>0</v>
      </c>
      <c r="Q33" s="35">
        <v>217</v>
      </c>
      <c r="R33" s="35">
        <v>0</v>
      </c>
      <c r="S33" s="35">
        <v>0</v>
      </c>
      <c r="T33" s="35">
        <v>0</v>
      </c>
      <c r="U33" s="35">
        <v>0</v>
      </c>
      <c r="V33" s="35">
        <f t="shared" si="28"/>
        <v>0</v>
      </c>
      <c r="W33" s="35">
        <v>0</v>
      </c>
      <c r="X33" s="35">
        <v>0</v>
      </c>
      <c r="Y33" s="35">
        <v>0</v>
      </c>
      <c r="Z33" s="35">
        <v>0</v>
      </c>
      <c r="AA33" s="35">
        <v>0</v>
      </c>
      <c r="AB33" s="35">
        <v>0</v>
      </c>
      <c r="AC33" s="35">
        <v>0</v>
      </c>
      <c r="AD33" s="35">
        <v>0</v>
      </c>
      <c r="AE33" s="35">
        <v>0</v>
      </c>
      <c r="AF33" s="35">
        <v>0</v>
      </c>
      <c r="AG33" s="35">
        <v>0</v>
      </c>
      <c r="AH33" s="35"/>
      <c r="AI33" s="10"/>
    </row>
    <row r="34" spans="1:38" s="39" customFormat="1" ht="18" x14ac:dyDescent="0.25">
      <c r="A34" s="81"/>
      <c r="B34" s="7" t="s">
        <v>147</v>
      </c>
      <c r="C34" s="7" t="s">
        <v>209</v>
      </c>
      <c r="E34" s="35">
        <v>0</v>
      </c>
      <c r="F34" s="35">
        <v>0</v>
      </c>
      <c r="G34" s="35">
        <v>0</v>
      </c>
      <c r="H34" s="35">
        <v>63539</v>
      </c>
      <c r="I34" s="35">
        <v>3519</v>
      </c>
      <c r="J34" s="35">
        <v>1959</v>
      </c>
      <c r="K34" s="9"/>
      <c r="L34" s="10"/>
      <c r="M34" s="41"/>
      <c r="O34" s="35">
        <v>0</v>
      </c>
      <c r="P34" s="35">
        <v>0</v>
      </c>
      <c r="Q34" s="35">
        <v>0</v>
      </c>
      <c r="R34" s="35">
        <v>0</v>
      </c>
      <c r="S34" s="35">
        <v>0</v>
      </c>
      <c r="T34" s="35">
        <v>0</v>
      </c>
      <c r="U34" s="35">
        <v>0</v>
      </c>
      <c r="V34" s="35">
        <f t="shared" si="28"/>
        <v>63539</v>
      </c>
      <c r="W34" s="35">
        <v>0</v>
      </c>
      <c r="X34" s="35">
        <v>0</v>
      </c>
      <c r="Y34" s="35">
        <v>0</v>
      </c>
      <c r="Z34" s="35">
        <v>3519</v>
      </c>
      <c r="AA34" s="35">
        <v>3569</v>
      </c>
      <c r="AB34" s="35">
        <v>3681</v>
      </c>
      <c r="AC34" s="35">
        <v>0</v>
      </c>
      <c r="AD34" s="35">
        <v>1959</v>
      </c>
      <c r="AE34" s="35">
        <v>2010</v>
      </c>
      <c r="AF34" s="35">
        <v>2062</v>
      </c>
      <c r="AG34" s="35">
        <v>19483</v>
      </c>
      <c r="AH34" s="35">
        <f>AG34-AF34</f>
        <v>17421</v>
      </c>
      <c r="AI34" s="10"/>
    </row>
    <row r="35" spans="1:38" s="39" customFormat="1" ht="18" x14ac:dyDescent="0.25">
      <c r="A35" s="81"/>
      <c r="B35" s="11" t="s">
        <v>32</v>
      </c>
      <c r="C35" s="11" t="s">
        <v>210</v>
      </c>
      <c r="D35" s="42"/>
      <c r="E35" s="43">
        <v>110</v>
      </c>
      <c r="F35" s="43">
        <v>0</v>
      </c>
      <c r="G35" s="43">
        <v>169</v>
      </c>
      <c r="H35" s="43">
        <v>975.0579099310562</v>
      </c>
      <c r="I35" s="43">
        <v>1915</v>
      </c>
      <c r="J35" s="43">
        <v>15654</v>
      </c>
      <c r="K35" s="44"/>
      <c r="L35" s="45"/>
      <c r="M35" s="41"/>
      <c r="O35" s="43">
        <v>319</v>
      </c>
      <c r="P35" s="43">
        <v>84</v>
      </c>
      <c r="Q35" s="43">
        <v>239.49</v>
      </c>
      <c r="R35" s="43">
        <v>907</v>
      </c>
      <c r="S35" s="43">
        <v>1446</v>
      </c>
      <c r="T35" s="43">
        <v>656</v>
      </c>
      <c r="U35" s="43">
        <v>5183</v>
      </c>
      <c r="V35" s="43">
        <f t="shared" si="28"/>
        <v>975.0579099310562</v>
      </c>
      <c r="W35" s="43">
        <v>2774</v>
      </c>
      <c r="X35" s="43">
        <v>5169</v>
      </c>
      <c r="Y35" s="43">
        <v>978</v>
      </c>
      <c r="Z35" s="43">
        <v>1915</v>
      </c>
      <c r="AA35" s="43">
        <v>8166</v>
      </c>
      <c r="AB35" s="43">
        <v>2731</v>
      </c>
      <c r="AC35" s="43">
        <v>4401</v>
      </c>
      <c r="AD35" s="43">
        <v>15654</v>
      </c>
      <c r="AE35" s="43">
        <v>13635</v>
      </c>
      <c r="AF35" s="43">
        <v>13416.692999999999</v>
      </c>
      <c r="AG35" s="43">
        <v>23048.870999999999</v>
      </c>
      <c r="AH35" s="43"/>
      <c r="AI35" s="45"/>
    </row>
    <row r="36" spans="1:38" s="39" customFormat="1" ht="18" x14ac:dyDescent="0.25">
      <c r="A36" s="81"/>
      <c r="B36" s="5" t="s">
        <v>33</v>
      </c>
      <c r="C36" s="5" t="s">
        <v>211</v>
      </c>
      <c r="D36" s="46"/>
      <c r="E36" s="37">
        <f t="shared" ref="E36:F36" si="29">SUM(E24:E35)</f>
        <v>18499</v>
      </c>
      <c r="F36" s="37">
        <f t="shared" si="29"/>
        <v>36152</v>
      </c>
      <c r="G36" s="37">
        <f>SUM(G24:G35)</f>
        <v>89840</v>
      </c>
      <c r="H36" s="37">
        <f>SUM(H24:H35)</f>
        <v>311413.05790993106</v>
      </c>
      <c r="I36" s="37">
        <f>SUM(I24:I35)</f>
        <v>393050</v>
      </c>
      <c r="J36" s="37">
        <f>SUM(J24:J35)</f>
        <v>747854</v>
      </c>
      <c r="K36" s="36">
        <f>I36/H36-1</f>
        <v>0.26215002876880167</v>
      </c>
      <c r="L36" s="36">
        <f>J36/I36-1</f>
        <v>0.90269431370054698</v>
      </c>
      <c r="M36" s="41"/>
      <c r="O36" s="37">
        <f t="shared" ref="O36:S36" si="30">SUM(O24:O35)</f>
        <v>35661</v>
      </c>
      <c r="P36" s="37">
        <f t="shared" si="30"/>
        <v>48571</v>
      </c>
      <c r="Q36" s="37">
        <f t="shared" si="30"/>
        <v>64449.49</v>
      </c>
      <c r="R36" s="37">
        <f t="shared" si="30"/>
        <v>89840</v>
      </c>
      <c r="S36" s="37">
        <f t="shared" si="30"/>
        <v>97972</v>
      </c>
      <c r="T36" s="37">
        <f>SUM(T24:T35)</f>
        <v>145080</v>
      </c>
      <c r="U36" s="37">
        <f>SUM(U24:U35)</f>
        <v>210781</v>
      </c>
      <c r="V36" s="37">
        <f>SUM(V24:V35)</f>
        <v>311413.05790993106</v>
      </c>
      <c r="W36" s="37">
        <f>SUM(W24:W35)</f>
        <v>343407</v>
      </c>
      <c r="X36" s="37">
        <v>278714</v>
      </c>
      <c r="Y36" s="37">
        <f t="shared" ref="Y36:AG36" si="31">SUM(Y24:Y35)</f>
        <v>427349</v>
      </c>
      <c r="Z36" s="37">
        <f t="shared" si="31"/>
        <v>393050</v>
      </c>
      <c r="AA36" s="37">
        <f t="shared" si="31"/>
        <v>440976.72499999998</v>
      </c>
      <c r="AB36" s="37">
        <f t="shared" si="31"/>
        <v>403083</v>
      </c>
      <c r="AC36" s="37">
        <f t="shared" si="31"/>
        <v>553872.99999999953</v>
      </c>
      <c r="AD36" s="37">
        <f t="shared" si="31"/>
        <v>747854</v>
      </c>
      <c r="AE36" s="37">
        <f t="shared" si="31"/>
        <v>787881</v>
      </c>
      <c r="AF36" s="37">
        <f t="shared" si="31"/>
        <v>924895.75300000003</v>
      </c>
      <c r="AG36" s="37">
        <f t="shared" si="31"/>
        <v>1019910.3689999999</v>
      </c>
      <c r="AH36" s="36">
        <f>AG36/AC36-1</f>
        <v>0.84141557541169321</v>
      </c>
      <c r="AI36" s="36">
        <f>AG36/AF36-1</f>
        <v>0.10273008140842865</v>
      </c>
      <c r="AL36" s="62"/>
    </row>
    <row r="37" spans="1:38" s="39" customFormat="1" ht="18" x14ac:dyDescent="0.25">
      <c r="A37" s="81"/>
      <c r="M37" s="41"/>
      <c r="Y37" s="62"/>
      <c r="Z37" s="62"/>
      <c r="AA37" s="62"/>
      <c r="AB37" s="62"/>
      <c r="AC37" s="62"/>
      <c r="AD37" s="62"/>
      <c r="AE37" s="62"/>
      <c r="AF37" s="62"/>
      <c r="AG37" s="62"/>
    </row>
    <row r="38" spans="1:38" s="39" customFormat="1" ht="18" x14ac:dyDescent="0.25">
      <c r="A38" s="81"/>
      <c r="B38" s="7" t="s">
        <v>26</v>
      </c>
      <c r="C38" s="7" t="s">
        <v>200</v>
      </c>
      <c r="E38" s="35">
        <v>991</v>
      </c>
      <c r="F38" s="35">
        <v>0</v>
      </c>
      <c r="G38" s="35">
        <v>0</v>
      </c>
      <c r="H38" s="35">
        <v>0</v>
      </c>
      <c r="I38" s="35">
        <v>0</v>
      </c>
      <c r="J38" s="35">
        <v>0</v>
      </c>
      <c r="K38" s="40"/>
      <c r="L38" s="10"/>
      <c r="M38" s="41"/>
      <c r="O38" s="35">
        <v>0</v>
      </c>
      <c r="P38" s="35">
        <v>0</v>
      </c>
      <c r="Q38" s="35">
        <v>0</v>
      </c>
      <c r="R38" s="35">
        <v>0</v>
      </c>
      <c r="S38" s="35">
        <v>0</v>
      </c>
      <c r="T38" s="35">
        <v>0</v>
      </c>
      <c r="U38" s="35">
        <v>0</v>
      </c>
      <c r="V38" s="35">
        <v>0</v>
      </c>
      <c r="W38" s="35">
        <v>0</v>
      </c>
      <c r="X38" s="35">
        <v>0</v>
      </c>
      <c r="Y38" s="35">
        <v>0</v>
      </c>
      <c r="Z38" s="35">
        <v>0</v>
      </c>
      <c r="AA38" s="35">
        <v>0</v>
      </c>
      <c r="AB38" s="35">
        <v>0</v>
      </c>
      <c r="AC38" s="35">
        <v>0</v>
      </c>
      <c r="AD38" s="35">
        <v>0</v>
      </c>
      <c r="AE38" s="35">
        <v>0</v>
      </c>
      <c r="AF38" s="35">
        <v>0</v>
      </c>
      <c r="AG38" s="35">
        <v>0</v>
      </c>
      <c r="AH38" s="35"/>
      <c r="AI38" s="10"/>
    </row>
    <row r="39" spans="1:38" s="39" customFormat="1" ht="18" x14ac:dyDescent="0.25">
      <c r="A39" s="81"/>
      <c r="B39" s="7" t="s">
        <v>27</v>
      </c>
      <c r="C39" s="7" t="s">
        <v>201</v>
      </c>
      <c r="E39" s="35">
        <v>33543</v>
      </c>
      <c r="F39" s="35">
        <v>45754</v>
      </c>
      <c r="G39" s="35">
        <v>223592</v>
      </c>
      <c r="H39" s="35">
        <v>1710082</v>
      </c>
      <c r="I39" s="35">
        <v>2008093</v>
      </c>
      <c r="J39" s="35">
        <v>1788717</v>
      </c>
      <c r="K39" s="40"/>
      <c r="L39" s="10"/>
      <c r="M39" s="41"/>
      <c r="O39" s="35">
        <v>67713</v>
      </c>
      <c r="P39" s="35">
        <v>83162</v>
      </c>
      <c r="Q39" s="35">
        <v>180474</v>
      </c>
      <c r="R39" s="35">
        <v>223592</v>
      </c>
      <c r="S39" s="35">
        <v>323020</v>
      </c>
      <c r="T39" s="35">
        <v>524767</v>
      </c>
      <c r="U39" s="35">
        <v>597846</v>
      </c>
      <c r="V39" s="35">
        <f t="shared" ref="V39:V44" si="32">H39</f>
        <v>1710082</v>
      </c>
      <c r="W39" s="35">
        <v>1600634</v>
      </c>
      <c r="X39" s="35">
        <v>1445087</v>
      </c>
      <c r="Y39" s="35">
        <v>1716675</v>
      </c>
      <c r="Z39" s="35">
        <v>2008093</v>
      </c>
      <c r="AA39" s="35">
        <v>2001548</v>
      </c>
      <c r="AB39" s="35">
        <v>1992595</v>
      </c>
      <c r="AC39" s="35">
        <v>1990287</v>
      </c>
      <c r="AD39" s="35">
        <v>1788717</v>
      </c>
      <c r="AE39" s="35">
        <v>2433112</v>
      </c>
      <c r="AF39" s="35">
        <v>2423527</v>
      </c>
      <c r="AG39" s="35">
        <v>2425763.02</v>
      </c>
      <c r="AH39" s="35"/>
      <c r="AI39" s="10"/>
    </row>
    <row r="40" spans="1:38" s="39" customFormat="1" ht="18" x14ac:dyDescent="0.25">
      <c r="A40" s="81"/>
      <c r="B40" s="7" t="s">
        <v>28</v>
      </c>
      <c r="C40" s="7" t="s">
        <v>212</v>
      </c>
      <c r="E40" s="35">
        <v>0</v>
      </c>
      <c r="F40" s="35">
        <v>0</v>
      </c>
      <c r="G40" s="35">
        <v>13059</v>
      </c>
      <c r="H40" s="35">
        <v>30301</v>
      </c>
      <c r="I40" s="35">
        <v>70012</v>
      </c>
      <c r="J40" s="35">
        <v>78128</v>
      </c>
      <c r="K40" s="9"/>
      <c r="L40" s="10"/>
      <c r="M40" s="41"/>
      <c r="O40" s="35">
        <v>808</v>
      </c>
      <c r="P40" s="35">
        <v>0</v>
      </c>
      <c r="Q40" s="35">
        <v>0</v>
      </c>
      <c r="R40" s="35">
        <v>13059</v>
      </c>
      <c r="S40" s="35">
        <v>13198</v>
      </c>
      <c r="T40" s="35">
        <v>16545</v>
      </c>
      <c r="U40" s="35">
        <v>25918</v>
      </c>
      <c r="V40" s="35">
        <f t="shared" si="32"/>
        <v>30301</v>
      </c>
      <c r="W40" s="35">
        <v>31336</v>
      </c>
      <c r="X40" s="35">
        <v>32041</v>
      </c>
      <c r="Y40" s="35">
        <v>70381</v>
      </c>
      <c r="Z40" s="35">
        <v>70012</v>
      </c>
      <c r="AA40" s="35">
        <v>72045</v>
      </c>
      <c r="AB40" s="35">
        <v>75673</v>
      </c>
      <c r="AC40" s="35">
        <v>78956</v>
      </c>
      <c r="AD40" s="35">
        <v>78128</v>
      </c>
      <c r="AE40" s="35">
        <v>75036</v>
      </c>
      <c r="AF40" s="35">
        <v>78605</v>
      </c>
      <c r="AG40" s="35">
        <v>78323.210999999996</v>
      </c>
      <c r="AH40" s="35"/>
      <c r="AI40" s="10"/>
    </row>
    <row r="41" spans="1:38" s="39" customFormat="1" ht="18" x14ac:dyDescent="0.25">
      <c r="A41" s="81"/>
      <c r="B41" s="7" t="s">
        <v>34</v>
      </c>
      <c r="C41" s="7" t="s">
        <v>213</v>
      </c>
      <c r="E41" s="35">
        <v>454</v>
      </c>
      <c r="F41" s="35">
        <v>389</v>
      </c>
      <c r="G41" s="35">
        <v>557</v>
      </c>
      <c r="H41" s="35">
        <v>1405</v>
      </c>
      <c r="I41" s="35">
        <v>344</v>
      </c>
      <c r="J41" s="35">
        <v>213</v>
      </c>
      <c r="K41" s="40"/>
      <c r="L41" s="10"/>
      <c r="M41" s="41"/>
      <c r="O41" s="35">
        <v>408</v>
      </c>
      <c r="P41" s="35">
        <v>607</v>
      </c>
      <c r="Q41" s="35">
        <v>601</v>
      </c>
      <c r="R41" s="35">
        <v>557</v>
      </c>
      <c r="S41" s="35">
        <v>552</v>
      </c>
      <c r="T41" s="35">
        <v>497</v>
      </c>
      <c r="U41" s="35">
        <v>461</v>
      </c>
      <c r="V41" s="35">
        <f t="shared" si="32"/>
        <v>1405</v>
      </c>
      <c r="W41" s="35">
        <v>415</v>
      </c>
      <c r="X41" s="35">
        <v>426</v>
      </c>
      <c r="Y41" s="35">
        <v>378</v>
      </c>
      <c r="Z41" s="35">
        <v>344</v>
      </c>
      <c r="AA41" s="35">
        <v>323</v>
      </c>
      <c r="AB41" s="35">
        <v>287</v>
      </c>
      <c r="AC41" s="35">
        <v>267</v>
      </c>
      <c r="AD41" s="35">
        <v>213</v>
      </c>
      <c r="AE41" s="35">
        <v>196</v>
      </c>
      <c r="AF41" s="35">
        <v>6115</v>
      </c>
      <c r="AG41" s="35">
        <v>5632</v>
      </c>
      <c r="AH41" s="35"/>
      <c r="AI41" s="10"/>
    </row>
    <row r="42" spans="1:38" s="39" customFormat="1" ht="18" x14ac:dyDescent="0.25">
      <c r="A42" s="81"/>
      <c r="B42" s="7" t="s">
        <v>147</v>
      </c>
      <c r="C42" s="7" t="s">
        <v>305</v>
      </c>
      <c r="E42" s="35">
        <v>0</v>
      </c>
      <c r="F42" s="35">
        <v>0</v>
      </c>
      <c r="G42" s="35">
        <v>0</v>
      </c>
      <c r="H42" s="35">
        <v>42201</v>
      </c>
      <c r="I42" s="35">
        <v>14205</v>
      </c>
      <c r="J42" s="35">
        <v>16128</v>
      </c>
      <c r="K42" s="40"/>
      <c r="L42" s="10"/>
      <c r="M42" s="41"/>
      <c r="O42" s="35">
        <v>0</v>
      </c>
      <c r="P42" s="35">
        <v>0</v>
      </c>
      <c r="Q42" s="35">
        <v>0</v>
      </c>
      <c r="R42" s="35">
        <v>0</v>
      </c>
      <c r="S42" s="35">
        <v>0</v>
      </c>
      <c r="T42" s="35">
        <v>0</v>
      </c>
      <c r="U42" s="35">
        <v>0</v>
      </c>
      <c r="V42" s="35">
        <f t="shared" si="32"/>
        <v>42201</v>
      </c>
      <c r="W42" s="35">
        <v>16119</v>
      </c>
      <c r="X42" s="35">
        <v>16624</v>
      </c>
      <c r="Y42" s="35">
        <v>17175</v>
      </c>
      <c r="Z42" s="35">
        <v>14205</v>
      </c>
      <c r="AA42" s="35">
        <v>14732</v>
      </c>
      <c r="AB42" s="35">
        <v>15195</v>
      </c>
      <c r="AC42" s="35">
        <v>17588</v>
      </c>
      <c r="AD42" s="35">
        <v>16128</v>
      </c>
      <c r="AE42" s="35">
        <v>16551</v>
      </c>
      <c r="AF42" s="35">
        <v>16980</v>
      </c>
      <c r="AG42" s="35">
        <v>102619</v>
      </c>
      <c r="AH42" s="35"/>
      <c r="AI42" s="10"/>
    </row>
    <row r="43" spans="1:38" s="39" customFormat="1" ht="18" x14ac:dyDescent="0.25">
      <c r="A43" s="81"/>
      <c r="B43" s="7" t="s">
        <v>35</v>
      </c>
      <c r="C43" s="7" t="s">
        <v>214</v>
      </c>
      <c r="E43" s="35">
        <v>5155</v>
      </c>
      <c r="F43" s="35">
        <v>10974</v>
      </c>
      <c r="G43" s="35">
        <v>17920</v>
      </c>
      <c r="H43" s="35">
        <v>72696.292749069296</v>
      </c>
      <c r="I43" s="35">
        <v>86028</v>
      </c>
      <c r="J43" s="35">
        <v>121579</v>
      </c>
      <c r="K43" s="40"/>
      <c r="L43" s="10"/>
      <c r="M43" s="41"/>
      <c r="O43" s="35">
        <v>12852</v>
      </c>
      <c r="P43" s="35">
        <v>14638</v>
      </c>
      <c r="Q43" s="35">
        <v>17026</v>
      </c>
      <c r="R43" s="35">
        <v>17920</v>
      </c>
      <c r="S43" s="35">
        <v>22099</v>
      </c>
      <c r="T43" s="35">
        <v>28065</v>
      </c>
      <c r="U43" s="35">
        <v>15496</v>
      </c>
      <c r="V43" s="35">
        <f t="shared" si="32"/>
        <v>72696.292749069296</v>
      </c>
      <c r="W43" s="35">
        <v>79748</v>
      </c>
      <c r="X43" s="35">
        <v>87722</v>
      </c>
      <c r="Y43" s="35">
        <v>97018</v>
      </c>
      <c r="Z43" s="35">
        <v>86028</v>
      </c>
      <c r="AA43" s="35">
        <v>90538</v>
      </c>
      <c r="AB43" s="35">
        <v>94829</v>
      </c>
      <c r="AC43" s="35">
        <v>109906</v>
      </c>
      <c r="AD43" s="35">
        <v>121579</v>
      </c>
      <c r="AE43" s="35">
        <v>136614</v>
      </c>
      <c r="AF43" s="35">
        <v>159514</v>
      </c>
      <c r="AG43" s="35">
        <v>173103.639</v>
      </c>
      <c r="AH43" s="35"/>
      <c r="AI43" s="10"/>
    </row>
    <row r="44" spans="1:38" s="39" customFormat="1" ht="18" x14ac:dyDescent="0.25">
      <c r="A44" s="81"/>
      <c r="B44" s="11" t="s">
        <v>36</v>
      </c>
      <c r="C44" s="11" t="s">
        <v>215</v>
      </c>
      <c r="D44" s="42"/>
      <c r="E44" s="43">
        <v>47</v>
      </c>
      <c r="F44" s="43">
        <v>0</v>
      </c>
      <c r="G44" s="43">
        <v>0</v>
      </c>
      <c r="H44" s="43">
        <v>692</v>
      </c>
      <c r="I44" s="43">
        <v>722</v>
      </c>
      <c r="J44" s="43">
        <v>166</v>
      </c>
      <c r="K44" s="44"/>
      <c r="L44" s="45"/>
      <c r="M44" s="41"/>
      <c r="O44" s="43">
        <v>0</v>
      </c>
      <c r="P44" s="43">
        <v>0</v>
      </c>
      <c r="Q44" s="43">
        <v>0</v>
      </c>
      <c r="R44" s="43">
        <v>0</v>
      </c>
      <c r="S44" s="43">
        <v>0</v>
      </c>
      <c r="T44" s="43">
        <v>0</v>
      </c>
      <c r="U44" s="43">
        <v>0</v>
      </c>
      <c r="V44" s="43">
        <f t="shared" si="32"/>
        <v>692</v>
      </c>
      <c r="W44" s="43">
        <v>692</v>
      </c>
      <c r="X44" s="43">
        <v>692</v>
      </c>
      <c r="Y44" s="43">
        <v>535</v>
      </c>
      <c r="Z44" s="43">
        <v>722</v>
      </c>
      <c r="AA44" s="43">
        <v>656</v>
      </c>
      <c r="AB44" s="43">
        <v>842</v>
      </c>
      <c r="AC44" s="43">
        <v>285</v>
      </c>
      <c r="AD44" s="43">
        <v>166</v>
      </c>
      <c r="AE44" s="43">
        <v>119</v>
      </c>
      <c r="AF44" s="43">
        <v>250</v>
      </c>
      <c r="AG44" s="43">
        <v>7123.9669999999996</v>
      </c>
      <c r="AH44" s="43"/>
      <c r="AI44" s="45"/>
    </row>
    <row r="45" spans="1:38" s="39" customFormat="1" ht="18" x14ac:dyDescent="0.25">
      <c r="A45" s="81"/>
      <c r="B45" s="5" t="s">
        <v>37</v>
      </c>
      <c r="C45" s="5" t="s">
        <v>216</v>
      </c>
      <c r="D45" s="46"/>
      <c r="E45" s="37">
        <f t="shared" ref="E45:F45" si="33">SUM(E38:E44)</f>
        <v>40190</v>
      </c>
      <c r="F45" s="37">
        <f t="shared" si="33"/>
        <v>57117</v>
      </c>
      <c r="G45" s="37">
        <f>SUM(G38:G44)</f>
        <v>255128</v>
      </c>
      <c r="H45" s="37">
        <f>SUM(H38:H44)</f>
        <v>1857377.2927490694</v>
      </c>
      <c r="I45" s="37">
        <f>SUM(I38:I44)</f>
        <v>2179404</v>
      </c>
      <c r="J45" s="37">
        <f>SUM(J38:J44)</f>
        <v>2004931</v>
      </c>
      <c r="K45" s="36">
        <f>I45/H45-1</f>
        <v>0.17337711002932799</v>
      </c>
      <c r="L45" s="36">
        <f>J45/I45-1</f>
        <v>-8.0055372936821301E-2</v>
      </c>
      <c r="M45" s="41"/>
      <c r="O45" s="37">
        <f t="shared" ref="O45:T45" si="34">SUM(O38:O44)</f>
        <v>81781</v>
      </c>
      <c r="P45" s="37">
        <f t="shared" si="34"/>
        <v>98407</v>
      </c>
      <c r="Q45" s="37">
        <f t="shared" si="34"/>
        <v>198101</v>
      </c>
      <c r="R45" s="37">
        <f t="shared" si="34"/>
        <v>255128</v>
      </c>
      <c r="S45" s="37">
        <f t="shared" si="34"/>
        <v>358869</v>
      </c>
      <c r="T45" s="37">
        <f t="shared" si="34"/>
        <v>569874</v>
      </c>
      <c r="U45" s="37">
        <f>SUM(U38:U44)</f>
        <v>639721</v>
      </c>
      <c r="V45" s="37">
        <f>SUM(V38:V44)</f>
        <v>1857377.2927490694</v>
      </c>
      <c r="W45" s="37">
        <f>SUM(W38:W44)</f>
        <v>1728944</v>
      </c>
      <c r="X45" s="37">
        <v>1582592</v>
      </c>
      <c r="Y45" s="37">
        <f t="shared" ref="Y45:AG45" si="35">SUM(Y38:Y44)</f>
        <v>1902162</v>
      </c>
      <c r="Z45" s="37">
        <f t="shared" si="35"/>
        <v>2179404</v>
      </c>
      <c r="AA45" s="37">
        <f t="shared" si="35"/>
        <v>2179842</v>
      </c>
      <c r="AB45" s="37">
        <f t="shared" si="35"/>
        <v>2179421</v>
      </c>
      <c r="AC45" s="37">
        <f t="shared" si="35"/>
        <v>2197289</v>
      </c>
      <c r="AD45" s="37">
        <f t="shared" si="35"/>
        <v>2004931</v>
      </c>
      <c r="AE45" s="37">
        <f t="shared" si="35"/>
        <v>2661628</v>
      </c>
      <c r="AF45" s="37">
        <f t="shared" si="35"/>
        <v>2684991</v>
      </c>
      <c r="AG45" s="37">
        <f t="shared" si="35"/>
        <v>2792564.8370000003</v>
      </c>
      <c r="AH45" s="36">
        <f>AG45/AC45-1</f>
        <v>0.27091376555382585</v>
      </c>
      <c r="AI45" s="36">
        <f>AG45/AF45-1</f>
        <v>4.0064878057319397E-2</v>
      </c>
    </row>
    <row r="46" spans="1:38" s="39" customFormat="1" ht="18" x14ac:dyDescent="0.25">
      <c r="A46" s="81"/>
      <c r="M46" s="41"/>
    </row>
    <row r="47" spans="1:38" s="39" customFormat="1" ht="18" x14ac:dyDescent="0.25">
      <c r="A47" s="81"/>
      <c r="B47" s="7" t="s">
        <v>151</v>
      </c>
      <c r="C47" s="7" t="s">
        <v>217</v>
      </c>
      <c r="E47" s="35">
        <v>230</v>
      </c>
      <c r="F47" s="35">
        <v>230</v>
      </c>
      <c r="G47" s="35">
        <v>971</v>
      </c>
      <c r="H47" s="35">
        <v>1002351</v>
      </c>
      <c r="I47" s="35">
        <v>1004034</v>
      </c>
      <c r="J47" s="35">
        <v>1004034</v>
      </c>
      <c r="K47" s="40"/>
      <c r="L47" s="10"/>
      <c r="M47" s="41"/>
      <c r="O47" s="35">
        <v>230</v>
      </c>
      <c r="P47" s="35">
        <v>971</v>
      </c>
      <c r="Q47" s="35">
        <v>971</v>
      </c>
      <c r="R47" s="35">
        <v>971</v>
      </c>
      <c r="S47" s="35">
        <v>1147</v>
      </c>
      <c r="T47" s="35">
        <v>1147</v>
      </c>
      <c r="U47" s="35">
        <v>1002351</v>
      </c>
      <c r="V47" s="35">
        <f t="shared" ref="V47:V50" si="36">H47</f>
        <v>1002351</v>
      </c>
      <c r="W47" s="35">
        <v>1002351</v>
      </c>
      <c r="X47" s="35">
        <v>1002351</v>
      </c>
      <c r="Y47" s="35">
        <v>1002351</v>
      </c>
      <c r="Z47" s="35">
        <v>1004034</v>
      </c>
      <c r="AA47" s="35">
        <v>1004034</v>
      </c>
      <c r="AB47" s="35">
        <v>1004034</v>
      </c>
      <c r="AC47" s="35">
        <v>1004034</v>
      </c>
      <c r="AD47" s="35">
        <v>1004034</v>
      </c>
      <c r="AE47" s="35">
        <v>1004034</v>
      </c>
      <c r="AF47" s="35">
        <v>1008876</v>
      </c>
      <c r="AG47" s="35">
        <v>1008876</v>
      </c>
      <c r="AH47" s="35"/>
    </row>
    <row r="48" spans="1:38" s="39" customFormat="1" ht="18" x14ac:dyDescent="0.25">
      <c r="A48" s="81"/>
      <c r="B48" s="7" t="s">
        <v>189</v>
      </c>
      <c r="C48" s="7" t="s">
        <v>223</v>
      </c>
      <c r="E48" s="35">
        <v>0</v>
      </c>
      <c r="F48" s="35">
        <v>0</v>
      </c>
      <c r="G48" s="35">
        <v>0</v>
      </c>
      <c r="H48" s="35">
        <v>0</v>
      </c>
      <c r="I48" s="35">
        <v>-8119</v>
      </c>
      <c r="J48" s="35">
        <v>-4822</v>
      </c>
      <c r="K48" s="40"/>
      <c r="L48" s="10"/>
      <c r="M48" s="41"/>
      <c r="N48" s="35"/>
      <c r="O48" s="35">
        <v>0</v>
      </c>
      <c r="P48" s="35">
        <v>0</v>
      </c>
      <c r="Q48" s="35">
        <v>0</v>
      </c>
      <c r="R48" s="35">
        <v>0</v>
      </c>
      <c r="S48" s="35">
        <v>0</v>
      </c>
      <c r="T48" s="35">
        <v>0</v>
      </c>
      <c r="U48" s="35">
        <v>0</v>
      </c>
      <c r="V48" s="35">
        <v>0</v>
      </c>
      <c r="W48" s="35">
        <v>0</v>
      </c>
      <c r="X48" s="35">
        <v>-5753</v>
      </c>
      <c r="Y48" s="35">
        <v>-8119</v>
      </c>
      <c r="Z48" s="35">
        <v>-8119</v>
      </c>
      <c r="AA48" s="35">
        <v>-8119</v>
      </c>
      <c r="AB48" s="35">
        <v>-8119</v>
      </c>
      <c r="AC48" s="35">
        <v>-5415</v>
      </c>
      <c r="AD48" s="35">
        <v>-4822</v>
      </c>
      <c r="AE48" s="35">
        <v>-1168</v>
      </c>
      <c r="AF48" s="35">
        <v>-4314</v>
      </c>
      <c r="AG48" s="35">
        <v>-4101</v>
      </c>
      <c r="AH48" s="35"/>
    </row>
    <row r="49" spans="1:35" s="39" customFormat="1" ht="18" x14ac:dyDescent="0.25">
      <c r="A49" s="81"/>
      <c r="B49" s="7" t="s">
        <v>163</v>
      </c>
      <c r="C49" s="7" t="s">
        <v>218</v>
      </c>
      <c r="E49" s="35">
        <v>0</v>
      </c>
      <c r="F49" s="35">
        <v>0</v>
      </c>
      <c r="G49" s="35">
        <v>0</v>
      </c>
      <c r="H49" s="35">
        <v>0</v>
      </c>
      <c r="I49" s="35">
        <v>-45072</v>
      </c>
      <c r="J49" s="35">
        <v>-45072</v>
      </c>
      <c r="K49" s="40"/>
      <c r="L49" s="10"/>
      <c r="M49" s="41"/>
      <c r="O49" s="35">
        <v>0</v>
      </c>
      <c r="P49" s="35">
        <v>0</v>
      </c>
      <c r="Q49" s="35">
        <v>0</v>
      </c>
      <c r="R49" s="35">
        <v>0</v>
      </c>
      <c r="S49" s="35">
        <v>0</v>
      </c>
      <c r="T49" s="35">
        <v>0</v>
      </c>
      <c r="U49" s="35">
        <v>0</v>
      </c>
      <c r="V49" s="35">
        <v>0</v>
      </c>
      <c r="W49" s="35">
        <v>-45072</v>
      </c>
      <c r="X49" s="35">
        <v>0</v>
      </c>
      <c r="Y49" s="35">
        <v>-45072</v>
      </c>
      <c r="Z49" s="35">
        <v>-45072</v>
      </c>
      <c r="AA49" s="35">
        <v>-45072</v>
      </c>
      <c r="AB49" s="35">
        <v>-45072</v>
      </c>
      <c r="AC49" s="35">
        <v>0</v>
      </c>
      <c r="AD49" s="35">
        <v>-45072</v>
      </c>
      <c r="AE49" s="35">
        <v>-45072</v>
      </c>
      <c r="AF49" s="35">
        <v>-45072</v>
      </c>
      <c r="AG49" s="35">
        <v>-45072</v>
      </c>
      <c r="AH49" s="35"/>
    </row>
    <row r="50" spans="1:35" s="39" customFormat="1" ht="18" x14ac:dyDescent="0.25">
      <c r="A50" s="81"/>
      <c r="B50" s="7" t="s">
        <v>99</v>
      </c>
      <c r="C50" s="7" t="s">
        <v>219</v>
      </c>
      <c r="E50" s="35">
        <v>0</v>
      </c>
      <c r="F50" s="35">
        <v>0</v>
      </c>
      <c r="G50" s="35">
        <v>70066</v>
      </c>
      <c r="H50" s="35">
        <v>81943</v>
      </c>
      <c r="I50" s="35">
        <v>130167</v>
      </c>
      <c r="J50" s="35">
        <v>135008</v>
      </c>
      <c r="K50" s="40"/>
      <c r="L50" s="10"/>
      <c r="M50" s="41"/>
      <c r="O50" s="35">
        <v>0</v>
      </c>
      <c r="P50" s="35">
        <v>19734</v>
      </c>
      <c r="Q50" s="35">
        <v>42071</v>
      </c>
      <c r="R50" s="35">
        <v>70066</v>
      </c>
      <c r="S50" s="35">
        <v>119325</v>
      </c>
      <c r="T50" s="35">
        <v>119325</v>
      </c>
      <c r="U50" s="35">
        <v>80388</v>
      </c>
      <c r="V50" s="35">
        <f t="shared" si="36"/>
        <v>81943</v>
      </c>
      <c r="W50" s="35">
        <v>127801</v>
      </c>
      <c r="X50" s="35">
        <v>83507</v>
      </c>
      <c r="Y50" s="35">
        <v>129365</v>
      </c>
      <c r="Z50" s="35">
        <v>130167</v>
      </c>
      <c r="AA50" s="35">
        <v>132384</v>
      </c>
      <c r="AB50" s="35">
        <v>134781</v>
      </c>
      <c r="AC50" s="35">
        <v>88549</v>
      </c>
      <c r="AD50" s="35">
        <v>135008</v>
      </c>
      <c r="AE50" s="35">
        <v>131754</v>
      </c>
      <c r="AF50" s="35">
        <v>132211</v>
      </c>
      <c r="AG50" s="35">
        <v>132895</v>
      </c>
      <c r="AH50" s="35"/>
    </row>
    <row r="51" spans="1:35" s="39" customFormat="1" ht="18" x14ac:dyDescent="0.25">
      <c r="A51" s="81"/>
      <c r="B51" s="7" t="s">
        <v>38</v>
      </c>
      <c r="C51" s="7" t="s">
        <v>220</v>
      </c>
      <c r="E51" s="35">
        <v>16402</v>
      </c>
      <c r="F51" s="35">
        <v>22879</v>
      </c>
      <c r="G51" s="35">
        <v>14023</v>
      </c>
      <c r="H51" s="35">
        <v>28402.211268395618</v>
      </c>
      <c r="I51" s="35">
        <v>77511</v>
      </c>
      <c r="J51" s="35">
        <v>140794</v>
      </c>
      <c r="K51" s="40"/>
      <c r="L51" s="10"/>
      <c r="M51" s="41"/>
      <c r="O51" s="35">
        <v>25927</v>
      </c>
      <c r="P51" s="35">
        <v>13966</v>
      </c>
      <c r="Q51" s="35">
        <v>11403</v>
      </c>
      <c r="R51" s="35">
        <v>14023</v>
      </c>
      <c r="S51" s="35">
        <v>21688</v>
      </c>
      <c r="T51" s="35">
        <v>12064</v>
      </c>
      <c r="U51" s="35">
        <v>25741</v>
      </c>
      <c r="V51" s="35">
        <v>28402.649340999313</v>
      </c>
      <c r="W51" s="35">
        <v>50155.392370000016</v>
      </c>
      <c r="X51" s="35">
        <v>39316</v>
      </c>
      <c r="Y51" s="35">
        <v>60742</v>
      </c>
      <c r="Z51" s="35">
        <v>77511</v>
      </c>
      <c r="AA51" s="35">
        <v>56505</v>
      </c>
      <c r="AB51" s="35">
        <v>89624</v>
      </c>
      <c r="AC51" s="35">
        <v>126126.79999999999</v>
      </c>
      <c r="AD51" s="35">
        <v>140794</v>
      </c>
      <c r="AE51" s="35">
        <v>181293.5</v>
      </c>
      <c r="AF51" s="35">
        <v>196918.91699999999</v>
      </c>
      <c r="AG51" s="35">
        <v>194438.51</v>
      </c>
      <c r="AH51" s="35"/>
    </row>
    <row r="52" spans="1:35" s="39" customFormat="1" ht="18" x14ac:dyDescent="0.25">
      <c r="A52" s="81"/>
      <c r="B52" s="7" t="s">
        <v>417</v>
      </c>
      <c r="C52" s="7" t="s">
        <v>418</v>
      </c>
      <c r="E52" s="35">
        <v>0</v>
      </c>
      <c r="F52" s="35">
        <v>0</v>
      </c>
      <c r="G52" s="35">
        <v>0</v>
      </c>
      <c r="H52" s="35">
        <v>0</v>
      </c>
      <c r="I52" s="35">
        <v>0</v>
      </c>
      <c r="J52" s="35">
        <v>0</v>
      </c>
      <c r="K52" s="40"/>
      <c r="L52" s="10"/>
      <c r="M52" s="41"/>
      <c r="O52" s="35">
        <v>0</v>
      </c>
      <c r="P52" s="35">
        <v>0</v>
      </c>
      <c r="Q52" s="35">
        <v>0</v>
      </c>
      <c r="R52" s="35">
        <v>0</v>
      </c>
      <c r="S52" s="35">
        <v>0</v>
      </c>
      <c r="T52" s="35">
        <v>0</v>
      </c>
      <c r="U52" s="35">
        <v>0</v>
      </c>
      <c r="V52" s="35">
        <v>0</v>
      </c>
      <c r="W52" s="35">
        <v>0</v>
      </c>
      <c r="X52" s="35">
        <v>0</v>
      </c>
      <c r="Y52" s="35">
        <v>0</v>
      </c>
      <c r="Z52" s="35">
        <v>0</v>
      </c>
      <c r="AA52" s="35">
        <v>0</v>
      </c>
      <c r="AB52" s="35">
        <v>0</v>
      </c>
      <c r="AC52" s="35">
        <v>0</v>
      </c>
      <c r="AD52" s="35">
        <v>0</v>
      </c>
      <c r="AE52" s="35">
        <v>0</v>
      </c>
      <c r="AF52" s="35">
        <v>0</v>
      </c>
      <c r="AG52" s="35">
        <v>-38674</v>
      </c>
      <c r="AH52" s="35"/>
    </row>
    <row r="53" spans="1:35" s="39" customFormat="1" ht="18" x14ac:dyDescent="0.25">
      <c r="A53" s="81"/>
      <c r="B53" s="11" t="s">
        <v>419</v>
      </c>
      <c r="C53" s="11" t="s">
        <v>420</v>
      </c>
      <c r="D53" s="42"/>
      <c r="E53" s="43">
        <v>0</v>
      </c>
      <c r="F53" s="43">
        <v>0</v>
      </c>
      <c r="G53" s="43">
        <v>0</v>
      </c>
      <c r="H53" s="43">
        <v>0</v>
      </c>
      <c r="I53" s="43">
        <v>0</v>
      </c>
      <c r="J53" s="43">
        <v>0</v>
      </c>
      <c r="K53" s="43"/>
      <c r="L53" s="43"/>
      <c r="M53" s="41"/>
      <c r="O53" s="43">
        <v>0</v>
      </c>
      <c r="P53" s="43">
        <v>0</v>
      </c>
      <c r="Q53" s="43">
        <v>0</v>
      </c>
      <c r="R53" s="43">
        <v>0</v>
      </c>
      <c r="S53" s="43">
        <v>0</v>
      </c>
      <c r="T53" s="43">
        <v>0</v>
      </c>
      <c r="U53" s="43">
        <v>0</v>
      </c>
      <c r="V53" s="43">
        <v>0</v>
      </c>
      <c r="W53" s="43">
        <v>0</v>
      </c>
      <c r="X53" s="43">
        <v>0</v>
      </c>
      <c r="Y53" s="43">
        <v>0</v>
      </c>
      <c r="Z53" s="43">
        <v>0</v>
      </c>
      <c r="AA53" s="43">
        <v>0</v>
      </c>
      <c r="AB53" s="43">
        <v>0</v>
      </c>
      <c r="AC53" s="43">
        <v>0</v>
      </c>
      <c r="AD53" s="43">
        <v>0</v>
      </c>
      <c r="AE53" s="43">
        <v>0</v>
      </c>
      <c r="AF53" s="43">
        <v>0</v>
      </c>
      <c r="AG53" s="43">
        <v>41773</v>
      </c>
      <c r="AH53" s="43"/>
      <c r="AI53" s="45"/>
    </row>
    <row r="54" spans="1:35" s="39" customFormat="1" ht="18" x14ac:dyDescent="0.25">
      <c r="A54" s="81"/>
      <c r="B54" s="5" t="s">
        <v>39</v>
      </c>
      <c r="C54" s="5" t="s">
        <v>221</v>
      </c>
      <c r="D54" s="46"/>
      <c r="E54" s="37">
        <f>SUM(E47:E53)</f>
        <v>16632</v>
      </c>
      <c r="F54" s="37">
        <f t="shared" ref="F54:J54" si="37">SUM(F47:F53)</f>
        <v>23109</v>
      </c>
      <c r="G54" s="37">
        <f t="shared" si="37"/>
        <v>85060</v>
      </c>
      <c r="H54" s="37">
        <f t="shared" si="37"/>
        <v>1112696.2112683957</v>
      </c>
      <c r="I54" s="37">
        <f t="shared" si="37"/>
        <v>1158521</v>
      </c>
      <c r="J54" s="37">
        <f t="shared" si="37"/>
        <v>1229942</v>
      </c>
      <c r="K54" s="36">
        <f>I54/H54-1</f>
        <v>4.1183557800891002E-2</v>
      </c>
      <c r="L54" s="36">
        <f>J54/I54-1</f>
        <v>6.1648429333607258E-2</v>
      </c>
      <c r="M54" s="41"/>
      <c r="O54" s="37">
        <f t="shared" ref="O54:AF54" si="38">SUM(O47:O53)</f>
        <v>26157</v>
      </c>
      <c r="P54" s="37">
        <f t="shared" si="38"/>
        <v>34671</v>
      </c>
      <c r="Q54" s="37">
        <f t="shared" si="38"/>
        <v>54445</v>
      </c>
      <c r="R54" s="37">
        <f t="shared" si="38"/>
        <v>85060</v>
      </c>
      <c r="S54" s="37">
        <f t="shared" si="38"/>
        <v>142160</v>
      </c>
      <c r="T54" s="37">
        <f t="shared" si="38"/>
        <v>132536</v>
      </c>
      <c r="U54" s="37">
        <f t="shared" si="38"/>
        <v>1108480</v>
      </c>
      <c r="V54" s="37">
        <f t="shared" si="38"/>
        <v>1112696.6493409993</v>
      </c>
      <c r="W54" s="37">
        <f t="shared" si="38"/>
        <v>1135235.39237</v>
      </c>
      <c r="X54" s="37">
        <f t="shared" si="38"/>
        <v>1119421</v>
      </c>
      <c r="Y54" s="37">
        <f t="shared" si="38"/>
        <v>1139267</v>
      </c>
      <c r="Z54" s="37">
        <f t="shared" si="38"/>
        <v>1158521</v>
      </c>
      <c r="AA54" s="37">
        <f t="shared" si="38"/>
        <v>1139732</v>
      </c>
      <c r="AB54" s="37">
        <f t="shared" si="38"/>
        <v>1175248</v>
      </c>
      <c r="AC54" s="37">
        <f t="shared" si="38"/>
        <v>1213294.8</v>
      </c>
      <c r="AD54" s="37">
        <f t="shared" si="38"/>
        <v>1229942</v>
      </c>
      <c r="AE54" s="37">
        <f t="shared" si="38"/>
        <v>1270841.5</v>
      </c>
      <c r="AF54" s="37">
        <f t="shared" si="38"/>
        <v>1288619.9169999999</v>
      </c>
      <c r="AG54" s="37">
        <f>SUM(AG47:AG53)</f>
        <v>1290135.51</v>
      </c>
      <c r="AH54" s="36">
        <f>AG54/AC54-1</f>
        <v>6.333226681594617E-2</v>
      </c>
      <c r="AI54" s="36">
        <f>AG54/AF54-1</f>
        <v>1.1761365628497611E-3</v>
      </c>
    </row>
    <row r="55" spans="1:35" s="39" customFormat="1" ht="18" x14ac:dyDescent="0.25">
      <c r="A55" s="81"/>
      <c r="M55" s="41"/>
    </row>
    <row r="56" spans="1:35" s="39" customFormat="1" ht="18" x14ac:dyDescent="0.25">
      <c r="A56" s="81"/>
      <c r="B56" s="8" t="s">
        <v>40</v>
      </c>
      <c r="C56" s="8" t="s">
        <v>222</v>
      </c>
      <c r="D56" s="47"/>
      <c r="E56" s="27">
        <f t="shared" ref="E56:J56" si="39">E54+E45+E36</f>
        <v>75321</v>
      </c>
      <c r="F56" s="27">
        <f t="shared" si="39"/>
        <v>116378</v>
      </c>
      <c r="G56" s="27">
        <f t="shared" si="39"/>
        <v>430028</v>
      </c>
      <c r="H56" s="27">
        <f t="shared" si="39"/>
        <v>3281486.5619273959</v>
      </c>
      <c r="I56" s="27">
        <f t="shared" si="39"/>
        <v>3730975</v>
      </c>
      <c r="J56" s="27">
        <f t="shared" si="39"/>
        <v>3982727</v>
      </c>
      <c r="K56" s="28">
        <f>I56/H56-1</f>
        <v>0.1369770771843708</v>
      </c>
      <c r="L56" s="28">
        <f>J56/I56-1</f>
        <v>6.7476195900535441E-2</v>
      </c>
      <c r="M56" s="41"/>
      <c r="O56" s="27">
        <f t="shared" ref="O56:W56" si="40">O54+O45+O36</f>
        <v>143599</v>
      </c>
      <c r="P56" s="27">
        <f t="shared" si="40"/>
        <v>181649</v>
      </c>
      <c r="Q56" s="27">
        <f t="shared" si="40"/>
        <v>316995.49</v>
      </c>
      <c r="R56" s="27">
        <f t="shared" si="40"/>
        <v>430028</v>
      </c>
      <c r="S56" s="27">
        <f t="shared" si="40"/>
        <v>599001</v>
      </c>
      <c r="T56" s="27">
        <f t="shared" si="40"/>
        <v>847490</v>
      </c>
      <c r="U56" s="27">
        <f t="shared" si="40"/>
        <v>1958982</v>
      </c>
      <c r="V56" s="27">
        <f t="shared" si="40"/>
        <v>3281487</v>
      </c>
      <c r="W56" s="27">
        <f t="shared" si="40"/>
        <v>3207586.39237</v>
      </c>
      <c r="X56" s="27">
        <f t="shared" ref="X56:AG56" si="41">X54+X45+X36</f>
        <v>2980727</v>
      </c>
      <c r="Y56" s="27">
        <f t="shared" si="41"/>
        <v>3468778</v>
      </c>
      <c r="Z56" s="27">
        <f t="shared" si="41"/>
        <v>3730975</v>
      </c>
      <c r="AA56" s="27">
        <f t="shared" si="41"/>
        <v>3760550.7250000001</v>
      </c>
      <c r="AB56" s="27">
        <f t="shared" si="41"/>
        <v>3757752</v>
      </c>
      <c r="AC56" s="27">
        <f t="shared" si="41"/>
        <v>3964456.7999999993</v>
      </c>
      <c r="AD56" s="27">
        <f t="shared" si="41"/>
        <v>3982727</v>
      </c>
      <c r="AE56" s="27">
        <f t="shared" si="41"/>
        <v>4720350.5</v>
      </c>
      <c r="AF56" s="27">
        <f t="shared" si="41"/>
        <v>4898506.67</v>
      </c>
      <c r="AG56" s="27">
        <f t="shared" si="41"/>
        <v>5102610.716</v>
      </c>
      <c r="AH56" s="28">
        <f>AG56/AC56-1</f>
        <v>0.28708949886905089</v>
      </c>
      <c r="AI56" s="28">
        <f>AG56/AF56-1</f>
        <v>4.1666585298331338E-2</v>
      </c>
    </row>
    <row r="57" spans="1:35" s="39" customFormat="1" x14ac:dyDescent="0.25">
      <c r="A57" s="62"/>
      <c r="V57" s="62"/>
      <c r="W57" s="62"/>
      <c r="X57" s="62"/>
      <c r="Y57" s="62"/>
      <c r="Z57" s="62"/>
      <c r="AA57" s="62"/>
      <c r="AB57" s="62"/>
      <c r="AC57" s="62"/>
      <c r="AD57" s="62"/>
      <c r="AE57" s="62"/>
      <c r="AF57" s="62"/>
      <c r="AG57" s="62"/>
    </row>
    <row r="58" spans="1:35" x14ac:dyDescent="0.25">
      <c r="O58" s="100"/>
      <c r="P58" s="100"/>
      <c r="Q58" s="100"/>
      <c r="R58" s="100"/>
      <c r="S58" s="100"/>
      <c r="T58" s="100"/>
      <c r="U58" s="100"/>
      <c r="V58" s="100"/>
      <c r="W58" s="100"/>
      <c r="X58" s="100"/>
      <c r="Y58" s="100"/>
      <c r="Z58" s="100"/>
      <c r="AA58" s="100"/>
      <c r="AB58" s="100"/>
      <c r="AC58" s="100"/>
      <c r="AD58" s="100"/>
      <c r="AE58" s="100"/>
      <c r="AF58" s="100"/>
      <c r="AG58" s="100"/>
    </row>
    <row r="59" spans="1:35" x14ac:dyDescent="0.25">
      <c r="AC59" s="109"/>
      <c r="AD59" s="109"/>
      <c r="AE59" s="109"/>
      <c r="AF59" s="109"/>
      <c r="AG59" s="109"/>
    </row>
    <row r="60" spans="1:35" x14ac:dyDescent="0.25">
      <c r="AC60" s="110"/>
      <c r="AD60" s="110"/>
      <c r="AE60" s="110"/>
      <c r="AF60" s="110"/>
      <c r="AG60" s="110"/>
    </row>
    <row r="61" spans="1:35" x14ac:dyDescent="0.25">
      <c r="AC61" s="110"/>
      <c r="AD61" s="110"/>
      <c r="AE61" s="110"/>
      <c r="AF61" s="110"/>
      <c r="AG61" s="110"/>
    </row>
  </sheetData>
  <phoneticPr fontId="12" type="noConversion"/>
  <pageMargins left="0.7" right="0.7" top="0.75" bottom="0.75" header="0.3" footer="0.3"/>
  <pageSetup paperSize="9" orientation="portrait" r:id="rId1"/>
  <cellWatches>
    <cellWatch r="O6"/>
    <cellWatch r="P6"/>
    <cellWatch r="Q6"/>
    <cellWatch r="R6"/>
    <cellWatch r="S6"/>
    <cellWatch r="T6"/>
    <cellWatch r="U6"/>
  </cellWatche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8B271A-5858-439A-BC1B-0B21963563B4}">
  <sheetPr>
    <tabColor theme="4" tint="-0.249977111117893"/>
  </sheetPr>
  <dimension ref="B1:AG84"/>
  <sheetViews>
    <sheetView showGridLines="0" zoomScaleNormal="100" workbookViewId="0">
      <pane xSplit="3" ySplit="4" topLeftCell="D5" activePane="bottomRight" state="frozen"/>
      <selection pane="topRight" activeCell="D1" sqref="D1"/>
      <selection pane="bottomLeft" activeCell="A5" sqref="A5"/>
      <selection pane="bottomRight" activeCell="B2" sqref="B2"/>
    </sheetView>
  </sheetViews>
  <sheetFormatPr defaultRowHeight="15" outlineLevelCol="1" x14ac:dyDescent="0.25"/>
  <cols>
    <col min="1" max="1" width="2.7109375" customWidth="1"/>
    <col min="2" max="2" width="54.42578125" customWidth="1"/>
    <col min="3" max="3" width="47.28515625" hidden="1" customWidth="1" outlineLevel="1"/>
    <col min="4" max="4" width="8" customWidth="1" collapsed="1"/>
    <col min="5" max="10" width="11.5703125" hidden="1" customWidth="1" outlineLevel="1"/>
    <col min="11" max="11" width="2.7109375" hidden="1" customWidth="1" outlineLevel="1"/>
    <col min="12" max="12" width="2.7109375" customWidth="1" collapsed="1"/>
    <col min="13" max="26" width="11.5703125" hidden="1" customWidth="1"/>
    <col min="27" max="31" width="11.5703125" customWidth="1"/>
    <col min="33" max="33" width="10.85546875" bestFit="1" customWidth="1"/>
  </cols>
  <sheetData>
    <row r="1" spans="2:32" ht="12" customHeight="1" x14ac:dyDescent="0.25"/>
    <row r="2" spans="2:32" ht="21" x14ac:dyDescent="0.25">
      <c r="B2" s="14" t="s">
        <v>41</v>
      </c>
      <c r="C2" s="14" t="s">
        <v>224</v>
      </c>
      <c r="D2" s="13"/>
      <c r="E2" s="13"/>
      <c r="F2" s="13"/>
      <c r="G2" s="13"/>
      <c r="H2" s="13"/>
      <c r="I2" s="13"/>
      <c r="J2" s="13"/>
      <c r="K2" s="13"/>
      <c r="L2" s="13"/>
      <c r="M2" s="13"/>
      <c r="N2" s="13"/>
      <c r="O2" s="13"/>
      <c r="P2" s="13"/>
      <c r="Q2" s="13"/>
      <c r="R2" s="13"/>
      <c r="S2" s="13"/>
      <c r="T2" s="13"/>
      <c r="U2" s="79"/>
      <c r="V2" s="79"/>
      <c r="W2" s="79"/>
      <c r="X2" s="79"/>
      <c r="Y2" s="79"/>
      <c r="Z2" s="79"/>
      <c r="AA2" s="79"/>
      <c r="AB2" s="79"/>
      <c r="AC2" s="79"/>
      <c r="AD2" s="79"/>
      <c r="AE2" s="79"/>
    </row>
    <row r="3" spans="2:32" ht="12" customHeight="1" x14ac:dyDescent="0.35">
      <c r="B3" s="1"/>
      <c r="C3" s="1"/>
      <c r="M3" s="19" t="s">
        <v>310</v>
      </c>
      <c r="N3" s="19" t="s">
        <v>311</v>
      </c>
      <c r="O3" s="19" t="s">
        <v>312</v>
      </c>
      <c r="P3" s="19" t="s">
        <v>313</v>
      </c>
      <c r="Q3" s="19" t="s">
        <v>314</v>
      </c>
      <c r="R3" s="19" t="s">
        <v>315</v>
      </c>
      <c r="S3" s="19" t="s">
        <v>316</v>
      </c>
      <c r="T3" s="19" t="s">
        <v>317</v>
      </c>
      <c r="U3" s="19" t="s">
        <v>318</v>
      </c>
      <c r="V3" s="19" t="s">
        <v>319</v>
      </c>
      <c r="W3" s="19" t="s">
        <v>320</v>
      </c>
      <c r="X3" s="19" t="s">
        <v>322</v>
      </c>
      <c r="Y3" s="19" t="s">
        <v>349</v>
      </c>
      <c r="Z3" s="19" t="s">
        <v>365</v>
      </c>
      <c r="AA3" s="19" t="s">
        <v>372</v>
      </c>
      <c r="AB3" s="19" t="s">
        <v>380</v>
      </c>
      <c r="AC3" s="19" t="s">
        <v>395</v>
      </c>
      <c r="AD3" s="19" t="s">
        <v>411</v>
      </c>
      <c r="AE3" s="19" t="s">
        <v>413</v>
      </c>
    </row>
    <row r="4" spans="2:32" x14ac:dyDescent="0.25">
      <c r="B4" s="2" t="s">
        <v>0</v>
      </c>
      <c r="C4" s="2" t="s">
        <v>168</v>
      </c>
      <c r="D4" s="3"/>
      <c r="E4" s="19">
        <v>2018</v>
      </c>
      <c r="F4" s="19">
        <v>2019</v>
      </c>
      <c r="G4" s="19">
        <v>2020</v>
      </c>
      <c r="H4" s="18">
        <v>2021</v>
      </c>
      <c r="I4" s="18">
        <v>2022</v>
      </c>
      <c r="J4" s="18">
        <v>2023</v>
      </c>
      <c r="K4" s="20"/>
      <c r="L4" s="6"/>
      <c r="M4" s="19" t="s">
        <v>86</v>
      </c>
      <c r="N4" s="19" t="s">
        <v>87</v>
      </c>
      <c r="O4" s="19" t="s">
        <v>95</v>
      </c>
      <c r="P4" s="19" t="s">
        <v>96</v>
      </c>
      <c r="Q4" s="19" t="s">
        <v>1</v>
      </c>
      <c r="R4" s="19" t="s">
        <v>2</v>
      </c>
      <c r="S4" s="19" t="s">
        <v>97</v>
      </c>
      <c r="T4" s="19" t="s">
        <v>146</v>
      </c>
      <c r="U4" s="19" t="s">
        <v>161</v>
      </c>
      <c r="V4" s="19" t="s">
        <v>188</v>
      </c>
      <c r="W4" s="19" t="s">
        <v>309</v>
      </c>
      <c r="X4" s="19" t="s">
        <v>323</v>
      </c>
      <c r="Y4" s="19" t="s">
        <v>350</v>
      </c>
      <c r="Z4" s="19" t="s">
        <v>366</v>
      </c>
      <c r="AA4" s="19" t="s">
        <v>373</v>
      </c>
      <c r="AB4" s="19" t="s">
        <v>381</v>
      </c>
      <c r="AC4" s="19" t="s">
        <v>396</v>
      </c>
      <c r="AD4" s="19" t="s">
        <v>412</v>
      </c>
      <c r="AE4" s="19" t="s">
        <v>414</v>
      </c>
    </row>
    <row r="5" spans="2:32" ht="6" customHeight="1" x14ac:dyDescent="0.25">
      <c r="K5" s="4"/>
    </row>
    <row r="6" spans="2:32" s="39" customFormat="1" x14ac:dyDescent="0.25">
      <c r="B6" s="5" t="s">
        <v>42</v>
      </c>
      <c r="C6" s="5" t="s">
        <v>225</v>
      </c>
      <c r="D6" s="48"/>
      <c r="E6" s="37">
        <v>9652</v>
      </c>
      <c r="F6" s="37">
        <v>15088</v>
      </c>
      <c r="G6" s="37">
        <v>24479</v>
      </c>
      <c r="H6" s="37">
        <v>89589</v>
      </c>
      <c r="I6" s="37">
        <v>167991</v>
      </c>
      <c r="J6" s="37">
        <v>198835.19999999998</v>
      </c>
      <c r="K6" s="41"/>
      <c r="M6" s="37">
        <v>4926</v>
      </c>
      <c r="N6" s="37">
        <v>5209</v>
      </c>
      <c r="O6" s="37">
        <v>6320.1579099999999</v>
      </c>
      <c r="P6" s="37">
        <v>8023.8420899999983</v>
      </c>
      <c r="Q6" s="37">
        <v>11978</v>
      </c>
      <c r="R6" s="37">
        <v>17251</v>
      </c>
      <c r="S6" s="37">
        <v>20929</v>
      </c>
      <c r="T6" s="37">
        <v>39431</v>
      </c>
      <c r="U6" s="37">
        <v>36817</v>
      </c>
      <c r="V6" s="37">
        <v>40546</v>
      </c>
      <c r="W6" s="37">
        <v>50675</v>
      </c>
      <c r="X6" s="37">
        <v>39953</v>
      </c>
      <c r="Y6" s="37">
        <v>30732</v>
      </c>
      <c r="Z6" s="37">
        <v>47725</v>
      </c>
      <c r="AA6" s="37">
        <v>62951.599999999977</v>
      </c>
      <c r="AB6" s="37">
        <v>57426.599999999977</v>
      </c>
      <c r="AC6" s="37">
        <v>68149</v>
      </c>
      <c r="AD6" s="37">
        <v>64716.917000000147</v>
      </c>
      <c r="AE6" s="37">
        <v>74430.476999999781</v>
      </c>
    </row>
    <row r="7" spans="2:32" x14ac:dyDescent="0.25">
      <c r="K7" s="4"/>
    </row>
    <row r="8" spans="2:32" x14ac:dyDescent="0.25">
      <c r="B8" s="57" t="s">
        <v>43</v>
      </c>
      <c r="C8" s="57" t="s">
        <v>226</v>
      </c>
      <c r="K8" s="4"/>
    </row>
    <row r="9" spans="2:32" s="39" customFormat="1" x14ac:dyDescent="0.25">
      <c r="B9" s="12" t="s">
        <v>44</v>
      </c>
      <c r="C9" s="12" t="s">
        <v>227</v>
      </c>
      <c r="E9" s="35">
        <v>4557</v>
      </c>
      <c r="F9" s="35">
        <v>7001</v>
      </c>
      <c r="G9" s="35">
        <v>16130</v>
      </c>
      <c r="H9" s="35">
        <v>54614</v>
      </c>
      <c r="I9" s="35">
        <v>137166</v>
      </c>
      <c r="J9" s="35">
        <v>185652</v>
      </c>
      <c r="K9" s="41"/>
      <c r="M9" s="35">
        <v>2383</v>
      </c>
      <c r="N9" s="35">
        <v>3071</v>
      </c>
      <c r="O9" s="35">
        <v>3319</v>
      </c>
      <c r="P9" s="35">
        <v>7357</v>
      </c>
      <c r="Q9" s="35">
        <v>8083</v>
      </c>
      <c r="R9" s="35">
        <v>11084</v>
      </c>
      <c r="S9" s="35">
        <v>11751</v>
      </c>
      <c r="T9" s="35">
        <v>23696</v>
      </c>
      <c r="U9" s="35">
        <v>27027</v>
      </c>
      <c r="V9" s="35">
        <v>31014</v>
      </c>
      <c r="W9" s="35">
        <v>36067</v>
      </c>
      <c r="X9" s="35">
        <v>43058</v>
      </c>
      <c r="Y9" s="35">
        <v>41718</v>
      </c>
      <c r="Z9" s="35">
        <v>43989</v>
      </c>
      <c r="AA9" s="35">
        <v>47879</v>
      </c>
      <c r="AB9" s="35">
        <v>52066</v>
      </c>
      <c r="AC9" s="35">
        <v>44249.999999999993</v>
      </c>
      <c r="AD9" s="35">
        <v>35248</v>
      </c>
      <c r="AE9" s="35">
        <v>42512</v>
      </c>
      <c r="AF9" s="95"/>
    </row>
    <row r="10" spans="2:32" s="39" customFormat="1" x14ac:dyDescent="0.25">
      <c r="B10" s="12" t="s">
        <v>300</v>
      </c>
      <c r="C10" s="12" t="s">
        <v>325</v>
      </c>
      <c r="E10" s="35">
        <v>0</v>
      </c>
      <c r="F10" s="35">
        <v>0</v>
      </c>
      <c r="G10" s="35">
        <v>0</v>
      </c>
      <c r="H10" s="35">
        <v>0</v>
      </c>
      <c r="I10" s="35">
        <v>-8005</v>
      </c>
      <c r="J10" s="35">
        <v>-3749.0955800000002</v>
      </c>
      <c r="K10" s="41"/>
      <c r="M10" s="35">
        <v>0</v>
      </c>
      <c r="N10" s="35">
        <v>0</v>
      </c>
      <c r="O10" s="35">
        <v>0</v>
      </c>
      <c r="P10" s="35">
        <v>0</v>
      </c>
      <c r="Q10" s="35">
        <v>0</v>
      </c>
      <c r="R10" s="35">
        <v>0</v>
      </c>
      <c r="S10" s="35">
        <v>0</v>
      </c>
      <c r="T10" s="35">
        <v>0</v>
      </c>
      <c r="U10" s="35">
        <v>0</v>
      </c>
      <c r="V10" s="35">
        <v>-3710</v>
      </c>
      <c r="W10" s="35">
        <v>-2368</v>
      </c>
      <c r="X10" s="35">
        <v>-1927</v>
      </c>
      <c r="Y10" s="35">
        <v>-4000</v>
      </c>
      <c r="Z10" s="35">
        <v>-103</v>
      </c>
      <c r="AA10" s="35">
        <v>-110.35709000000043</v>
      </c>
      <c r="AB10" s="35">
        <v>464.26151000000027</v>
      </c>
      <c r="AC10" s="35">
        <v>0</v>
      </c>
      <c r="AD10" s="35">
        <v>-11.172000000000001</v>
      </c>
      <c r="AE10" s="35">
        <v>11.172000000000001</v>
      </c>
      <c r="AF10" s="95"/>
    </row>
    <row r="11" spans="2:32" s="39" customFormat="1" x14ac:dyDescent="0.25">
      <c r="B11" s="12" t="s">
        <v>45</v>
      </c>
      <c r="C11" s="12" t="s">
        <v>228</v>
      </c>
      <c r="E11" s="35">
        <v>531</v>
      </c>
      <c r="F11" s="35">
        <v>1490</v>
      </c>
      <c r="G11" s="35">
        <v>1405</v>
      </c>
      <c r="H11" s="35">
        <v>0</v>
      </c>
      <c r="I11" s="35">
        <v>0</v>
      </c>
      <c r="J11" s="35">
        <v>0</v>
      </c>
      <c r="K11" s="41"/>
      <c r="M11" s="35">
        <v>282</v>
      </c>
      <c r="N11" s="35">
        <v>0</v>
      </c>
      <c r="O11" s="35">
        <v>356</v>
      </c>
      <c r="P11" s="35">
        <v>767</v>
      </c>
      <c r="Q11" s="35">
        <v>2042</v>
      </c>
      <c r="R11" s="35">
        <v>1114</v>
      </c>
      <c r="S11" s="35">
        <v>1699</v>
      </c>
      <c r="T11" s="35">
        <v>-4855</v>
      </c>
      <c r="U11" s="35">
        <v>0</v>
      </c>
      <c r="V11" s="35">
        <v>0</v>
      </c>
      <c r="W11" s="35">
        <v>0</v>
      </c>
      <c r="X11" s="35">
        <v>0</v>
      </c>
      <c r="Y11" s="35">
        <v>0</v>
      </c>
      <c r="Z11" s="35">
        <v>0</v>
      </c>
      <c r="AA11" s="35">
        <v>0</v>
      </c>
      <c r="AB11" s="35">
        <v>0</v>
      </c>
      <c r="AC11" s="35">
        <v>0</v>
      </c>
      <c r="AD11" s="35">
        <v>0</v>
      </c>
      <c r="AE11" s="35">
        <v>0</v>
      </c>
      <c r="AF11" s="95"/>
    </row>
    <row r="12" spans="2:32" s="39" customFormat="1" x14ac:dyDescent="0.25">
      <c r="B12" s="12" t="s">
        <v>100</v>
      </c>
      <c r="C12" s="12" t="s">
        <v>332</v>
      </c>
      <c r="E12" s="35">
        <v>0</v>
      </c>
      <c r="F12" s="35">
        <v>0</v>
      </c>
      <c r="G12" s="35">
        <v>0</v>
      </c>
      <c r="H12" s="35">
        <v>7480</v>
      </c>
      <c r="I12" s="35">
        <v>37613</v>
      </c>
      <c r="J12" s="35">
        <v>81661</v>
      </c>
      <c r="K12" s="41"/>
      <c r="M12" s="35">
        <v>0</v>
      </c>
      <c r="N12" s="35">
        <v>0</v>
      </c>
      <c r="O12" s="35">
        <v>0</v>
      </c>
      <c r="P12" s="35">
        <v>0</v>
      </c>
      <c r="Q12" s="35">
        <v>0</v>
      </c>
      <c r="R12" s="35">
        <v>0</v>
      </c>
      <c r="S12" s="35">
        <v>2548</v>
      </c>
      <c r="T12" s="35">
        <v>4932</v>
      </c>
      <c r="U12" s="35">
        <v>7453</v>
      </c>
      <c r="V12" s="35">
        <v>8596</v>
      </c>
      <c r="W12" s="35">
        <v>14729</v>
      </c>
      <c r="X12" s="35">
        <v>6835</v>
      </c>
      <c r="Y12" s="35">
        <v>25956</v>
      </c>
      <c r="Z12" s="35">
        <v>13556</v>
      </c>
      <c r="AA12" s="35">
        <v>14841</v>
      </c>
      <c r="AB12" s="35">
        <v>27308</v>
      </c>
      <c r="AC12" s="35">
        <v>20325</v>
      </c>
      <c r="AD12" s="35">
        <v>16054</v>
      </c>
      <c r="AE12" s="35">
        <v>40620.756399999897</v>
      </c>
      <c r="AF12" s="95"/>
    </row>
    <row r="13" spans="2:32" s="39" customFormat="1" x14ac:dyDescent="0.25">
      <c r="B13" s="12" t="s">
        <v>46</v>
      </c>
      <c r="C13" s="12" t="s">
        <v>229</v>
      </c>
      <c r="E13" s="35">
        <v>0</v>
      </c>
      <c r="F13" s="35">
        <v>0</v>
      </c>
      <c r="G13" s="35">
        <v>608</v>
      </c>
      <c r="H13" s="35">
        <v>0</v>
      </c>
      <c r="I13" s="35">
        <v>0</v>
      </c>
      <c r="J13" s="35">
        <v>0</v>
      </c>
      <c r="K13" s="41"/>
      <c r="M13" s="35">
        <v>0</v>
      </c>
      <c r="N13" s="35">
        <v>0</v>
      </c>
      <c r="O13" s="35">
        <v>-1</v>
      </c>
      <c r="P13" s="35">
        <v>609</v>
      </c>
      <c r="Q13" s="35">
        <v>360</v>
      </c>
      <c r="R13" s="35">
        <v>-360</v>
      </c>
      <c r="S13" s="35">
        <v>0</v>
      </c>
      <c r="T13" s="35">
        <v>0</v>
      </c>
      <c r="U13" s="35">
        <v>0</v>
      </c>
      <c r="V13" s="35">
        <v>0</v>
      </c>
      <c r="W13" s="35">
        <v>0</v>
      </c>
      <c r="X13" s="35">
        <v>0</v>
      </c>
      <c r="Y13" s="35">
        <v>0</v>
      </c>
      <c r="Z13" s="35">
        <v>0</v>
      </c>
      <c r="AA13" s="35">
        <v>0</v>
      </c>
      <c r="AB13" s="35">
        <v>0</v>
      </c>
      <c r="AC13" s="35">
        <v>0</v>
      </c>
      <c r="AD13" s="35">
        <v>0</v>
      </c>
      <c r="AE13" s="35">
        <v>0</v>
      </c>
      <c r="AF13" s="95"/>
    </row>
    <row r="14" spans="2:32" s="39" customFormat="1" x14ac:dyDescent="0.25">
      <c r="B14" s="12" t="s">
        <v>150</v>
      </c>
      <c r="C14" s="12" t="s">
        <v>333</v>
      </c>
      <c r="E14" s="35">
        <v>0</v>
      </c>
      <c r="F14" s="35">
        <v>0</v>
      </c>
      <c r="G14" s="35">
        <v>0</v>
      </c>
      <c r="H14" s="35">
        <v>-1765</v>
      </c>
      <c r="I14" s="35">
        <v>0</v>
      </c>
      <c r="J14" s="35">
        <v>0</v>
      </c>
      <c r="K14" s="41"/>
      <c r="M14" s="35">
        <v>0</v>
      </c>
      <c r="N14" s="35">
        <v>0</v>
      </c>
      <c r="O14" s="35">
        <v>0</v>
      </c>
      <c r="P14" s="35">
        <v>0</v>
      </c>
      <c r="Q14" s="35">
        <v>0</v>
      </c>
      <c r="R14" s="35">
        <v>0</v>
      </c>
      <c r="S14" s="35">
        <v>0</v>
      </c>
      <c r="T14" s="35">
        <v>-1765</v>
      </c>
      <c r="U14" s="35">
        <v>0</v>
      </c>
      <c r="V14" s="35">
        <v>0</v>
      </c>
      <c r="W14" s="35">
        <v>-2728</v>
      </c>
      <c r="X14" s="35">
        <v>2728</v>
      </c>
      <c r="Y14" s="35">
        <v>0</v>
      </c>
      <c r="Z14" s="35">
        <v>0</v>
      </c>
      <c r="AA14" s="35">
        <v>0</v>
      </c>
      <c r="AB14" s="35">
        <v>0</v>
      </c>
      <c r="AC14" s="35">
        <v>0</v>
      </c>
      <c r="AD14" s="35">
        <v>0</v>
      </c>
      <c r="AE14" s="35">
        <v>0</v>
      </c>
      <c r="AF14" s="95"/>
    </row>
    <row r="15" spans="2:32" s="39" customFormat="1" x14ac:dyDescent="0.25">
      <c r="B15" s="12" t="s">
        <v>47</v>
      </c>
      <c r="C15" s="12" t="s">
        <v>230</v>
      </c>
      <c r="E15" s="35">
        <v>0</v>
      </c>
      <c r="F15" s="35">
        <v>-2</v>
      </c>
      <c r="G15" s="35">
        <v>-5</v>
      </c>
      <c r="H15" s="35">
        <v>1786</v>
      </c>
      <c r="I15" s="35">
        <v>0</v>
      </c>
      <c r="J15" s="35">
        <v>0</v>
      </c>
      <c r="K15" s="41"/>
      <c r="M15" s="35">
        <v>0</v>
      </c>
      <c r="N15" s="35">
        <v>0</v>
      </c>
      <c r="O15" s="35">
        <v>0</v>
      </c>
      <c r="P15" s="35">
        <v>-5</v>
      </c>
      <c r="Q15" s="35">
        <v>0</v>
      </c>
      <c r="R15" s="35">
        <v>-25</v>
      </c>
      <c r="S15" s="35">
        <v>-1739</v>
      </c>
      <c r="T15" s="35">
        <v>3550</v>
      </c>
      <c r="U15" s="35">
        <v>727</v>
      </c>
      <c r="V15" s="35">
        <v>-749</v>
      </c>
      <c r="W15" s="35">
        <v>-135</v>
      </c>
      <c r="X15" s="35">
        <v>157</v>
      </c>
      <c r="Y15" s="35">
        <v>0</v>
      </c>
      <c r="Z15" s="35">
        <v>2397</v>
      </c>
      <c r="AA15" s="35">
        <v>0</v>
      </c>
      <c r="AB15" s="35">
        <v>0</v>
      </c>
      <c r="AC15" s="35">
        <v>0</v>
      </c>
      <c r="AD15" s="35">
        <v>0</v>
      </c>
      <c r="AE15" s="35">
        <v>0</v>
      </c>
      <c r="AF15" s="95"/>
    </row>
    <row r="16" spans="2:32" s="39" customFormat="1" x14ac:dyDescent="0.25">
      <c r="B16" s="12" t="s">
        <v>301</v>
      </c>
      <c r="C16" s="12" t="s">
        <v>306</v>
      </c>
      <c r="E16" s="35"/>
      <c r="F16" s="35"/>
      <c r="G16" s="35"/>
      <c r="H16" s="35"/>
      <c r="I16" s="35">
        <v>4814</v>
      </c>
      <c r="J16" s="35">
        <v>4841</v>
      </c>
      <c r="K16" s="41"/>
      <c r="M16" s="35"/>
      <c r="N16" s="35"/>
      <c r="O16" s="35"/>
      <c r="P16" s="35"/>
      <c r="Q16" s="35"/>
      <c r="R16" s="35"/>
      <c r="S16" s="35"/>
      <c r="T16" s="35"/>
      <c r="U16" s="35"/>
      <c r="V16" s="35">
        <v>1563</v>
      </c>
      <c r="W16" s="35">
        <v>787</v>
      </c>
      <c r="X16" s="35">
        <v>2464</v>
      </c>
      <c r="Y16" s="35">
        <v>2217</v>
      </c>
      <c r="Z16" s="35">
        <v>0</v>
      </c>
      <c r="AA16" s="35">
        <v>-1160</v>
      </c>
      <c r="AB16" s="35">
        <v>1387</v>
      </c>
      <c r="AC16" s="35">
        <v>826</v>
      </c>
      <c r="AD16" s="35">
        <v>1581.1153477958046</v>
      </c>
      <c r="AE16" s="35">
        <v>897.35230824841756</v>
      </c>
      <c r="AF16" s="95"/>
    </row>
    <row r="17" spans="2:33" s="39" customFormat="1" x14ac:dyDescent="0.25">
      <c r="B17" s="12" t="s">
        <v>48</v>
      </c>
      <c r="C17" s="12" t="s">
        <v>231</v>
      </c>
      <c r="E17" s="35">
        <v>70</v>
      </c>
      <c r="F17" s="35">
        <v>50</v>
      </c>
      <c r="G17" s="35">
        <v>0</v>
      </c>
      <c r="H17" s="35">
        <v>0</v>
      </c>
      <c r="I17" s="35">
        <v>0</v>
      </c>
      <c r="J17" s="35">
        <v>0</v>
      </c>
      <c r="K17" s="41"/>
      <c r="M17" s="35">
        <v>0</v>
      </c>
      <c r="N17" s="35">
        <v>0</v>
      </c>
      <c r="O17" s="35">
        <v>-138.173</v>
      </c>
      <c r="P17" s="35">
        <v>138.173</v>
      </c>
      <c r="Q17" s="35">
        <v>0</v>
      </c>
      <c r="R17" s="35">
        <v>0</v>
      </c>
      <c r="S17" s="35">
        <v>-457</v>
      </c>
      <c r="T17" s="35">
        <v>457</v>
      </c>
      <c r="U17" s="35">
        <v>1154</v>
      </c>
      <c r="V17" s="35">
        <v>-1154</v>
      </c>
      <c r="W17" s="35">
        <v>0</v>
      </c>
      <c r="X17" s="35">
        <v>0</v>
      </c>
      <c r="Y17" s="35">
        <v>0</v>
      </c>
      <c r="Z17" s="35">
        <v>0</v>
      </c>
      <c r="AA17" s="35"/>
      <c r="AB17" s="35">
        <v>0</v>
      </c>
      <c r="AC17" s="35">
        <v>0</v>
      </c>
      <c r="AD17" s="35">
        <v>0</v>
      </c>
      <c r="AE17" s="35">
        <v>0</v>
      </c>
      <c r="AF17" s="95"/>
    </row>
    <row r="18" spans="2:33" s="39" customFormat="1" x14ac:dyDescent="0.25">
      <c r="B18" s="12" t="s">
        <v>49</v>
      </c>
      <c r="C18" s="12" t="s">
        <v>232</v>
      </c>
      <c r="E18" s="35">
        <v>0</v>
      </c>
      <c r="F18" s="35">
        <v>397</v>
      </c>
      <c r="G18" s="35">
        <v>280</v>
      </c>
      <c r="H18" s="35">
        <v>666</v>
      </c>
      <c r="I18" s="35">
        <v>5266</v>
      </c>
      <c r="J18" s="35">
        <v>10873</v>
      </c>
      <c r="K18" s="41"/>
      <c r="M18" s="35">
        <v>206</v>
      </c>
      <c r="N18" s="35">
        <v>296</v>
      </c>
      <c r="O18" s="35">
        <v>0</v>
      </c>
      <c r="P18" s="35">
        <v>-222</v>
      </c>
      <c r="Q18" s="35">
        <v>140</v>
      </c>
      <c r="R18" s="35">
        <v>871</v>
      </c>
      <c r="S18" s="35">
        <v>0</v>
      </c>
      <c r="T18" s="35">
        <v>-345</v>
      </c>
      <c r="U18" s="35">
        <v>0</v>
      </c>
      <c r="V18" s="35">
        <v>3647</v>
      </c>
      <c r="W18" s="35">
        <v>717</v>
      </c>
      <c r="X18" s="35">
        <v>902</v>
      </c>
      <c r="Y18" s="35">
        <v>1881</v>
      </c>
      <c r="Z18" s="35">
        <v>1667</v>
      </c>
      <c r="AA18" s="35">
        <v>3050</v>
      </c>
      <c r="AB18" s="35">
        <v>4275</v>
      </c>
      <c r="AC18" s="35">
        <v>3179.6181699999997</v>
      </c>
      <c r="AD18" s="35">
        <v>3101.5378999999994</v>
      </c>
      <c r="AE18" s="35">
        <v>2345.8734600000007</v>
      </c>
      <c r="AF18" s="95"/>
    </row>
    <row r="19" spans="2:33" s="39" customFormat="1" x14ac:dyDescent="0.25">
      <c r="B19" s="12" t="s">
        <v>352</v>
      </c>
      <c r="C19" s="12" t="s">
        <v>233</v>
      </c>
      <c r="E19" s="35">
        <v>0</v>
      </c>
      <c r="F19" s="35">
        <v>0</v>
      </c>
      <c r="G19" s="35">
        <v>0</v>
      </c>
      <c r="H19" s="35">
        <v>1337</v>
      </c>
      <c r="I19" s="35">
        <v>3639</v>
      </c>
      <c r="J19" s="35">
        <v>2230.9250000000002</v>
      </c>
      <c r="K19" s="41"/>
      <c r="M19" s="35">
        <v>0</v>
      </c>
      <c r="N19" s="35">
        <v>0</v>
      </c>
      <c r="O19" s="35">
        <v>0</v>
      </c>
      <c r="P19" s="35">
        <v>0</v>
      </c>
      <c r="Q19" s="35">
        <v>0</v>
      </c>
      <c r="R19" s="35">
        <v>0</v>
      </c>
      <c r="S19" s="35">
        <v>0</v>
      </c>
      <c r="T19" s="35">
        <v>1337</v>
      </c>
      <c r="U19" s="35">
        <v>1813</v>
      </c>
      <c r="V19" s="35">
        <v>506</v>
      </c>
      <c r="W19" s="35">
        <v>-4765</v>
      </c>
      <c r="X19" s="35">
        <v>6085</v>
      </c>
      <c r="Y19" s="35">
        <v>577</v>
      </c>
      <c r="Z19" s="35">
        <v>575</v>
      </c>
      <c r="AA19" s="35">
        <v>580</v>
      </c>
      <c r="AB19" s="35">
        <v>498.92500000000018</v>
      </c>
      <c r="AC19" s="35">
        <v>473.9999999999992</v>
      </c>
      <c r="AD19" s="35">
        <v>481.00000000000057</v>
      </c>
      <c r="AE19" s="35">
        <v>1421.1901799999996</v>
      </c>
      <c r="AF19" s="95"/>
    </row>
    <row r="20" spans="2:33" s="39" customFormat="1" x14ac:dyDescent="0.25">
      <c r="B20" s="12" t="s">
        <v>164</v>
      </c>
      <c r="C20" s="12" t="s">
        <v>234</v>
      </c>
      <c r="E20" s="35"/>
      <c r="F20" s="35"/>
      <c r="G20" s="35"/>
      <c r="H20" s="35"/>
      <c r="I20" s="35">
        <v>-3222</v>
      </c>
      <c r="J20" s="35">
        <v>0</v>
      </c>
      <c r="K20" s="41"/>
      <c r="M20" s="35"/>
      <c r="N20" s="35"/>
      <c r="O20" s="35"/>
      <c r="P20" s="35"/>
      <c r="Q20" s="35"/>
      <c r="R20" s="35"/>
      <c r="S20" s="35">
        <v>0</v>
      </c>
      <c r="T20" s="35">
        <v>0</v>
      </c>
      <c r="U20" s="35">
        <v>-3054</v>
      </c>
      <c r="V20" s="35">
        <v>-255</v>
      </c>
      <c r="W20" s="35">
        <v>233</v>
      </c>
      <c r="X20" s="35">
        <v>-146</v>
      </c>
      <c r="Y20" s="101">
        <v>0</v>
      </c>
      <c r="Z20" s="101">
        <v>0</v>
      </c>
      <c r="AA20" s="101">
        <v>0</v>
      </c>
      <c r="AB20" s="101">
        <v>0</v>
      </c>
      <c r="AC20" s="101">
        <v>0</v>
      </c>
      <c r="AD20" s="101">
        <v>0</v>
      </c>
      <c r="AE20" s="101">
        <v>0</v>
      </c>
      <c r="AF20" s="95"/>
    </row>
    <row r="21" spans="2:33" s="39" customFormat="1" x14ac:dyDescent="0.25">
      <c r="B21" s="12" t="s">
        <v>50</v>
      </c>
      <c r="C21" s="12" t="s">
        <v>235</v>
      </c>
      <c r="E21" s="35">
        <v>0</v>
      </c>
      <c r="F21" s="35">
        <v>0</v>
      </c>
      <c r="G21" s="35">
        <v>268</v>
      </c>
      <c r="H21" s="35">
        <v>1601</v>
      </c>
      <c r="I21" s="35">
        <v>5776</v>
      </c>
      <c r="J21" s="35">
        <v>10339</v>
      </c>
      <c r="K21" s="41"/>
      <c r="M21" s="35">
        <v>16</v>
      </c>
      <c r="N21" s="35">
        <v>25</v>
      </c>
      <c r="O21" s="35">
        <v>39</v>
      </c>
      <c r="P21" s="35">
        <v>188</v>
      </c>
      <c r="Q21" s="35">
        <v>242</v>
      </c>
      <c r="R21" s="35">
        <v>292</v>
      </c>
      <c r="S21" s="35">
        <v>417</v>
      </c>
      <c r="T21" s="35">
        <v>650</v>
      </c>
      <c r="U21" s="35">
        <v>838.56727932074841</v>
      </c>
      <c r="V21" s="35">
        <v>857.43272067925159</v>
      </c>
      <c r="W21" s="35">
        <v>1618.0000000000002</v>
      </c>
      <c r="X21" s="35">
        <v>2462</v>
      </c>
      <c r="Y21" s="35">
        <v>2452.62208931856</v>
      </c>
      <c r="Z21" s="35">
        <v>2535.5818770075703</v>
      </c>
      <c r="AA21" s="35">
        <v>4565.6655024049005</v>
      </c>
      <c r="AB21" s="35">
        <v>785.13053126896921</v>
      </c>
      <c r="AC21" s="35">
        <v>2685.1</v>
      </c>
      <c r="AD21" s="35">
        <v>2908.1792842246205</v>
      </c>
      <c r="AE21" s="35">
        <v>2821.9906992603001</v>
      </c>
      <c r="AF21" s="95"/>
    </row>
    <row r="22" spans="2:33" s="39" customFormat="1" x14ac:dyDescent="0.25">
      <c r="B22" s="12" t="s">
        <v>51</v>
      </c>
      <c r="C22" s="12" t="s">
        <v>236</v>
      </c>
      <c r="E22" s="35">
        <v>4723</v>
      </c>
      <c r="F22" s="35">
        <v>6817</v>
      </c>
      <c r="G22" s="35">
        <v>14802</v>
      </c>
      <c r="H22" s="35">
        <v>62107</v>
      </c>
      <c r="I22" s="35">
        <v>256832</v>
      </c>
      <c r="J22" s="35">
        <v>303979.1878999999</v>
      </c>
      <c r="K22" s="41"/>
      <c r="M22" s="35">
        <v>2329</v>
      </c>
      <c r="N22" s="35">
        <v>2891</v>
      </c>
      <c r="O22" s="35">
        <v>3860</v>
      </c>
      <c r="P22" s="35">
        <v>5722</v>
      </c>
      <c r="Q22" s="35">
        <v>6625</v>
      </c>
      <c r="R22" s="35">
        <v>9929</v>
      </c>
      <c r="S22" s="35">
        <v>15615</v>
      </c>
      <c r="T22" s="35">
        <v>29938</v>
      </c>
      <c r="U22" s="35">
        <v>60553</v>
      </c>
      <c r="V22" s="35">
        <v>60413</v>
      </c>
      <c r="W22" s="35">
        <v>63511</v>
      </c>
      <c r="X22" s="35">
        <v>72355</v>
      </c>
      <c r="Y22" s="35">
        <v>82154.265460000024</v>
      </c>
      <c r="Z22" s="35">
        <v>76481.51357999997</v>
      </c>
      <c r="AA22" s="35">
        <v>74963.127606031019</v>
      </c>
      <c r="AB22" s="35">
        <v>70380.281253968889</v>
      </c>
      <c r="AC22" s="35">
        <v>72312.368689431343</v>
      </c>
      <c r="AD22" s="35">
        <v>88185</v>
      </c>
      <c r="AE22" s="35">
        <v>88536.94472</v>
      </c>
      <c r="AF22" s="95"/>
    </row>
    <row r="23" spans="2:33" s="39" customFormat="1" x14ac:dyDescent="0.25">
      <c r="B23" s="12" t="s">
        <v>353</v>
      </c>
      <c r="C23" s="12" t="s">
        <v>361</v>
      </c>
      <c r="E23" s="35"/>
      <c r="F23" s="35"/>
      <c r="G23" s="35"/>
      <c r="H23" s="35"/>
      <c r="I23" s="35"/>
      <c r="J23" s="35">
        <v>33165.284624854379</v>
      </c>
      <c r="K23" s="41"/>
      <c r="M23" s="35">
        <v>0</v>
      </c>
      <c r="N23" s="35">
        <v>0</v>
      </c>
      <c r="O23" s="35">
        <v>0</v>
      </c>
      <c r="P23" s="35">
        <v>0</v>
      </c>
      <c r="Q23" s="35">
        <v>0</v>
      </c>
      <c r="R23" s="35">
        <v>0</v>
      </c>
      <c r="S23" s="35">
        <v>0</v>
      </c>
      <c r="T23" s="35">
        <v>0</v>
      </c>
      <c r="U23" s="35">
        <v>0</v>
      </c>
      <c r="V23" s="35">
        <v>0</v>
      </c>
      <c r="W23" s="35">
        <v>0</v>
      </c>
      <c r="X23" s="35">
        <v>0</v>
      </c>
      <c r="Y23" s="35">
        <v>5138</v>
      </c>
      <c r="Z23" s="35">
        <v>7358.0564400020994</v>
      </c>
      <c r="AA23" s="35">
        <v>8464.9435599979006</v>
      </c>
      <c r="AB23" s="35">
        <v>12204.284624854379</v>
      </c>
      <c r="AC23" s="35">
        <v>9721</v>
      </c>
      <c r="AD23" s="35">
        <v>10354.301500000001</v>
      </c>
      <c r="AE23" s="35">
        <v>13947.302680000001</v>
      </c>
      <c r="AF23" s="95"/>
    </row>
    <row r="24" spans="2:33" s="39" customFormat="1" x14ac:dyDescent="0.25">
      <c r="B24" s="12" t="s">
        <v>354</v>
      </c>
      <c r="C24" s="12" t="s">
        <v>362</v>
      </c>
      <c r="E24" s="35"/>
      <c r="F24" s="35"/>
      <c r="G24" s="35"/>
      <c r="H24" s="35"/>
      <c r="I24" s="35"/>
      <c r="J24" s="35">
        <v>0</v>
      </c>
      <c r="K24" s="41"/>
      <c r="M24" s="35">
        <v>0</v>
      </c>
      <c r="N24" s="35">
        <v>0</v>
      </c>
      <c r="O24" s="35">
        <v>0</v>
      </c>
      <c r="P24" s="35">
        <v>0</v>
      </c>
      <c r="Q24" s="35">
        <v>0</v>
      </c>
      <c r="R24" s="35">
        <v>0</v>
      </c>
      <c r="S24" s="35">
        <v>0</v>
      </c>
      <c r="T24" s="35">
        <v>0</v>
      </c>
      <c r="U24" s="35">
        <v>0</v>
      </c>
      <c r="V24" s="35">
        <v>0</v>
      </c>
      <c r="W24" s="35">
        <v>0</v>
      </c>
      <c r="X24" s="35">
        <v>0</v>
      </c>
      <c r="Y24" s="35">
        <v>-66</v>
      </c>
      <c r="Z24" s="35">
        <v>186</v>
      </c>
      <c r="AA24" s="35">
        <v>-557</v>
      </c>
      <c r="AB24" s="35">
        <v>437</v>
      </c>
      <c r="AC24" s="35">
        <v>39</v>
      </c>
      <c r="AD24" s="35">
        <v>240</v>
      </c>
      <c r="AE24" s="35">
        <v>82.496288612336798</v>
      </c>
      <c r="AF24" s="95"/>
    </row>
    <row r="25" spans="2:33" s="39" customFormat="1" x14ac:dyDescent="0.25">
      <c r="B25" s="12" t="s">
        <v>383</v>
      </c>
      <c r="C25" s="12" t="s">
        <v>397</v>
      </c>
      <c r="E25" s="35"/>
      <c r="F25" s="35"/>
      <c r="G25" s="35"/>
      <c r="H25" s="35"/>
      <c r="I25" s="35"/>
      <c r="J25" s="35">
        <v>-32074</v>
      </c>
      <c r="K25" s="41"/>
      <c r="M25" s="35"/>
      <c r="N25" s="35"/>
      <c r="O25" s="35"/>
      <c r="P25" s="35"/>
      <c r="Q25" s="35"/>
      <c r="R25" s="35"/>
      <c r="S25" s="35"/>
      <c r="T25" s="35"/>
      <c r="U25" s="35"/>
      <c r="V25" s="35"/>
      <c r="W25" s="35">
        <v>0</v>
      </c>
      <c r="X25" s="35">
        <v>0</v>
      </c>
      <c r="Y25" s="35">
        <v>0</v>
      </c>
      <c r="Z25" s="35">
        <v>0</v>
      </c>
      <c r="AA25" s="35">
        <v>0</v>
      </c>
      <c r="AB25" s="35">
        <v>-32074</v>
      </c>
      <c r="AC25" s="35">
        <v>-14896.217790259367</v>
      </c>
      <c r="AD25" s="35">
        <v>-39141.963113291858</v>
      </c>
      <c r="AE25" s="35">
        <v>941.96557167473657</v>
      </c>
      <c r="AF25" s="95"/>
    </row>
    <row r="26" spans="2:33" s="39" customFormat="1" x14ac:dyDescent="0.25">
      <c r="B26" s="12" t="s">
        <v>334</v>
      </c>
      <c r="C26" s="12" t="s">
        <v>326</v>
      </c>
      <c r="E26" s="35">
        <v>0</v>
      </c>
      <c r="F26" s="35">
        <v>0</v>
      </c>
      <c r="G26" s="35">
        <v>0</v>
      </c>
      <c r="H26" s="35">
        <v>0</v>
      </c>
      <c r="I26" s="35">
        <v>64</v>
      </c>
      <c r="J26" s="35">
        <v>-556</v>
      </c>
      <c r="K26" s="41"/>
      <c r="M26" s="35">
        <v>0</v>
      </c>
      <c r="N26" s="35">
        <v>0</v>
      </c>
      <c r="O26" s="35">
        <v>0</v>
      </c>
      <c r="P26" s="35">
        <v>0</v>
      </c>
      <c r="Q26" s="35">
        <v>0</v>
      </c>
      <c r="R26" s="35">
        <v>0</v>
      </c>
      <c r="S26" s="35">
        <v>0</v>
      </c>
      <c r="T26" s="35">
        <v>0</v>
      </c>
      <c r="U26" s="35">
        <v>0</v>
      </c>
      <c r="V26" s="35">
        <v>0</v>
      </c>
      <c r="W26" s="35">
        <v>0</v>
      </c>
      <c r="X26" s="35">
        <v>64</v>
      </c>
      <c r="Y26" s="35">
        <v>0</v>
      </c>
      <c r="Z26" s="35">
        <v>0</v>
      </c>
      <c r="AA26" s="35">
        <v>0</v>
      </c>
      <c r="AB26" s="35">
        <v>-556</v>
      </c>
      <c r="AC26" s="35">
        <v>0</v>
      </c>
      <c r="AD26" s="35">
        <v>450.41357212399998</v>
      </c>
      <c r="AE26" s="35">
        <v>116.58642787600002</v>
      </c>
      <c r="AF26" s="95"/>
    </row>
    <row r="27" spans="2:33" x14ac:dyDescent="0.25">
      <c r="K27" s="4"/>
    </row>
    <row r="28" spans="2:33" x14ac:dyDescent="0.25">
      <c r="B28" s="57" t="s">
        <v>52</v>
      </c>
      <c r="C28" s="57" t="s">
        <v>237</v>
      </c>
      <c r="K28" s="4"/>
    </row>
    <row r="29" spans="2:33" s="39" customFormat="1" x14ac:dyDescent="0.25">
      <c r="B29" s="12" t="s">
        <v>17</v>
      </c>
      <c r="C29" s="12" t="s">
        <v>238</v>
      </c>
      <c r="E29" s="35">
        <v>-2000</v>
      </c>
      <c r="F29" s="35">
        <v>-3303</v>
      </c>
      <c r="G29" s="35">
        <v>-15685</v>
      </c>
      <c r="H29" s="35">
        <v>-106896</v>
      </c>
      <c r="I29" s="35">
        <v>-72267</v>
      </c>
      <c r="J29" s="35">
        <v>-98969</v>
      </c>
      <c r="K29" s="41"/>
      <c r="M29" s="35">
        <v>-4041</v>
      </c>
      <c r="N29" s="35">
        <v>1186</v>
      </c>
      <c r="O29" s="35">
        <v>-6238</v>
      </c>
      <c r="P29" s="35">
        <v>-6592</v>
      </c>
      <c r="Q29" s="35">
        <v>-16651</v>
      </c>
      <c r="R29" s="35">
        <v>-26455</v>
      </c>
      <c r="S29" s="35">
        <v>-32976</v>
      </c>
      <c r="T29" s="35">
        <v>-30814</v>
      </c>
      <c r="U29" s="35">
        <v>-63168</v>
      </c>
      <c r="V29" s="35">
        <v>-42130</v>
      </c>
      <c r="W29" s="35">
        <v>4419</v>
      </c>
      <c r="X29" s="35">
        <v>6990</v>
      </c>
      <c r="Y29" s="35">
        <v>-15923</v>
      </c>
      <c r="Z29" s="35">
        <v>-15672</v>
      </c>
      <c r="AA29" s="35">
        <v>-49449</v>
      </c>
      <c r="AB29" s="35">
        <v>-17925</v>
      </c>
      <c r="AC29" s="35">
        <v>-81279</v>
      </c>
      <c r="AD29" s="35">
        <v>-51757.719899999967</v>
      </c>
      <c r="AE29" s="35">
        <v>-34181.439460000052</v>
      </c>
      <c r="AG29" s="95"/>
    </row>
    <row r="30" spans="2:33" s="39" customFormat="1" x14ac:dyDescent="0.25">
      <c r="B30" s="12" t="s">
        <v>53</v>
      </c>
      <c r="C30" s="12" t="s">
        <v>193</v>
      </c>
      <c r="E30" s="35">
        <v>-334</v>
      </c>
      <c r="F30" s="35">
        <v>552</v>
      </c>
      <c r="G30" s="35">
        <v>-8158</v>
      </c>
      <c r="H30" s="35">
        <v>-22546</v>
      </c>
      <c r="I30" s="35">
        <v>-35269</v>
      </c>
      <c r="J30" s="35">
        <v>35008</v>
      </c>
      <c r="K30" s="41"/>
      <c r="M30" s="35">
        <v>-1096</v>
      </c>
      <c r="N30" s="35">
        <v>-1346</v>
      </c>
      <c r="O30" s="35">
        <v>-4325</v>
      </c>
      <c r="P30" s="35">
        <v>-1391</v>
      </c>
      <c r="Q30" s="35">
        <v>-3969</v>
      </c>
      <c r="R30" s="35">
        <v>-10322</v>
      </c>
      <c r="S30" s="35">
        <v>-12366</v>
      </c>
      <c r="T30" s="35">
        <v>4111</v>
      </c>
      <c r="U30" s="35">
        <v>-5182</v>
      </c>
      <c r="V30" s="35">
        <v>-6230</v>
      </c>
      <c r="W30" s="35">
        <v>-19398</v>
      </c>
      <c r="X30" s="35">
        <v>-4459</v>
      </c>
      <c r="Y30" s="35">
        <v>8863</v>
      </c>
      <c r="Z30" s="35">
        <v>14064</v>
      </c>
      <c r="AA30" s="35">
        <v>15569</v>
      </c>
      <c r="AB30" s="35">
        <v>-3488</v>
      </c>
      <c r="AC30" s="35">
        <v>4091</v>
      </c>
      <c r="AD30" s="35">
        <v>-5109.0729999999967</v>
      </c>
      <c r="AE30" s="35">
        <v>-12789.240000000016</v>
      </c>
      <c r="AG30" s="95"/>
    </row>
    <row r="31" spans="2:33" s="39" customFormat="1" x14ac:dyDescent="0.25">
      <c r="B31" s="12" t="s">
        <v>363</v>
      </c>
      <c r="C31" s="12" t="s">
        <v>364</v>
      </c>
      <c r="E31" s="35"/>
      <c r="F31" s="35"/>
      <c r="G31" s="35"/>
      <c r="H31" s="35"/>
      <c r="I31" s="35"/>
      <c r="J31" s="35">
        <v>-391</v>
      </c>
      <c r="K31" s="41"/>
      <c r="M31" s="35"/>
      <c r="N31" s="35"/>
      <c r="O31" s="35"/>
      <c r="P31" s="35"/>
      <c r="Q31" s="35"/>
      <c r="R31" s="35"/>
      <c r="S31" s="35"/>
      <c r="T31" s="35"/>
      <c r="U31" s="35">
        <v>0</v>
      </c>
      <c r="V31" s="35">
        <v>0</v>
      </c>
      <c r="W31" s="35">
        <v>0</v>
      </c>
      <c r="X31" s="35">
        <v>0</v>
      </c>
      <c r="Y31" s="35">
        <v>-171</v>
      </c>
      <c r="Z31" s="35">
        <v>-3</v>
      </c>
      <c r="AA31" s="35">
        <v>82</v>
      </c>
      <c r="AB31" s="35">
        <v>-299</v>
      </c>
      <c r="AC31" s="35">
        <v>-105</v>
      </c>
      <c r="AD31" s="35">
        <v>-224</v>
      </c>
      <c r="AE31" s="35">
        <v>-15.422000000000025</v>
      </c>
      <c r="AG31" s="95"/>
    </row>
    <row r="32" spans="2:33" s="39" customFormat="1" x14ac:dyDescent="0.25">
      <c r="B32" s="12" t="s">
        <v>18</v>
      </c>
      <c r="C32" s="12" t="s">
        <v>192</v>
      </c>
      <c r="E32" s="35">
        <v>0</v>
      </c>
      <c r="F32" s="35">
        <v>0</v>
      </c>
      <c r="G32" s="35">
        <v>-1985</v>
      </c>
      <c r="H32" s="35">
        <v>-10040</v>
      </c>
      <c r="I32" s="35">
        <v>-9507</v>
      </c>
      <c r="J32" s="35">
        <v>-21714</v>
      </c>
      <c r="K32" s="41"/>
      <c r="M32" s="35">
        <v>-5</v>
      </c>
      <c r="N32" s="35">
        <v>5</v>
      </c>
      <c r="O32" s="35">
        <v>-1060</v>
      </c>
      <c r="P32" s="35">
        <v>-925</v>
      </c>
      <c r="Q32" s="35">
        <v>-822</v>
      </c>
      <c r="R32" s="35">
        <v>-1914</v>
      </c>
      <c r="S32" s="35">
        <v>-3063</v>
      </c>
      <c r="T32" s="35">
        <v>-4241</v>
      </c>
      <c r="U32" s="35">
        <v>-3525</v>
      </c>
      <c r="V32" s="35">
        <v>-5170</v>
      </c>
      <c r="W32" s="35">
        <v>1198</v>
      </c>
      <c r="X32" s="35">
        <v>-2010</v>
      </c>
      <c r="Y32" s="35">
        <v>-9826</v>
      </c>
      <c r="Z32" s="35">
        <v>-7399</v>
      </c>
      <c r="AA32" s="35">
        <v>-2217</v>
      </c>
      <c r="AB32" s="35">
        <v>-2272</v>
      </c>
      <c r="AC32" s="35">
        <v>1020</v>
      </c>
      <c r="AD32" s="35">
        <v>-6929.4639999999999</v>
      </c>
      <c r="AE32" s="35">
        <v>9809.27</v>
      </c>
      <c r="AG32" s="95"/>
    </row>
    <row r="33" spans="2:33" s="39" customFormat="1" x14ac:dyDescent="0.25">
      <c r="B33" s="12" t="s">
        <v>20</v>
      </c>
      <c r="C33" s="12" t="s">
        <v>194</v>
      </c>
      <c r="E33" s="35">
        <v>-255</v>
      </c>
      <c r="F33" s="35">
        <v>-364</v>
      </c>
      <c r="G33" s="35">
        <v>-1887</v>
      </c>
      <c r="H33" s="35">
        <v>-4252</v>
      </c>
      <c r="I33" s="35">
        <v>-4482</v>
      </c>
      <c r="J33" s="35">
        <v>-54939</v>
      </c>
      <c r="K33" s="41"/>
      <c r="M33" s="35">
        <v>-696</v>
      </c>
      <c r="N33" s="35">
        <v>-173</v>
      </c>
      <c r="O33" s="35">
        <v>-1384</v>
      </c>
      <c r="P33" s="35">
        <v>366</v>
      </c>
      <c r="Q33" s="35">
        <v>-2378</v>
      </c>
      <c r="R33" s="35">
        <v>-640</v>
      </c>
      <c r="S33" s="35">
        <v>-805</v>
      </c>
      <c r="T33" s="35">
        <v>-429</v>
      </c>
      <c r="U33" s="35">
        <v>860</v>
      </c>
      <c r="V33" s="35">
        <v>-5542</v>
      </c>
      <c r="W33" s="35">
        <v>715</v>
      </c>
      <c r="X33" s="35">
        <v>-515</v>
      </c>
      <c r="Y33" s="35">
        <v>-16841</v>
      </c>
      <c r="Z33" s="35">
        <v>-13316.817230000001</v>
      </c>
      <c r="AA33" s="35">
        <v>-12379.825680000002</v>
      </c>
      <c r="AB33" s="35">
        <v>-12401.357089999998</v>
      </c>
      <c r="AC33" s="35">
        <v>-18698</v>
      </c>
      <c r="AD33" s="35">
        <v>-12897.816000000006</v>
      </c>
      <c r="AE33" s="35">
        <v>3643.4877899999992</v>
      </c>
      <c r="AG33" s="95"/>
    </row>
    <row r="34" spans="2:33" s="39" customFormat="1" x14ac:dyDescent="0.25">
      <c r="B34" s="12" t="s">
        <v>26</v>
      </c>
      <c r="C34" s="12" t="s">
        <v>200</v>
      </c>
      <c r="E34" s="35">
        <v>-1001</v>
      </c>
      <c r="F34" s="35">
        <v>3600</v>
      </c>
      <c r="G34" s="35">
        <v>6052</v>
      </c>
      <c r="H34" s="35">
        <v>30059.98544</v>
      </c>
      <c r="I34" s="35">
        <v>67185</v>
      </c>
      <c r="J34" s="35">
        <v>-80592.024855008582</v>
      </c>
      <c r="K34" s="41"/>
      <c r="M34" s="35">
        <v>-1385</v>
      </c>
      <c r="N34" s="35">
        <v>-114</v>
      </c>
      <c r="O34" s="35">
        <v>10123</v>
      </c>
      <c r="P34" s="35">
        <v>-2572</v>
      </c>
      <c r="Q34" s="35">
        <v>-1834</v>
      </c>
      <c r="R34" s="35">
        <v>18209</v>
      </c>
      <c r="S34" s="35">
        <v>32379</v>
      </c>
      <c r="T34" s="35">
        <v>-18694.01456</v>
      </c>
      <c r="U34" s="35">
        <v>58319</v>
      </c>
      <c r="V34" s="35">
        <v>-12822</v>
      </c>
      <c r="W34" s="35">
        <v>100897</v>
      </c>
      <c r="X34" s="35">
        <v>-79209</v>
      </c>
      <c r="Y34" s="35">
        <v>-33033</v>
      </c>
      <c r="Z34" s="35">
        <v>-35064.30876</v>
      </c>
      <c r="AA34" s="35">
        <v>11169.30876</v>
      </c>
      <c r="AB34" s="35">
        <v>-23664.024855008582</v>
      </c>
      <c r="AC34" s="35">
        <v>-1284</v>
      </c>
      <c r="AD34" s="35">
        <v>18860.479353010647</v>
      </c>
      <c r="AE34" s="35">
        <v>-7914.8871850818505</v>
      </c>
      <c r="AG34" s="95"/>
    </row>
    <row r="35" spans="2:33" s="39" customFormat="1" x14ac:dyDescent="0.25">
      <c r="B35" s="12" t="s">
        <v>54</v>
      </c>
      <c r="C35" s="12" t="s">
        <v>239</v>
      </c>
      <c r="E35" s="35">
        <v>244</v>
      </c>
      <c r="F35" s="35">
        <v>850</v>
      </c>
      <c r="G35" s="35">
        <v>2511</v>
      </c>
      <c r="H35" s="35">
        <v>7952</v>
      </c>
      <c r="I35" s="35">
        <v>14771</v>
      </c>
      <c r="J35" s="35">
        <v>18896</v>
      </c>
      <c r="K35" s="41"/>
      <c r="M35" s="35">
        <v>664</v>
      </c>
      <c r="N35" s="35">
        <v>1462</v>
      </c>
      <c r="O35" s="35">
        <v>771</v>
      </c>
      <c r="P35" s="35">
        <v>-386</v>
      </c>
      <c r="Q35" s="35">
        <v>1329</v>
      </c>
      <c r="R35" s="35">
        <v>2388</v>
      </c>
      <c r="S35" s="35">
        <v>5823</v>
      </c>
      <c r="T35" s="35">
        <v>-1588</v>
      </c>
      <c r="U35" s="35">
        <v>-981</v>
      </c>
      <c r="V35" s="35">
        <v>8035</v>
      </c>
      <c r="W35" s="35">
        <v>5985</v>
      </c>
      <c r="X35" s="35">
        <v>1732</v>
      </c>
      <c r="Y35" s="35">
        <v>9063</v>
      </c>
      <c r="Z35" s="35">
        <v>-429</v>
      </c>
      <c r="AA35" s="35">
        <v>14560</v>
      </c>
      <c r="AB35" s="35">
        <v>-4298</v>
      </c>
      <c r="AC35" s="35">
        <v>11260</v>
      </c>
      <c r="AD35" s="35">
        <v>-656.82499999999709</v>
      </c>
      <c r="AE35" s="35">
        <v>11514.629999999986</v>
      </c>
      <c r="AG35" s="95"/>
    </row>
    <row r="36" spans="2:33" s="39" customFormat="1" x14ac:dyDescent="0.25">
      <c r="B36" s="12" t="s">
        <v>30</v>
      </c>
      <c r="C36" s="12" t="s">
        <v>204</v>
      </c>
      <c r="E36" s="35">
        <v>-158</v>
      </c>
      <c r="F36" s="35">
        <v>0</v>
      </c>
      <c r="G36" s="35">
        <v>229</v>
      </c>
      <c r="H36" s="35">
        <v>3388.6227699999999</v>
      </c>
      <c r="I36" s="35">
        <v>424</v>
      </c>
      <c r="J36" s="35">
        <v>3491</v>
      </c>
      <c r="K36" s="41"/>
      <c r="M36" s="35">
        <v>-21</v>
      </c>
      <c r="N36" s="35">
        <v>209</v>
      </c>
      <c r="O36" s="35">
        <v>-203.89270000000033</v>
      </c>
      <c r="P36" s="35">
        <v>244.89270000000033</v>
      </c>
      <c r="Q36" s="35">
        <v>160</v>
      </c>
      <c r="R36" s="35">
        <v>1143</v>
      </c>
      <c r="S36" s="35">
        <v>2050</v>
      </c>
      <c r="T36" s="35">
        <v>35.622769999999946</v>
      </c>
      <c r="U36" s="35">
        <v>1448</v>
      </c>
      <c r="V36" s="35">
        <v>-400</v>
      </c>
      <c r="W36" s="35">
        <v>-25379</v>
      </c>
      <c r="X36" s="35">
        <v>24755</v>
      </c>
      <c r="Y36" s="35">
        <v>1529</v>
      </c>
      <c r="Z36" s="35">
        <v>-213</v>
      </c>
      <c r="AA36" s="35">
        <v>7856</v>
      </c>
      <c r="AB36" s="35">
        <v>-5681</v>
      </c>
      <c r="AC36" s="35">
        <v>19074</v>
      </c>
      <c r="AD36" s="35">
        <v>-2065.770999999997</v>
      </c>
      <c r="AE36" s="35">
        <v>-846.47100000000501</v>
      </c>
      <c r="AG36" s="95"/>
    </row>
    <row r="37" spans="2:33" s="39" customFormat="1" x14ac:dyDescent="0.25">
      <c r="B37" s="12" t="s">
        <v>36</v>
      </c>
      <c r="C37" s="12" t="s">
        <v>240</v>
      </c>
      <c r="E37" s="35">
        <v>47</v>
      </c>
      <c r="F37" s="35">
        <v>-47</v>
      </c>
      <c r="G37" s="35">
        <v>0</v>
      </c>
      <c r="H37" s="35">
        <v>0</v>
      </c>
      <c r="I37" s="35">
        <v>-351</v>
      </c>
      <c r="J37" s="35">
        <v>0</v>
      </c>
      <c r="K37" s="41"/>
      <c r="M37" s="35">
        <v>0</v>
      </c>
      <c r="N37" s="35">
        <v>-235</v>
      </c>
      <c r="O37" s="35">
        <v>155</v>
      </c>
      <c r="P37" s="35">
        <v>80</v>
      </c>
      <c r="Q37" s="35">
        <v>0</v>
      </c>
      <c r="R37" s="35">
        <v>143</v>
      </c>
      <c r="S37" s="35">
        <v>-1197</v>
      </c>
      <c r="T37" s="35">
        <v>1054</v>
      </c>
      <c r="U37" s="35">
        <v>0</v>
      </c>
      <c r="V37" s="35">
        <v>0</v>
      </c>
      <c r="W37" s="35">
        <v>0</v>
      </c>
      <c r="X37" s="35">
        <v>-24675</v>
      </c>
      <c r="Y37" s="35">
        <v>6251</v>
      </c>
      <c r="Z37" s="35">
        <v>0</v>
      </c>
      <c r="AA37" s="35">
        <v>0</v>
      </c>
      <c r="AB37" s="35">
        <v>0</v>
      </c>
      <c r="AC37" s="35">
        <v>0</v>
      </c>
      <c r="AD37" s="35">
        <v>0</v>
      </c>
      <c r="AE37" s="35">
        <v>0</v>
      </c>
      <c r="AG37" s="95"/>
    </row>
    <row r="38" spans="2:33" s="39" customFormat="1" x14ac:dyDescent="0.25">
      <c r="B38" s="12" t="s">
        <v>32</v>
      </c>
      <c r="C38" s="12" t="s">
        <v>210</v>
      </c>
      <c r="E38" s="35">
        <v>-181</v>
      </c>
      <c r="F38" s="35">
        <v>-108</v>
      </c>
      <c r="G38" s="35">
        <v>169</v>
      </c>
      <c r="H38" s="35">
        <v>-11591</v>
      </c>
      <c r="I38" s="35">
        <v>0</v>
      </c>
      <c r="J38" s="35">
        <v>13625</v>
      </c>
      <c r="K38" s="41"/>
      <c r="M38" s="35">
        <v>319</v>
      </c>
      <c r="N38" s="35">
        <v>0</v>
      </c>
      <c r="O38" s="35">
        <v>217</v>
      </c>
      <c r="P38" s="35">
        <v>-367</v>
      </c>
      <c r="Q38" s="35">
        <v>206</v>
      </c>
      <c r="R38" s="35">
        <v>-608</v>
      </c>
      <c r="S38" s="35">
        <v>0</v>
      </c>
      <c r="T38" s="35">
        <v>-11189</v>
      </c>
      <c r="U38" s="35">
        <v>1800</v>
      </c>
      <c r="V38" s="35">
        <v>11</v>
      </c>
      <c r="W38" s="35">
        <v>22513</v>
      </c>
      <c r="X38" s="35">
        <v>0</v>
      </c>
      <c r="Y38" s="35">
        <v>0</v>
      </c>
      <c r="Z38" s="35">
        <v>-5435</v>
      </c>
      <c r="AA38" s="35">
        <v>1673</v>
      </c>
      <c r="AB38" s="35">
        <v>11136</v>
      </c>
      <c r="AC38" s="35">
        <v>10470</v>
      </c>
      <c r="AD38" s="35">
        <v>4251.0031183895007</v>
      </c>
      <c r="AE38" s="35">
        <v>8766.1385929981625</v>
      </c>
      <c r="AG38" s="95"/>
    </row>
    <row r="39" spans="2:33" s="39" customFormat="1" x14ac:dyDescent="0.25">
      <c r="B39" s="12" t="s">
        <v>152</v>
      </c>
      <c r="C39" s="12" t="s">
        <v>208</v>
      </c>
      <c r="E39" s="35">
        <v>0</v>
      </c>
      <c r="F39" s="35">
        <v>0</v>
      </c>
      <c r="G39" s="35">
        <v>0</v>
      </c>
      <c r="H39" s="35">
        <v>-608</v>
      </c>
      <c r="I39" s="35">
        <v>0</v>
      </c>
      <c r="J39" s="35">
        <v>0</v>
      </c>
      <c r="K39" s="41"/>
      <c r="M39" s="35">
        <v>0</v>
      </c>
      <c r="N39" s="35">
        <v>0</v>
      </c>
      <c r="O39" s="35">
        <v>0</v>
      </c>
      <c r="P39" s="35">
        <v>0</v>
      </c>
      <c r="Q39" s="35">
        <v>0</v>
      </c>
      <c r="R39" s="35">
        <v>0</v>
      </c>
      <c r="S39" s="35">
        <v>0</v>
      </c>
      <c r="T39" s="35">
        <v>-608</v>
      </c>
      <c r="U39" s="35">
        <v>0</v>
      </c>
      <c r="V39" s="35">
        <v>0</v>
      </c>
      <c r="W39" s="35">
        <v>0</v>
      </c>
      <c r="X39" s="35">
        <v>0</v>
      </c>
      <c r="Y39" s="35">
        <v>0</v>
      </c>
      <c r="Z39" s="35">
        <v>0</v>
      </c>
      <c r="AA39" s="35">
        <v>0</v>
      </c>
      <c r="AB39" s="35">
        <v>0</v>
      </c>
      <c r="AC39" s="35">
        <v>0</v>
      </c>
      <c r="AD39" s="35">
        <v>0</v>
      </c>
      <c r="AE39" s="35">
        <v>0</v>
      </c>
      <c r="AG39" s="95"/>
    </row>
    <row r="40" spans="2:33" s="39" customFormat="1" x14ac:dyDescent="0.25">
      <c r="B40" s="12"/>
      <c r="C40" s="12"/>
      <c r="H40" s="35"/>
      <c r="I40" s="35"/>
      <c r="J40" s="35"/>
      <c r="K40" s="41"/>
      <c r="S40" s="35"/>
      <c r="T40" s="35"/>
      <c r="U40" s="35"/>
      <c r="V40" s="35"/>
      <c r="W40" s="35"/>
      <c r="X40" s="35"/>
      <c r="Y40" s="35"/>
      <c r="Z40" s="35"/>
      <c r="AA40" s="35"/>
      <c r="AB40" s="35"/>
      <c r="AC40" s="35"/>
      <c r="AD40" s="35"/>
      <c r="AE40" s="35"/>
      <c r="AG40" s="95"/>
    </row>
    <row r="41" spans="2:33" s="39" customFormat="1" x14ac:dyDescent="0.25">
      <c r="B41" s="12" t="s">
        <v>55</v>
      </c>
      <c r="C41" s="12" t="s">
        <v>241</v>
      </c>
      <c r="E41" s="35">
        <v>-4201</v>
      </c>
      <c r="F41" s="35">
        <v>-6798</v>
      </c>
      <c r="G41" s="35">
        <v>-12756</v>
      </c>
      <c r="H41" s="35">
        <v>-49538</v>
      </c>
      <c r="I41" s="35">
        <v>-232727</v>
      </c>
      <c r="J41" s="35">
        <v>-282115.1231201982</v>
      </c>
      <c r="K41" s="41"/>
      <c r="M41" s="35">
        <v>-2181</v>
      </c>
      <c r="N41" s="35">
        <v>-1954</v>
      </c>
      <c r="O41" s="35">
        <v>-3553</v>
      </c>
      <c r="P41" s="35">
        <v>-5068</v>
      </c>
      <c r="Q41" s="35">
        <v>-6947</v>
      </c>
      <c r="R41" s="35">
        <v>-8430</v>
      </c>
      <c r="S41" s="35">
        <v>-13398</v>
      </c>
      <c r="T41" s="35">
        <v>-20763</v>
      </c>
      <c r="U41" s="35">
        <v>-29220</v>
      </c>
      <c r="V41" s="35">
        <v>-80828</v>
      </c>
      <c r="W41" s="35">
        <v>-13147</v>
      </c>
      <c r="X41" s="35">
        <v>-109532</v>
      </c>
      <c r="Y41" s="35">
        <v>-8964.3970340467476</v>
      </c>
      <c r="Z41" s="35">
        <v>-132717.15177442326</v>
      </c>
      <c r="AA41" s="35">
        <v>-8889.8663762409869</v>
      </c>
      <c r="AB41" s="35">
        <v>-131543.70793548718</v>
      </c>
      <c r="AC41" s="35">
        <v>-7379.8891530034662</v>
      </c>
      <c r="AD41" s="35">
        <v>-115101.69130654534</v>
      </c>
      <c r="AE41" s="35">
        <v>-49385.970169787644</v>
      </c>
      <c r="AG41" s="95"/>
    </row>
    <row r="42" spans="2:33" s="39" customFormat="1" x14ac:dyDescent="0.25">
      <c r="B42" s="12" t="s">
        <v>56</v>
      </c>
      <c r="C42" s="12" t="s">
        <v>242</v>
      </c>
      <c r="E42" s="35">
        <v>0</v>
      </c>
      <c r="F42" s="35">
        <v>0</v>
      </c>
      <c r="G42" s="35">
        <v>-268</v>
      </c>
      <c r="H42" s="35">
        <v>-1601</v>
      </c>
      <c r="I42" s="35">
        <v>-5776</v>
      </c>
      <c r="J42" s="35">
        <v>-10339</v>
      </c>
      <c r="K42" s="41"/>
      <c r="M42" s="35">
        <v>-16</v>
      </c>
      <c r="N42" s="35">
        <v>-25</v>
      </c>
      <c r="O42" s="35">
        <v>-39</v>
      </c>
      <c r="P42" s="35">
        <v>-188</v>
      </c>
      <c r="Q42" s="35">
        <v>-241</v>
      </c>
      <c r="R42" s="35">
        <v>-294</v>
      </c>
      <c r="S42" s="35">
        <v>-416</v>
      </c>
      <c r="T42" s="35">
        <v>-650</v>
      </c>
      <c r="U42" s="35">
        <v>-822.43863203291937</v>
      </c>
      <c r="V42" s="35">
        <v>-856.56136796708063</v>
      </c>
      <c r="W42" s="35">
        <v>-1635</v>
      </c>
      <c r="X42" s="35">
        <v>-2462</v>
      </c>
      <c r="Y42" s="35">
        <v>-2452.62208931856</v>
      </c>
      <c r="Z42" s="35">
        <v>-2535.5818770075703</v>
      </c>
      <c r="AA42" s="35">
        <v>-4565.6655024049005</v>
      </c>
      <c r="AB42" s="35">
        <v>-785.13053126896921</v>
      </c>
      <c r="AC42" s="35">
        <v>-2685.5</v>
      </c>
      <c r="AD42" s="35">
        <v>-2907</v>
      </c>
      <c r="AE42" s="35">
        <v>-2824.1699834849205</v>
      </c>
      <c r="AG42" s="95"/>
    </row>
    <row r="43" spans="2:33" s="39" customFormat="1" x14ac:dyDescent="0.25">
      <c r="B43" s="12" t="s">
        <v>57</v>
      </c>
      <c r="C43" s="12" t="s">
        <v>243</v>
      </c>
      <c r="E43" s="35">
        <v>-13</v>
      </c>
      <c r="F43" s="35">
        <v>-15</v>
      </c>
      <c r="G43" s="35">
        <v>-22</v>
      </c>
      <c r="H43" s="35">
        <v>-22</v>
      </c>
      <c r="I43" s="35">
        <v>0</v>
      </c>
      <c r="J43" s="35">
        <v>0</v>
      </c>
      <c r="K43" s="41"/>
      <c r="M43" s="35">
        <v>-5</v>
      </c>
      <c r="N43" s="35">
        <v>0</v>
      </c>
      <c r="O43" s="35">
        <v>-4</v>
      </c>
      <c r="P43" s="35">
        <v>-13</v>
      </c>
      <c r="Q43" s="35">
        <v>-8</v>
      </c>
      <c r="R43" s="35">
        <v>-4</v>
      </c>
      <c r="S43" s="35">
        <v>-3</v>
      </c>
      <c r="T43" s="35">
        <v>-7</v>
      </c>
      <c r="U43" s="35">
        <v>-23</v>
      </c>
      <c r="V43" s="35">
        <v>-25</v>
      </c>
      <c r="W43" s="35">
        <v>48</v>
      </c>
      <c r="X43" s="35">
        <v>0</v>
      </c>
      <c r="Y43" s="35">
        <v>0</v>
      </c>
      <c r="Z43" s="35">
        <v>0</v>
      </c>
      <c r="AA43" s="35">
        <v>0</v>
      </c>
      <c r="AB43" s="35">
        <v>0</v>
      </c>
      <c r="AC43" s="35">
        <v>0</v>
      </c>
      <c r="AD43" s="35">
        <v>-26.03447006782233</v>
      </c>
      <c r="AE43" s="35">
        <v>-54.965529932177674</v>
      </c>
      <c r="AG43" s="95"/>
    </row>
    <row r="44" spans="2:33" s="39" customFormat="1" x14ac:dyDescent="0.25">
      <c r="B44" s="12" t="s">
        <v>355</v>
      </c>
      <c r="C44" s="12" t="s">
        <v>360</v>
      </c>
      <c r="E44" s="35"/>
      <c r="F44" s="35"/>
      <c r="G44" s="35"/>
      <c r="H44" s="35"/>
      <c r="I44" s="35"/>
      <c r="J44" s="35">
        <v>-14044.359925632571</v>
      </c>
      <c r="K44" s="41"/>
      <c r="M44" s="35">
        <v>0</v>
      </c>
      <c r="N44" s="35">
        <v>0</v>
      </c>
      <c r="O44" s="35">
        <v>0</v>
      </c>
      <c r="P44" s="35">
        <v>0</v>
      </c>
      <c r="Q44" s="35">
        <v>0</v>
      </c>
      <c r="R44" s="35">
        <v>0</v>
      </c>
      <c r="S44" s="35">
        <v>0</v>
      </c>
      <c r="T44" s="35">
        <v>0</v>
      </c>
      <c r="U44" s="35">
        <v>0</v>
      </c>
      <c r="V44" s="35">
        <v>0</v>
      </c>
      <c r="W44" s="35">
        <v>0</v>
      </c>
      <c r="X44" s="35">
        <v>0</v>
      </c>
      <c r="Y44" s="35">
        <v>-4568</v>
      </c>
      <c r="Z44" s="35">
        <v>-2751.9941101928998</v>
      </c>
      <c r="AA44" s="35">
        <v>-6548.1342381048999</v>
      </c>
      <c r="AB44" s="35">
        <v>-176.23157733477092</v>
      </c>
      <c r="AC44" s="35">
        <v>-21332</v>
      </c>
      <c r="AD44" s="35">
        <v>-15132.176932221031</v>
      </c>
      <c r="AE44" s="35">
        <v>-11050.112431479007</v>
      </c>
      <c r="AG44" s="95"/>
    </row>
    <row r="45" spans="2:33" s="39" customFormat="1" x14ac:dyDescent="0.25">
      <c r="B45" s="12" t="s">
        <v>58</v>
      </c>
      <c r="C45" s="12" t="s">
        <v>244</v>
      </c>
      <c r="E45" s="35">
        <v>-1795</v>
      </c>
      <c r="F45" s="35">
        <v>-2837</v>
      </c>
      <c r="G45" s="35">
        <v>-101279</v>
      </c>
      <c r="H45" s="35">
        <v>-645819</v>
      </c>
      <c r="I45" s="35">
        <v>-1017461</v>
      </c>
      <c r="J45" s="35">
        <v>-177238.5</v>
      </c>
      <c r="K45" s="41"/>
      <c r="M45" s="35">
        <v>-2500</v>
      </c>
      <c r="N45" s="35">
        <v>-11436</v>
      </c>
      <c r="O45" s="35">
        <v>-39254</v>
      </c>
      <c r="P45" s="35">
        <v>-48089</v>
      </c>
      <c r="Q45" s="35">
        <v>-106279</v>
      </c>
      <c r="R45" s="35">
        <v>-136982</v>
      </c>
      <c r="S45" s="35">
        <v>-239861</v>
      </c>
      <c r="T45" s="35">
        <v>-162697</v>
      </c>
      <c r="U45" s="35">
        <v>-215710.01175996353</v>
      </c>
      <c r="V45" s="35">
        <v>-228206.98824003647</v>
      </c>
      <c r="W45" s="35">
        <v>-421924.00000000006</v>
      </c>
      <c r="X45" s="35">
        <v>-151620</v>
      </c>
      <c r="Y45" s="35">
        <v>-46553.199135774019</v>
      </c>
      <c r="Z45" s="35">
        <v>-38531.354293035678</v>
      </c>
      <c r="AA45" s="35">
        <v>-62628.44035674099</v>
      </c>
      <c r="AB45" s="35">
        <v>-29526.05964325901</v>
      </c>
      <c r="AC45" s="35">
        <v>-51816</v>
      </c>
      <c r="AD45" s="35">
        <v>-93344.794854707143</v>
      </c>
      <c r="AE45" s="35">
        <v>-76860.865304717212</v>
      </c>
      <c r="AG45" s="95"/>
    </row>
    <row r="46" spans="2:33" s="39" customFormat="1" x14ac:dyDescent="0.25">
      <c r="B46" s="12" t="s">
        <v>93</v>
      </c>
      <c r="C46" s="12" t="s">
        <v>245</v>
      </c>
      <c r="E46" s="35">
        <v>1708</v>
      </c>
      <c r="F46" s="35">
        <v>1368</v>
      </c>
      <c r="G46" s="35">
        <v>130</v>
      </c>
      <c r="H46" s="35">
        <v>5012</v>
      </c>
      <c r="I46" s="35">
        <v>0</v>
      </c>
      <c r="J46" s="35">
        <v>0</v>
      </c>
      <c r="K46" s="41"/>
      <c r="M46" s="35">
        <v>0</v>
      </c>
      <c r="N46" s="35">
        <v>0</v>
      </c>
      <c r="O46" s="35">
        <v>377</v>
      </c>
      <c r="P46" s="35">
        <v>-247</v>
      </c>
      <c r="Q46" s="35">
        <v>1880</v>
      </c>
      <c r="R46" s="35">
        <v>750</v>
      </c>
      <c r="S46" s="35">
        <v>439</v>
      </c>
      <c r="T46" s="35">
        <v>1943</v>
      </c>
      <c r="U46" s="35">
        <v>9517</v>
      </c>
      <c r="V46" s="35">
        <v>12105</v>
      </c>
      <c r="W46" s="35">
        <v>0</v>
      </c>
      <c r="X46" s="35">
        <v>0</v>
      </c>
      <c r="Y46" s="35">
        <v>0</v>
      </c>
      <c r="Z46" s="35">
        <v>0</v>
      </c>
      <c r="AA46" s="35">
        <v>0</v>
      </c>
      <c r="AB46" s="35">
        <v>0</v>
      </c>
      <c r="AC46" s="35">
        <v>0</v>
      </c>
      <c r="AD46" s="35">
        <v>0</v>
      </c>
      <c r="AE46" s="35">
        <v>0</v>
      </c>
      <c r="AG46" s="95"/>
    </row>
    <row r="47" spans="2:33" s="39" customFormat="1" x14ac:dyDescent="0.25">
      <c r="B47" s="12" t="s">
        <v>60</v>
      </c>
      <c r="C47" s="12" t="s">
        <v>246</v>
      </c>
      <c r="E47" s="35">
        <v>0</v>
      </c>
      <c r="F47" s="35">
        <v>-106</v>
      </c>
      <c r="G47" s="35">
        <v>0</v>
      </c>
      <c r="H47" s="35">
        <v>-3500</v>
      </c>
      <c r="I47" s="35">
        <v>-6080</v>
      </c>
      <c r="J47" s="35">
        <v>0</v>
      </c>
      <c r="K47" s="41"/>
      <c r="M47" s="35">
        <v>0</v>
      </c>
      <c r="N47" s="35">
        <v>0</v>
      </c>
      <c r="O47" s="35">
        <v>0</v>
      </c>
      <c r="P47" s="35">
        <v>0</v>
      </c>
      <c r="Q47" s="35">
        <v>-134</v>
      </c>
      <c r="R47" s="35">
        <v>-481</v>
      </c>
      <c r="S47" s="35">
        <v>239</v>
      </c>
      <c r="T47" s="35">
        <v>-3124</v>
      </c>
      <c r="U47" s="35">
        <v>0</v>
      </c>
      <c r="V47" s="35">
        <v>-1800</v>
      </c>
      <c r="W47" s="35">
        <v>-1441</v>
      </c>
      <c r="X47" s="35">
        <v>-2839</v>
      </c>
      <c r="Y47" s="35">
        <v>0</v>
      </c>
      <c r="Z47" s="35">
        <v>0</v>
      </c>
      <c r="AA47" s="35">
        <v>0</v>
      </c>
      <c r="AB47" s="35">
        <v>0</v>
      </c>
      <c r="AC47" s="35">
        <v>0</v>
      </c>
      <c r="AD47" s="35">
        <v>0</v>
      </c>
      <c r="AE47" s="35">
        <v>0</v>
      </c>
      <c r="AG47" s="95"/>
    </row>
    <row r="48" spans="2:33" s="39" customFormat="1" ht="6" customHeight="1" x14ac:dyDescent="0.25">
      <c r="K48" s="41"/>
    </row>
    <row r="49" spans="2:31" s="39" customFormat="1" x14ac:dyDescent="0.25">
      <c r="B49" s="8" t="s">
        <v>61</v>
      </c>
      <c r="C49" s="8" t="s">
        <v>247</v>
      </c>
      <c r="D49" s="96"/>
      <c r="E49" s="27">
        <f t="shared" ref="E49:J49" si="0">E6+SUM(E9:E26)+SUM(E29:E39)+SUM(E41:E47)</f>
        <v>11594</v>
      </c>
      <c r="F49" s="27">
        <f t="shared" si="0"/>
        <v>23633</v>
      </c>
      <c r="G49" s="27">
        <f t="shared" si="0"/>
        <v>-74982</v>
      </c>
      <c r="H49" s="27">
        <f t="shared" si="0"/>
        <v>-592585.39179000002</v>
      </c>
      <c r="I49" s="27">
        <f t="shared" si="0"/>
        <v>-693606</v>
      </c>
      <c r="J49" s="27">
        <f t="shared" si="0"/>
        <v>125875.49404401478</v>
      </c>
      <c r="K49" s="41"/>
      <c r="M49" s="27">
        <f>M6+SUM(M9:M26)+SUM(M29:M39)+SUM(M41:M47)</f>
        <v>-821</v>
      </c>
      <c r="N49" s="27">
        <f t="shared" ref="N49:AE49" si="1">N6+SUM(N9:N26)+SUM(N29:N39)+SUM(N41:N47)</f>
        <v>-929</v>
      </c>
      <c r="O49" s="27">
        <f t="shared" si="1"/>
        <v>-30662.907790000001</v>
      </c>
      <c r="P49" s="27">
        <f t="shared" si="1"/>
        <v>-42569.092210000003</v>
      </c>
      <c r="Q49" s="27">
        <f t="shared" si="1"/>
        <v>-106218</v>
      </c>
      <c r="R49" s="27">
        <f t="shared" si="1"/>
        <v>-123341</v>
      </c>
      <c r="S49" s="27">
        <f t="shared" si="1"/>
        <v>-212392</v>
      </c>
      <c r="T49" s="27">
        <f t="shared" si="1"/>
        <v>-150634.39178999999</v>
      </c>
      <c r="U49" s="27">
        <f t="shared" si="1"/>
        <v>-113358.88311267571</v>
      </c>
      <c r="V49" s="27">
        <f t="shared" si="1"/>
        <v>-222585.11688732432</v>
      </c>
      <c r="W49" s="27">
        <f t="shared" si="1"/>
        <v>-188808.00000000006</v>
      </c>
      <c r="X49" s="27">
        <f t="shared" si="1"/>
        <v>-168854</v>
      </c>
      <c r="Y49" s="27">
        <f t="shared" si="1"/>
        <v>76133.669290179241</v>
      </c>
      <c r="Z49" s="27">
        <f t="shared" si="1"/>
        <v>-43637.056147649739</v>
      </c>
      <c r="AA49" s="27">
        <f t="shared" si="1"/>
        <v>119699.35618494202</v>
      </c>
      <c r="AB49" s="27">
        <f t="shared" si="1"/>
        <v>-26321.028712266299</v>
      </c>
      <c r="AC49" s="27">
        <f t="shared" si="1"/>
        <v>68400.479916168522</v>
      </c>
      <c r="AD49" s="27">
        <f t="shared" si="1"/>
        <v>-98873.554501288454</v>
      </c>
      <c r="AE49" s="27">
        <f t="shared" si="1"/>
        <v>106496.09105418669</v>
      </c>
    </row>
    <row r="50" spans="2:31" x14ac:dyDescent="0.25">
      <c r="K50" s="4"/>
    </row>
    <row r="51" spans="2:31" x14ac:dyDescent="0.25">
      <c r="B51" s="57" t="s">
        <v>62</v>
      </c>
      <c r="C51" s="57" t="s">
        <v>248</v>
      </c>
      <c r="K51" s="4"/>
    </row>
    <row r="52" spans="2:31" s="39" customFormat="1" x14ac:dyDescent="0.25">
      <c r="B52" s="12" t="s">
        <v>165</v>
      </c>
      <c r="C52" s="12" t="s">
        <v>249</v>
      </c>
      <c r="E52" s="35">
        <v>0</v>
      </c>
      <c r="F52" s="35">
        <v>0</v>
      </c>
      <c r="G52" s="35">
        <v>0</v>
      </c>
      <c r="H52" s="35">
        <v>0</v>
      </c>
      <c r="I52" s="35">
        <v>0</v>
      </c>
      <c r="J52" s="35">
        <v>-443117</v>
      </c>
      <c r="K52" s="41"/>
      <c r="S52" s="35">
        <v>0</v>
      </c>
      <c r="T52" s="35">
        <v>0</v>
      </c>
      <c r="U52" s="35">
        <v>0</v>
      </c>
      <c r="V52" s="35">
        <v>0</v>
      </c>
      <c r="W52" s="35">
        <v>0</v>
      </c>
      <c r="X52" s="35">
        <v>0</v>
      </c>
      <c r="Y52" s="35">
        <v>0</v>
      </c>
      <c r="Z52" s="35">
        <v>0</v>
      </c>
      <c r="AA52" s="35">
        <v>-407606</v>
      </c>
      <c r="AB52" s="35">
        <v>-35511</v>
      </c>
      <c r="AC52" s="35">
        <v>-590255.81510974059</v>
      </c>
      <c r="AD52" s="35">
        <v>186774.86360303243</v>
      </c>
      <c r="AE52" s="35">
        <v>194005.10438749357</v>
      </c>
    </row>
    <row r="53" spans="2:31" s="39" customFormat="1" x14ac:dyDescent="0.25">
      <c r="B53" s="12" t="s">
        <v>63</v>
      </c>
      <c r="C53" s="12" t="s">
        <v>250</v>
      </c>
      <c r="E53" s="35">
        <v>-110</v>
      </c>
      <c r="F53" s="35">
        <v>0</v>
      </c>
      <c r="G53" s="35">
        <v>-410</v>
      </c>
      <c r="H53" s="35">
        <v>-1138</v>
      </c>
      <c r="I53" s="35">
        <v>-4912</v>
      </c>
      <c r="J53" s="35">
        <v>-8945</v>
      </c>
      <c r="K53" s="41"/>
      <c r="M53" s="35">
        <v>-11</v>
      </c>
      <c r="N53" s="35">
        <v>0</v>
      </c>
      <c r="O53" s="35">
        <v>-169</v>
      </c>
      <c r="P53" s="35">
        <v>-230</v>
      </c>
      <c r="Q53" s="35">
        <v>-73</v>
      </c>
      <c r="R53" s="35">
        <v>-98</v>
      </c>
      <c r="S53" s="35">
        <v>-332</v>
      </c>
      <c r="T53" s="35">
        <v>-635</v>
      </c>
      <c r="U53" s="35">
        <v>-599</v>
      </c>
      <c r="V53" s="35">
        <v>-436</v>
      </c>
      <c r="W53" s="35">
        <v>-784</v>
      </c>
      <c r="X53" s="35">
        <v>-3093</v>
      </c>
      <c r="Y53" s="35">
        <v>-4615</v>
      </c>
      <c r="Z53" s="35">
        <v>-5066</v>
      </c>
      <c r="AA53" s="35">
        <v>-3627.3999999999996</v>
      </c>
      <c r="AB53" s="35">
        <v>4363.3999999999996</v>
      </c>
      <c r="AC53" s="35">
        <v>0</v>
      </c>
      <c r="AD53" s="35">
        <v>0</v>
      </c>
      <c r="AE53" s="35">
        <v>-868.97500000000582</v>
      </c>
    </row>
    <row r="54" spans="2:31" s="39" customFormat="1" ht="12.75" customHeight="1" x14ac:dyDescent="0.25">
      <c r="B54" s="12" t="s">
        <v>101</v>
      </c>
      <c r="C54" s="12" t="s">
        <v>251</v>
      </c>
      <c r="E54" s="35">
        <v>0</v>
      </c>
      <c r="F54" s="35">
        <v>0</v>
      </c>
      <c r="G54" s="35">
        <v>0</v>
      </c>
      <c r="H54" s="35">
        <v>-135344.23264</v>
      </c>
      <c r="I54" s="35">
        <v>-84473</v>
      </c>
      <c r="J54" s="35">
        <v>0</v>
      </c>
      <c r="K54" s="41"/>
      <c r="M54" s="35">
        <v>0</v>
      </c>
      <c r="N54" s="35">
        <v>0</v>
      </c>
      <c r="O54" s="35">
        <v>0</v>
      </c>
      <c r="P54" s="35">
        <v>0</v>
      </c>
      <c r="Q54" s="35">
        <v>0</v>
      </c>
      <c r="R54" s="35">
        <v>0</v>
      </c>
      <c r="S54" s="35">
        <v>-21667</v>
      </c>
      <c r="T54" s="35">
        <v>-113677.23264</v>
      </c>
      <c r="U54" s="35">
        <v>-84398</v>
      </c>
      <c r="V54" s="35">
        <v>0</v>
      </c>
      <c r="W54" s="35">
        <v>5315</v>
      </c>
      <c r="X54" s="35">
        <v>-5390</v>
      </c>
      <c r="Y54" s="35">
        <v>0</v>
      </c>
      <c r="Z54" s="35">
        <v>0</v>
      </c>
      <c r="AA54" s="35">
        <v>0</v>
      </c>
      <c r="AB54" s="35">
        <v>0</v>
      </c>
      <c r="AC54" s="35">
        <v>0</v>
      </c>
      <c r="AD54" s="35">
        <v>0</v>
      </c>
      <c r="AE54" s="35">
        <v>-33624.085999999916</v>
      </c>
    </row>
    <row r="55" spans="2:31" s="39" customFormat="1" ht="12.75" customHeight="1" x14ac:dyDescent="0.25">
      <c r="B55" s="12" t="s">
        <v>153</v>
      </c>
      <c r="C55" s="12" t="s">
        <v>252</v>
      </c>
      <c r="E55" s="35">
        <v>0</v>
      </c>
      <c r="F55" s="35">
        <v>0</v>
      </c>
      <c r="G55" s="35">
        <v>0</v>
      </c>
      <c r="H55" s="35">
        <v>20023</v>
      </c>
      <c r="I55" s="35">
        <v>0</v>
      </c>
      <c r="J55" s="35">
        <v>0</v>
      </c>
      <c r="K55" s="41"/>
      <c r="M55" s="35">
        <v>0</v>
      </c>
      <c r="N55" s="35">
        <v>0</v>
      </c>
      <c r="O55" s="35">
        <v>0</v>
      </c>
      <c r="P55" s="35">
        <v>0</v>
      </c>
      <c r="Q55" s="35">
        <v>0</v>
      </c>
      <c r="R55" s="35">
        <v>0</v>
      </c>
      <c r="S55" s="35">
        <v>0</v>
      </c>
      <c r="T55" s="35">
        <v>20023</v>
      </c>
      <c r="U55" s="35">
        <v>0</v>
      </c>
      <c r="V55" s="35">
        <v>0</v>
      </c>
      <c r="W55" s="35">
        <v>0</v>
      </c>
      <c r="X55" s="35">
        <v>0</v>
      </c>
      <c r="Y55" s="35">
        <v>0</v>
      </c>
      <c r="Z55" s="35">
        <v>0</v>
      </c>
      <c r="AA55" s="35">
        <v>0</v>
      </c>
      <c r="AB55" s="35">
        <v>0</v>
      </c>
      <c r="AC55" s="35">
        <v>0</v>
      </c>
      <c r="AD55" s="35">
        <v>0</v>
      </c>
      <c r="AE55" s="35">
        <v>10282.5</v>
      </c>
    </row>
    <row r="56" spans="2:31" s="39" customFormat="1" ht="12.75" customHeight="1" x14ac:dyDescent="0.25">
      <c r="B56" s="12" t="s">
        <v>147</v>
      </c>
      <c r="C56" s="12" t="s">
        <v>376</v>
      </c>
      <c r="E56" s="35">
        <v>0</v>
      </c>
      <c r="F56" s="35">
        <v>0</v>
      </c>
      <c r="G56" s="35">
        <v>0</v>
      </c>
      <c r="H56" s="35">
        <v>0</v>
      </c>
      <c r="I56" s="35">
        <v>0</v>
      </c>
      <c r="J56" s="35">
        <v>-1867.9250000000002</v>
      </c>
      <c r="K56" s="41"/>
      <c r="M56" s="35"/>
      <c r="N56" s="35"/>
      <c r="O56" s="35"/>
      <c r="P56" s="35"/>
      <c r="Q56" s="35"/>
      <c r="R56" s="35"/>
      <c r="S56" s="35"/>
      <c r="T56" s="35"/>
      <c r="U56" s="35">
        <v>0</v>
      </c>
      <c r="V56" s="35">
        <v>0</v>
      </c>
      <c r="W56" s="35">
        <v>0</v>
      </c>
      <c r="X56" s="35">
        <v>0</v>
      </c>
      <c r="Y56" s="35">
        <v>0</v>
      </c>
      <c r="Z56" s="35">
        <v>0</v>
      </c>
      <c r="AA56" s="35">
        <v>-1868</v>
      </c>
      <c r="AB56" s="35">
        <v>0</v>
      </c>
      <c r="AC56" s="35">
        <v>0</v>
      </c>
      <c r="AD56" s="35">
        <v>0</v>
      </c>
      <c r="AE56" s="35">
        <v>0</v>
      </c>
    </row>
    <row r="57" spans="2:31" s="39" customFormat="1" ht="6" customHeight="1" x14ac:dyDescent="0.25">
      <c r="K57" s="41"/>
    </row>
    <row r="58" spans="2:31" s="39" customFormat="1" x14ac:dyDescent="0.25">
      <c r="B58" s="8" t="s">
        <v>64</v>
      </c>
      <c r="C58" s="8" t="s">
        <v>253</v>
      </c>
      <c r="D58" s="96"/>
      <c r="E58" s="27">
        <f>E53+E54+E55+E52</f>
        <v>-110</v>
      </c>
      <c r="F58" s="27">
        <f>F53+F54+F55+F52</f>
        <v>0</v>
      </c>
      <c r="G58" s="27">
        <f>G53+G54+G55+G52</f>
        <v>-410</v>
      </c>
      <c r="H58" s="27">
        <f>H53+H54+H55+H52</f>
        <v>-116459.23264</v>
      </c>
      <c r="I58" s="27">
        <f>I53+I54+I55+I52</f>
        <v>-89385</v>
      </c>
      <c r="J58" s="27">
        <f>J53+J54+J55+J52+J56</f>
        <v>-453929.92499999999</v>
      </c>
      <c r="K58" s="41"/>
      <c r="M58" s="27">
        <f t="shared" ref="M58:T58" si="2">M53+M54+M55+M52</f>
        <v>-11</v>
      </c>
      <c r="N58" s="27">
        <f t="shared" si="2"/>
        <v>0</v>
      </c>
      <c r="O58" s="27">
        <f t="shared" si="2"/>
        <v>-169</v>
      </c>
      <c r="P58" s="27">
        <f t="shared" si="2"/>
        <v>-230</v>
      </c>
      <c r="Q58" s="27">
        <f t="shared" si="2"/>
        <v>-73</v>
      </c>
      <c r="R58" s="27">
        <f t="shared" si="2"/>
        <v>-98</v>
      </c>
      <c r="S58" s="27">
        <f t="shared" si="2"/>
        <v>-21999</v>
      </c>
      <c r="T58" s="27">
        <f t="shared" si="2"/>
        <v>-94289.232640000002</v>
      </c>
      <c r="U58" s="27">
        <f t="shared" ref="U58:AE58" si="3">U53+U54+U55+U52+U56</f>
        <v>-84997</v>
      </c>
      <c r="V58" s="27">
        <f t="shared" si="3"/>
        <v>-436</v>
      </c>
      <c r="W58" s="27">
        <f t="shared" si="3"/>
        <v>4531</v>
      </c>
      <c r="X58" s="27">
        <f t="shared" si="3"/>
        <v>-8483</v>
      </c>
      <c r="Y58" s="27">
        <f t="shared" si="3"/>
        <v>-4615</v>
      </c>
      <c r="Z58" s="27">
        <f t="shared" si="3"/>
        <v>-5066</v>
      </c>
      <c r="AA58" s="27">
        <f t="shared" si="3"/>
        <v>-413101.4</v>
      </c>
      <c r="AB58" s="27">
        <f t="shared" si="3"/>
        <v>-31147.599999999999</v>
      </c>
      <c r="AC58" s="27">
        <f t="shared" si="3"/>
        <v>-590255.81510974059</v>
      </c>
      <c r="AD58" s="27">
        <f t="shared" si="3"/>
        <v>186774.86360303243</v>
      </c>
      <c r="AE58" s="27">
        <f t="shared" si="3"/>
        <v>169794.54338749364</v>
      </c>
    </row>
    <row r="59" spans="2:31" x14ac:dyDescent="0.25">
      <c r="K59" s="4"/>
      <c r="T59" s="100"/>
    </row>
    <row r="60" spans="2:31" x14ac:dyDescent="0.25">
      <c r="B60" s="57" t="s">
        <v>65</v>
      </c>
      <c r="C60" s="57" t="s">
        <v>254</v>
      </c>
      <c r="K60" s="4"/>
    </row>
    <row r="61" spans="2:31" s="39" customFormat="1" x14ac:dyDescent="0.25">
      <c r="B61" s="12" t="s">
        <v>66</v>
      </c>
      <c r="C61" s="12" t="s">
        <v>201</v>
      </c>
      <c r="E61" s="35">
        <v>0</v>
      </c>
      <c r="F61" s="35">
        <v>2241</v>
      </c>
      <c r="G61" s="35">
        <v>136285</v>
      </c>
      <c r="H61" s="35">
        <v>1639961</v>
      </c>
      <c r="I61" s="35">
        <v>778554</v>
      </c>
      <c r="J61" s="35"/>
      <c r="K61" s="41"/>
      <c r="M61" s="35">
        <v>5687</v>
      </c>
      <c r="N61" s="35">
        <v>10241</v>
      </c>
      <c r="O61" s="35">
        <v>58537</v>
      </c>
      <c r="P61" s="35">
        <v>61820</v>
      </c>
      <c r="Q61" s="35">
        <v>118715</v>
      </c>
      <c r="R61" s="35">
        <v>202035</v>
      </c>
      <c r="S61" s="35">
        <v>118735</v>
      </c>
      <c r="T61" s="35">
        <v>1200476</v>
      </c>
      <c r="U61" s="35">
        <v>0</v>
      </c>
      <c r="V61" s="35">
        <v>0</v>
      </c>
      <c r="W61" s="35">
        <v>483088</v>
      </c>
      <c r="X61" s="35">
        <v>295466</v>
      </c>
      <c r="Y61" s="35">
        <v>0</v>
      </c>
      <c r="Z61" s="35">
        <v>0</v>
      </c>
      <c r="AA61" s="35">
        <v>0</v>
      </c>
      <c r="AB61" s="35">
        <v>0</v>
      </c>
      <c r="AC61" s="35">
        <v>694350</v>
      </c>
      <c r="AD61" s="35">
        <v>0</v>
      </c>
      <c r="AE61" s="35">
        <v>-4567.5714761735871</v>
      </c>
    </row>
    <row r="62" spans="2:31" s="39" customFormat="1" x14ac:dyDescent="0.25">
      <c r="B62" s="12" t="s">
        <v>67</v>
      </c>
      <c r="C62" s="12" t="s">
        <v>255</v>
      </c>
      <c r="E62" s="35">
        <v>100</v>
      </c>
      <c r="F62" s="35">
        <v>0</v>
      </c>
      <c r="G62" s="35">
        <v>317</v>
      </c>
      <c r="H62" s="35">
        <v>1246</v>
      </c>
      <c r="I62" s="35">
        <v>0</v>
      </c>
      <c r="J62" s="35"/>
      <c r="K62" s="41"/>
      <c r="M62" s="35">
        <v>34</v>
      </c>
      <c r="N62" s="35">
        <v>266</v>
      </c>
      <c r="O62" s="35">
        <v>0</v>
      </c>
      <c r="P62" s="35">
        <v>17</v>
      </c>
      <c r="Q62" s="35">
        <v>0</v>
      </c>
      <c r="R62" s="35">
        <v>0</v>
      </c>
      <c r="S62" s="35">
        <v>0</v>
      </c>
      <c r="T62" s="35">
        <v>1246</v>
      </c>
      <c r="U62" s="35">
        <v>0</v>
      </c>
      <c r="V62" s="35">
        <v>0</v>
      </c>
      <c r="W62" s="35">
        <v>0</v>
      </c>
      <c r="X62" s="35">
        <v>1257</v>
      </c>
      <c r="Y62" s="35">
        <v>0</v>
      </c>
      <c r="Z62" s="35">
        <v>0</v>
      </c>
      <c r="AA62" s="35">
        <v>0</v>
      </c>
      <c r="AB62" s="35">
        <v>0</v>
      </c>
      <c r="AC62" s="35"/>
      <c r="AD62" s="35">
        <v>0</v>
      </c>
      <c r="AE62" s="35">
        <v>0</v>
      </c>
    </row>
    <row r="63" spans="2:31" s="39" customFormat="1" x14ac:dyDescent="0.25">
      <c r="B63" s="12" t="s">
        <v>68</v>
      </c>
      <c r="C63" s="12" t="s">
        <v>256</v>
      </c>
      <c r="E63" s="35">
        <v>0</v>
      </c>
      <c r="F63" s="35">
        <v>0</v>
      </c>
      <c r="G63" s="35">
        <v>75975</v>
      </c>
      <c r="H63" s="35">
        <v>991643</v>
      </c>
      <c r="I63" s="35">
        <v>0</v>
      </c>
      <c r="J63" s="35"/>
      <c r="K63" s="41"/>
      <c r="M63" s="35">
        <v>475</v>
      </c>
      <c r="N63" s="35">
        <v>20000</v>
      </c>
      <c r="O63" s="35">
        <v>27000</v>
      </c>
      <c r="P63" s="35">
        <v>28500</v>
      </c>
      <c r="Q63" s="35">
        <v>50404</v>
      </c>
      <c r="R63" s="35">
        <v>0</v>
      </c>
      <c r="S63" s="35">
        <v>950119.2876618756</v>
      </c>
      <c r="T63" s="35">
        <v>-8880.2876618755981</v>
      </c>
      <c r="U63" s="35">
        <v>0</v>
      </c>
      <c r="V63" s="35">
        <v>0</v>
      </c>
      <c r="W63" s="35">
        <v>0</v>
      </c>
      <c r="X63" s="35">
        <v>0</v>
      </c>
      <c r="Y63" s="35">
        <v>0</v>
      </c>
      <c r="Z63" s="35">
        <v>0</v>
      </c>
      <c r="AA63" s="35">
        <v>0</v>
      </c>
      <c r="AB63" s="35">
        <v>0</v>
      </c>
      <c r="AC63" s="35"/>
      <c r="AD63" s="35">
        <v>0</v>
      </c>
      <c r="AE63" s="35">
        <v>0</v>
      </c>
    </row>
    <row r="64" spans="2:31" s="39" customFormat="1" x14ac:dyDescent="0.25">
      <c r="B64" s="12" t="s">
        <v>384</v>
      </c>
      <c r="C64" s="12" t="s">
        <v>385</v>
      </c>
      <c r="E64" s="35">
        <v>-819</v>
      </c>
      <c r="F64" s="35">
        <v>-2187</v>
      </c>
      <c r="G64" s="35">
        <v>-21389</v>
      </c>
      <c r="H64" s="35">
        <v>-49185</v>
      </c>
      <c r="I64" s="35">
        <v>-99483</v>
      </c>
      <c r="J64" s="35">
        <v>-100000.10076</v>
      </c>
      <c r="K64" s="41"/>
      <c r="M64" s="35">
        <v>-959</v>
      </c>
      <c r="N64" s="35">
        <v>-10430</v>
      </c>
      <c r="O64" s="35">
        <v>-10000</v>
      </c>
      <c r="P64" s="35">
        <v>0</v>
      </c>
      <c r="Q64" s="35">
        <v>-5500</v>
      </c>
      <c r="R64" s="35">
        <v>0</v>
      </c>
      <c r="S64" s="35">
        <v>-20428</v>
      </c>
      <c r="T64" s="35">
        <v>-23257</v>
      </c>
      <c r="U64" s="35">
        <v>0</v>
      </c>
      <c r="V64" s="35">
        <v>-40178</v>
      </c>
      <c r="W64" s="35">
        <v>-25305</v>
      </c>
      <c r="X64" s="35">
        <v>-34000</v>
      </c>
      <c r="Y64" s="35">
        <v>-41000</v>
      </c>
      <c r="Z64" s="35">
        <v>0</v>
      </c>
      <c r="AA64" s="35">
        <v>2704</v>
      </c>
      <c r="AB64" s="35">
        <v>-61704.100760000001</v>
      </c>
      <c r="AC64" s="35">
        <v>-12615</v>
      </c>
      <c r="AD64" s="35">
        <v>-34185</v>
      </c>
      <c r="AE64" s="35">
        <v>-60000.489999999991</v>
      </c>
    </row>
    <row r="65" spans="2:31" s="39" customFormat="1" x14ac:dyDescent="0.25">
      <c r="B65" s="12" t="s">
        <v>69</v>
      </c>
      <c r="C65" s="12" t="s">
        <v>257</v>
      </c>
      <c r="E65" s="35">
        <v>-10545</v>
      </c>
      <c r="F65" s="35">
        <v>-19302</v>
      </c>
      <c r="G65" s="35">
        <v>-31904</v>
      </c>
      <c r="H65" s="35">
        <v>-288519</v>
      </c>
      <c r="I65" s="35">
        <v>-611810</v>
      </c>
      <c r="J65" s="35">
        <v>-36450.064779801665</v>
      </c>
      <c r="K65" s="41"/>
      <c r="M65" s="35">
        <v>-6700</v>
      </c>
      <c r="N65" s="35">
        <v>-5588</v>
      </c>
      <c r="O65" s="35">
        <v>-8174</v>
      </c>
      <c r="P65" s="35">
        <v>-11442</v>
      </c>
      <c r="Q65" s="35">
        <v>-31710</v>
      </c>
      <c r="R65" s="35">
        <v>-52049</v>
      </c>
      <c r="S65" s="35">
        <v>-48044</v>
      </c>
      <c r="T65" s="35">
        <v>-156716</v>
      </c>
      <c r="U65" s="35">
        <v>-114148</v>
      </c>
      <c r="V65" s="35">
        <v>-200651</v>
      </c>
      <c r="W65" s="35">
        <v>-291618</v>
      </c>
      <c r="X65" s="35">
        <v>-5393</v>
      </c>
      <c r="Y65" s="35">
        <v>-9643.8684259530146</v>
      </c>
      <c r="Z65" s="35">
        <v>-14934.726632553384</v>
      </c>
      <c r="AA65" s="35">
        <v>-6196.1566532419019</v>
      </c>
      <c r="AB65" s="35">
        <v>-5675.3130680533668</v>
      </c>
      <c r="AC65" s="35">
        <v>-9307.4795364275888</v>
      </c>
      <c r="AD65" s="35">
        <v>-5715.636803548874</v>
      </c>
      <c r="AE65" s="35">
        <v>-449.69296394462617</v>
      </c>
    </row>
    <row r="66" spans="2:31" s="39" customFormat="1" x14ac:dyDescent="0.25">
      <c r="B66" s="12" t="s">
        <v>70</v>
      </c>
      <c r="C66" s="12" t="s">
        <v>258</v>
      </c>
      <c r="E66" s="35">
        <v>0</v>
      </c>
      <c r="F66" s="35">
        <v>0</v>
      </c>
      <c r="G66" s="35">
        <v>-693</v>
      </c>
      <c r="H66" s="35">
        <v>-2624</v>
      </c>
      <c r="I66" s="35">
        <v>-5914</v>
      </c>
      <c r="J66" s="35">
        <v>-6560</v>
      </c>
      <c r="K66" s="41"/>
      <c r="M66" s="35">
        <v>-78</v>
      </c>
      <c r="N66" s="35">
        <v>-99</v>
      </c>
      <c r="O66" s="35">
        <v>-185</v>
      </c>
      <c r="P66" s="35">
        <v>-331</v>
      </c>
      <c r="Q66" s="35">
        <v>-429</v>
      </c>
      <c r="R66" s="35">
        <v>-561</v>
      </c>
      <c r="S66" s="35">
        <v>-563</v>
      </c>
      <c r="T66" s="35">
        <v>-1071</v>
      </c>
      <c r="U66" s="35">
        <v>-1415.550809138867</v>
      </c>
      <c r="V66" s="35">
        <v>-1851.449190861133</v>
      </c>
      <c r="W66" s="35">
        <v>-1658</v>
      </c>
      <c r="X66" s="35">
        <v>-989</v>
      </c>
      <c r="Y66" s="35">
        <v>-1489.6746042259847</v>
      </c>
      <c r="Z66" s="35">
        <v>-1356.9429581409954</v>
      </c>
      <c r="AA66" s="35">
        <v>-1634.7573548764399</v>
      </c>
      <c r="AB66" s="35">
        <v>-2078.62508275658</v>
      </c>
      <c r="AC66" s="35">
        <v>-1917</v>
      </c>
      <c r="AD66" s="35">
        <v>-2097.9108114481078</v>
      </c>
      <c r="AE66" s="35">
        <v>-2357.6251810928261</v>
      </c>
    </row>
    <row r="67" spans="2:31" s="39" customFormat="1" x14ac:dyDescent="0.25">
      <c r="B67" s="12" t="s">
        <v>356</v>
      </c>
      <c r="C67" s="12" t="s">
        <v>359</v>
      </c>
      <c r="E67" s="35"/>
      <c r="F67" s="35"/>
      <c r="G67" s="35"/>
      <c r="H67" s="35"/>
      <c r="I67" s="35"/>
      <c r="J67" s="35">
        <v>-216184.98504433245</v>
      </c>
      <c r="K67" s="41"/>
      <c r="M67" s="35">
        <v>0</v>
      </c>
      <c r="N67" s="35">
        <v>0</v>
      </c>
      <c r="O67" s="35">
        <v>0</v>
      </c>
      <c r="P67" s="35">
        <v>0</v>
      </c>
      <c r="Q67" s="35">
        <v>0</v>
      </c>
      <c r="R67" s="35">
        <v>0</v>
      </c>
      <c r="S67" s="35">
        <v>0</v>
      </c>
      <c r="T67" s="35">
        <v>0</v>
      </c>
      <c r="U67" s="35">
        <v>0</v>
      </c>
      <c r="V67" s="35">
        <v>0</v>
      </c>
      <c r="W67" s="35">
        <v>0</v>
      </c>
      <c r="X67" s="35">
        <v>0</v>
      </c>
      <c r="Y67" s="35">
        <v>-88335.87</v>
      </c>
      <c r="Z67" s="35">
        <v>-41382.130000000005</v>
      </c>
      <c r="AA67" s="35">
        <v>-84998.606481666997</v>
      </c>
      <c r="AB67" s="35">
        <v>-1468.3785626654571</v>
      </c>
      <c r="AC67" s="35">
        <v>-138431</v>
      </c>
      <c r="AD67" s="35">
        <v>-66752.679858750955</v>
      </c>
      <c r="AE67" s="35">
        <v>-66156.329238520993</v>
      </c>
    </row>
    <row r="68" spans="2:31" s="39" customFormat="1" x14ac:dyDescent="0.25">
      <c r="B68" s="12" t="s">
        <v>189</v>
      </c>
      <c r="C68" s="12" t="s">
        <v>335</v>
      </c>
      <c r="E68" s="35">
        <v>0</v>
      </c>
      <c r="F68" s="35">
        <v>0</v>
      </c>
      <c r="G68" s="35">
        <v>0</v>
      </c>
      <c r="H68" s="35">
        <v>0</v>
      </c>
      <c r="I68" s="35">
        <v>-8119</v>
      </c>
      <c r="J68" s="35">
        <v>3297.1007600000003</v>
      </c>
      <c r="K68" s="41"/>
      <c r="M68" s="35">
        <v>0</v>
      </c>
      <c r="N68" s="35">
        <v>0</v>
      </c>
      <c r="O68" s="35">
        <v>0</v>
      </c>
      <c r="P68" s="35">
        <v>0</v>
      </c>
      <c r="Q68" s="35">
        <v>0</v>
      </c>
      <c r="R68" s="35">
        <v>0</v>
      </c>
      <c r="S68" s="35">
        <v>0</v>
      </c>
      <c r="T68" s="35">
        <v>0</v>
      </c>
      <c r="U68" s="35">
        <v>0</v>
      </c>
      <c r="V68" s="35">
        <v>-3371</v>
      </c>
      <c r="W68" s="35">
        <v>-4748</v>
      </c>
      <c r="X68" s="35">
        <v>0</v>
      </c>
      <c r="Y68" s="35">
        <v>0</v>
      </c>
      <c r="Z68" s="35">
        <v>0</v>
      </c>
      <c r="AA68" s="35">
        <v>0</v>
      </c>
      <c r="AB68" s="35">
        <v>3297.1007600000003</v>
      </c>
      <c r="AC68" s="35">
        <v>0</v>
      </c>
      <c r="AD68" s="35">
        <v>0</v>
      </c>
      <c r="AE68" s="35">
        <v>0</v>
      </c>
    </row>
    <row r="69" spans="2:31" s="39" customFormat="1" x14ac:dyDescent="0.25">
      <c r="B69" s="12" t="s">
        <v>71</v>
      </c>
      <c r="C69" s="12" t="s">
        <v>259</v>
      </c>
      <c r="E69" s="35">
        <v>-50</v>
      </c>
      <c r="F69" s="35">
        <v>-52</v>
      </c>
      <c r="G69" s="35">
        <v>-57</v>
      </c>
      <c r="H69" s="35">
        <v>-123</v>
      </c>
      <c r="I69" s="35">
        <v>0</v>
      </c>
      <c r="J69" s="35">
        <v>0</v>
      </c>
      <c r="K69" s="41"/>
      <c r="M69" s="35">
        <v>-15</v>
      </c>
      <c r="N69" s="35">
        <v>0</v>
      </c>
      <c r="O69" s="35">
        <v>-14</v>
      </c>
      <c r="P69" s="35">
        <v>-28</v>
      </c>
      <c r="Q69" s="35">
        <v>-24</v>
      </c>
      <c r="R69" s="35">
        <v>-24</v>
      </c>
      <c r="S69" s="35">
        <v>-31</v>
      </c>
      <c r="T69" s="35">
        <v>-44</v>
      </c>
      <c r="U69" s="35">
        <v>-1223</v>
      </c>
      <c r="V69" s="35">
        <v>52</v>
      </c>
      <c r="W69" s="35">
        <v>-86</v>
      </c>
      <c r="X69" s="35">
        <v>0</v>
      </c>
      <c r="Y69" s="35">
        <v>-18</v>
      </c>
      <c r="Z69" s="35">
        <v>-34</v>
      </c>
      <c r="AA69" s="35">
        <v>-13</v>
      </c>
      <c r="AB69" s="35">
        <v>65</v>
      </c>
      <c r="AC69" s="35">
        <v>0</v>
      </c>
      <c r="AD69" s="35">
        <v>-783.98269205617862</v>
      </c>
      <c r="AE69" s="35">
        <v>-554.01730794382138</v>
      </c>
    </row>
    <row r="70" spans="2:31" s="39" customFormat="1" x14ac:dyDescent="0.25">
      <c r="B70" s="12" t="s">
        <v>72</v>
      </c>
      <c r="C70" s="12" t="s">
        <v>260</v>
      </c>
      <c r="E70" s="35">
        <v>0</v>
      </c>
      <c r="F70" s="35">
        <v>0</v>
      </c>
      <c r="G70" s="35">
        <v>-5168</v>
      </c>
      <c r="H70" s="35">
        <v>0</v>
      </c>
      <c r="I70" s="35">
        <v>0</v>
      </c>
      <c r="J70" s="35">
        <v>0</v>
      </c>
      <c r="K70" s="41"/>
      <c r="M70" s="35">
        <v>0</v>
      </c>
      <c r="N70" s="35">
        <v>-4494</v>
      </c>
      <c r="O70" s="35">
        <v>-666</v>
      </c>
      <c r="P70" s="35">
        <v>-8</v>
      </c>
      <c r="Q70" s="35">
        <v>-969</v>
      </c>
      <c r="R70" s="35">
        <v>0</v>
      </c>
      <c r="S70" s="35">
        <v>-7911</v>
      </c>
      <c r="T70" s="35">
        <v>8880</v>
      </c>
      <c r="U70" s="35">
        <v>0</v>
      </c>
      <c r="V70" s="35">
        <v>0</v>
      </c>
      <c r="W70" s="35">
        <v>0</v>
      </c>
      <c r="X70" s="35">
        <v>0</v>
      </c>
      <c r="Y70" s="35">
        <v>0</v>
      </c>
      <c r="Z70" s="35">
        <v>0</v>
      </c>
      <c r="AA70" s="35">
        <v>0</v>
      </c>
      <c r="AB70" s="35">
        <v>0</v>
      </c>
      <c r="AC70" s="35">
        <v>0</v>
      </c>
      <c r="AD70" s="35">
        <v>0</v>
      </c>
      <c r="AE70" s="35">
        <v>0</v>
      </c>
    </row>
    <row r="71" spans="2:31" s="39" customFormat="1" ht="6" customHeight="1" x14ac:dyDescent="0.25">
      <c r="K71" s="41"/>
    </row>
    <row r="72" spans="2:31" s="39" customFormat="1" x14ac:dyDescent="0.25">
      <c r="B72" s="8" t="s">
        <v>73</v>
      </c>
      <c r="C72" s="8" t="s">
        <v>261</v>
      </c>
      <c r="D72" s="96"/>
      <c r="E72" s="27">
        <v>-11314</v>
      </c>
      <c r="F72" s="27">
        <v>-19300</v>
      </c>
      <c r="G72" s="27">
        <v>153366</v>
      </c>
      <c r="H72" s="27">
        <f>SUM(H61:H70)</f>
        <v>2292399</v>
      </c>
      <c r="I72" s="27">
        <f>SUM(I61:I70)</f>
        <v>53228</v>
      </c>
      <c r="J72" s="27">
        <f>SUM(J61:J70)</f>
        <v>-355898.04982413416</v>
      </c>
      <c r="K72" s="41"/>
      <c r="M72" s="27">
        <f>SUM(M61:M70)</f>
        <v>-1556</v>
      </c>
      <c r="N72" s="27">
        <f t="shared" ref="N72:AE72" si="4">SUM(N61:N70)</f>
        <v>9896</v>
      </c>
      <c r="O72" s="27">
        <f t="shared" si="4"/>
        <v>66498</v>
      </c>
      <c r="P72" s="27">
        <f t="shared" si="4"/>
        <v>78528</v>
      </c>
      <c r="Q72" s="27">
        <f t="shared" si="4"/>
        <v>130487</v>
      </c>
      <c r="R72" s="27">
        <f t="shared" si="4"/>
        <v>149401</v>
      </c>
      <c r="S72" s="27">
        <f t="shared" si="4"/>
        <v>991877.2876618756</v>
      </c>
      <c r="T72" s="27">
        <f t="shared" si="4"/>
        <v>1020633.7123381244</v>
      </c>
      <c r="U72" s="27">
        <f t="shared" si="4"/>
        <v>-116786.55080913886</v>
      </c>
      <c r="V72" s="27">
        <f t="shared" si="4"/>
        <v>-245999.44919086114</v>
      </c>
      <c r="W72" s="27">
        <f t="shared" si="4"/>
        <v>159673</v>
      </c>
      <c r="X72" s="27">
        <f t="shared" si="4"/>
        <v>256341</v>
      </c>
      <c r="Y72" s="27">
        <f t="shared" si="4"/>
        <v>-140487.41303017898</v>
      </c>
      <c r="Z72" s="27">
        <f t="shared" si="4"/>
        <v>-57707.799590694383</v>
      </c>
      <c r="AA72" s="27">
        <f t="shared" si="4"/>
        <v>-90138.52048978534</v>
      </c>
      <c r="AB72" s="27">
        <f t="shared" si="4"/>
        <v>-67564.316713475404</v>
      </c>
      <c r="AC72" s="27">
        <f t="shared" si="4"/>
        <v>532079.52046357247</v>
      </c>
      <c r="AD72" s="27">
        <f t="shared" si="4"/>
        <v>-109535.21016580411</v>
      </c>
      <c r="AE72" s="27">
        <f t="shared" si="4"/>
        <v>-134085.72616767584</v>
      </c>
    </row>
    <row r="73" spans="2:31" s="39" customFormat="1" x14ac:dyDescent="0.25">
      <c r="K73" s="41"/>
    </row>
    <row r="74" spans="2:31" s="39" customFormat="1" x14ac:dyDescent="0.25">
      <c r="B74" s="8" t="s">
        <v>74</v>
      </c>
      <c r="C74" s="8" t="s">
        <v>262</v>
      </c>
      <c r="D74" s="96"/>
      <c r="E74" s="27">
        <v>170</v>
      </c>
      <c r="F74" s="27">
        <v>4333</v>
      </c>
      <c r="G74" s="27">
        <v>77974</v>
      </c>
      <c r="H74" s="27">
        <f>H72+H58+H49</f>
        <v>1583354.3755699999</v>
      </c>
      <c r="I74" s="27">
        <f>I72+I58+I49</f>
        <v>-729763</v>
      </c>
      <c r="J74" s="27">
        <f>J72+J58+J49</f>
        <v>-683952.48078011931</v>
      </c>
      <c r="K74" s="41"/>
      <c r="M74" s="27">
        <f t="shared" ref="M74:AD74" si="5">M72+M58+M49</f>
        <v>-2388</v>
      </c>
      <c r="N74" s="27">
        <f t="shared" si="5"/>
        <v>8967</v>
      </c>
      <c r="O74" s="27">
        <f t="shared" si="5"/>
        <v>35666.092210000003</v>
      </c>
      <c r="P74" s="27">
        <f t="shared" si="5"/>
        <v>35728.907789999997</v>
      </c>
      <c r="Q74" s="27">
        <f t="shared" si="5"/>
        <v>24196</v>
      </c>
      <c r="R74" s="27">
        <f t="shared" si="5"/>
        <v>25962</v>
      </c>
      <c r="S74" s="27">
        <f t="shared" si="5"/>
        <v>757486.2876618756</v>
      </c>
      <c r="T74" s="27">
        <f t="shared" si="5"/>
        <v>775710.08790812432</v>
      </c>
      <c r="U74" s="27">
        <f t="shared" si="5"/>
        <v>-315142.43392181455</v>
      </c>
      <c r="V74" s="27">
        <f t="shared" si="5"/>
        <v>-469020.56607818545</v>
      </c>
      <c r="W74" s="27">
        <f t="shared" si="5"/>
        <v>-24604.000000000058</v>
      </c>
      <c r="X74" s="27">
        <f t="shared" si="5"/>
        <v>79004</v>
      </c>
      <c r="Y74" s="27">
        <f t="shared" si="5"/>
        <v>-68968.743739999743</v>
      </c>
      <c r="Z74" s="27">
        <f t="shared" si="5"/>
        <v>-106410.85573834412</v>
      </c>
      <c r="AA74" s="27">
        <f t="shared" si="5"/>
        <v>-383540.56430484337</v>
      </c>
      <c r="AB74" s="27">
        <f t="shared" si="5"/>
        <v>-125032.94542574169</v>
      </c>
      <c r="AC74" s="27">
        <f t="shared" si="5"/>
        <v>10224.185270000395</v>
      </c>
      <c r="AD74" s="27">
        <f t="shared" si="5"/>
        <v>-21633.901064060134</v>
      </c>
      <c r="AE74" s="27">
        <f>AE72+AE58+AE49</f>
        <v>142204.9082740045</v>
      </c>
    </row>
    <row r="75" spans="2:31" s="39" customFormat="1" x14ac:dyDescent="0.25">
      <c r="H75" s="35"/>
      <c r="I75" s="35"/>
      <c r="J75" s="35"/>
      <c r="K75" s="41"/>
      <c r="S75" s="35"/>
      <c r="T75" s="35"/>
      <c r="U75" s="35"/>
      <c r="V75" s="35"/>
      <c r="W75" s="35"/>
      <c r="X75" s="35"/>
      <c r="Y75" s="35"/>
      <c r="Z75" s="35"/>
      <c r="AA75" s="35"/>
      <c r="AB75" s="35"/>
      <c r="AC75" s="35"/>
      <c r="AD75" s="35"/>
      <c r="AE75" s="35"/>
    </row>
    <row r="76" spans="2:31" s="39" customFormat="1" x14ac:dyDescent="0.25">
      <c r="B76" s="12" t="s">
        <v>75</v>
      </c>
      <c r="C76" s="12" t="s">
        <v>263</v>
      </c>
      <c r="E76" s="35">
        <v>2290</v>
      </c>
      <c r="F76" s="35">
        <v>3828</v>
      </c>
      <c r="G76" s="35">
        <v>6793</v>
      </c>
      <c r="H76" s="35">
        <f>G77</f>
        <v>84767</v>
      </c>
      <c r="I76" s="35">
        <f>H77</f>
        <v>1668121.3755699999</v>
      </c>
      <c r="J76" s="35">
        <f>I77</f>
        <v>938358.37556999992</v>
      </c>
      <c r="K76" s="41"/>
      <c r="M76" s="35">
        <v>6793</v>
      </c>
      <c r="N76" s="35">
        <f t="shared" ref="N76:P76" si="6">M77</f>
        <v>4405</v>
      </c>
      <c r="O76" s="35">
        <f t="shared" si="6"/>
        <v>13372</v>
      </c>
      <c r="P76" s="35">
        <f t="shared" si="6"/>
        <v>49038.092210000003</v>
      </c>
      <c r="Q76" s="35">
        <f>P77</f>
        <v>84767</v>
      </c>
      <c r="R76" s="35">
        <f t="shared" ref="R76" si="7">Q77</f>
        <v>108963</v>
      </c>
      <c r="S76" s="35">
        <f>R77</f>
        <v>134925</v>
      </c>
      <c r="T76" s="35">
        <f t="shared" ref="T76" si="8">S77</f>
        <v>892411.2876618756</v>
      </c>
      <c r="U76" s="35">
        <f t="shared" ref="U76:Y76" si="9">T77</f>
        <v>1668121.3755699999</v>
      </c>
      <c r="V76" s="35">
        <f t="shared" si="9"/>
        <v>1352978.9416481853</v>
      </c>
      <c r="W76" s="35">
        <f t="shared" si="9"/>
        <v>883958.3755699998</v>
      </c>
      <c r="X76" s="35">
        <f t="shared" si="9"/>
        <v>859354.37556999968</v>
      </c>
      <c r="Y76" s="35">
        <f t="shared" si="9"/>
        <v>938358.37556999968</v>
      </c>
      <c r="Z76" s="35">
        <f t="shared" ref="Z76:AE76" si="10">Y77</f>
        <v>869389.63182999997</v>
      </c>
      <c r="AA76" s="35">
        <f t="shared" si="10"/>
        <v>762978.77609165583</v>
      </c>
      <c r="AB76" s="35">
        <f t="shared" si="10"/>
        <v>379438.21178681246</v>
      </c>
      <c r="AC76" s="35">
        <f t="shared" si="10"/>
        <v>254405.26636107077</v>
      </c>
      <c r="AD76" s="35">
        <f t="shared" si="10"/>
        <v>264629.45163107116</v>
      </c>
      <c r="AE76" s="35">
        <f t="shared" si="10"/>
        <v>242995.55056701103</v>
      </c>
    </row>
    <row r="77" spans="2:31" s="39" customFormat="1" x14ac:dyDescent="0.25">
      <c r="B77" s="12" t="s">
        <v>76</v>
      </c>
      <c r="C77" s="12" t="s">
        <v>264</v>
      </c>
      <c r="E77" s="35">
        <v>3828</v>
      </c>
      <c r="F77" s="35">
        <v>6794</v>
      </c>
      <c r="G77" s="35">
        <v>84767</v>
      </c>
      <c r="H77" s="35">
        <f>H74+H76</f>
        <v>1668121.3755699999</v>
      </c>
      <c r="I77" s="35">
        <f>I74+I76</f>
        <v>938358.37556999992</v>
      </c>
      <c r="J77" s="35">
        <f>J74+J76</f>
        <v>254405.89478988061</v>
      </c>
      <c r="K77" s="41"/>
      <c r="M77" s="35">
        <f>M74+M76</f>
        <v>4405</v>
      </c>
      <c r="N77" s="35">
        <f t="shared" ref="N77" si="11">N74+N76</f>
        <v>13372</v>
      </c>
      <c r="O77" s="35">
        <f t="shared" ref="O77" si="12">O74+O76</f>
        <v>49038.092210000003</v>
      </c>
      <c r="P77" s="35">
        <f t="shared" ref="P77" si="13">P74+P76</f>
        <v>84767</v>
      </c>
      <c r="Q77" s="35">
        <f t="shared" ref="Q77" si="14">Q74+Q76</f>
        <v>108963</v>
      </c>
      <c r="R77" s="35">
        <f t="shared" ref="R77" si="15">R74+R76</f>
        <v>134925</v>
      </c>
      <c r="S77" s="35">
        <f t="shared" ref="S77" si="16">S74+S76</f>
        <v>892411.2876618756</v>
      </c>
      <c r="T77" s="35">
        <f t="shared" ref="T77:Y77" si="17">T74+T76</f>
        <v>1668121.3755699999</v>
      </c>
      <c r="U77" s="35">
        <f t="shared" si="17"/>
        <v>1352978.9416481853</v>
      </c>
      <c r="V77" s="35">
        <f t="shared" si="17"/>
        <v>883958.3755699998</v>
      </c>
      <c r="W77" s="35">
        <f t="shared" si="17"/>
        <v>859354.37556999968</v>
      </c>
      <c r="X77" s="35">
        <f t="shared" si="17"/>
        <v>938358.37556999968</v>
      </c>
      <c r="Y77" s="35">
        <f t="shared" si="17"/>
        <v>869389.63182999997</v>
      </c>
      <c r="Z77" s="35">
        <f t="shared" ref="Z77:AA77" si="18">Z74+Z76</f>
        <v>762978.77609165583</v>
      </c>
      <c r="AA77" s="35">
        <f t="shared" si="18"/>
        <v>379438.21178681246</v>
      </c>
      <c r="AB77" s="35">
        <f t="shared" ref="AB77:AC77" si="19">AB74+AB76</f>
        <v>254405.26636107077</v>
      </c>
      <c r="AC77" s="35">
        <f t="shared" si="19"/>
        <v>264629.45163107116</v>
      </c>
      <c r="AD77" s="35">
        <f t="shared" ref="AD77:AE77" si="20">AD74+AD76</f>
        <v>242995.55056701103</v>
      </c>
      <c r="AE77" s="35">
        <f t="shared" si="20"/>
        <v>385200.45884101553</v>
      </c>
    </row>
    <row r="78" spans="2:31" s="39" customFormat="1" x14ac:dyDescent="0.25"/>
    <row r="79" spans="2:31" s="39" customFormat="1" x14ac:dyDescent="0.25">
      <c r="B79" s="16" t="s">
        <v>94</v>
      </c>
    </row>
    <row r="80" spans="2:31" s="39" customFormat="1" x14ac:dyDescent="0.25">
      <c r="B80" s="16" t="s">
        <v>265</v>
      </c>
    </row>
    <row r="81" s="39" customFormat="1" x14ac:dyDescent="0.25"/>
    <row r="82" s="39" customFormat="1" x14ac:dyDescent="0.25"/>
    <row r="83" s="39" customFormat="1" x14ac:dyDescent="0.25"/>
    <row r="84" s="39" customFormat="1" x14ac:dyDescent="0.25"/>
  </sheetData>
  <phoneticPr fontId="12" type="noConversion"/>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6A42BF-05A3-4972-8F5D-409B99B5E76F}">
  <sheetPr>
    <tabColor theme="4" tint="-0.249977111117893"/>
  </sheetPr>
  <dimension ref="A1:AK138"/>
  <sheetViews>
    <sheetView showGridLines="0" zoomScaleNormal="100" workbookViewId="0">
      <pane xSplit="3" ySplit="4" topLeftCell="D5" activePane="bottomRight" state="frozen"/>
      <selection pane="topRight" activeCell="D1" sqref="D1"/>
      <selection pane="bottomLeft" activeCell="A5" sqref="A5"/>
      <selection pane="bottomRight" activeCell="B2" sqref="B2"/>
    </sheetView>
  </sheetViews>
  <sheetFormatPr defaultRowHeight="15" outlineLevelRow="1" outlineLevelCol="1" x14ac:dyDescent="0.25"/>
  <cols>
    <col min="1" max="1" width="2.7109375" customWidth="1"/>
    <col min="2" max="2" width="58.140625" customWidth="1"/>
    <col min="3" max="3" width="74.42578125" hidden="1" customWidth="1" outlineLevel="1"/>
    <col min="4" max="4" width="18.7109375" customWidth="1" collapsed="1"/>
    <col min="5" max="12" width="10.7109375" hidden="1" customWidth="1" outlineLevel="1"/>
    <col min="13" max="13" width="2.7109375" hidden="1" customWidth="1" outlineLevel="1"/>
    <col min="14" max="14" width="2.7109375" customWidth="1" collapsed="1"/>
    <col min="15" max="17" width="10.7109375" hidden="1" customWidth="1"/>
    <col min="18" max="18" width="9.28515625" hidden="1" customWidth="1"/>
    <col min="19" max="28" width="10.7109375" hidden="1" customWidth="1"/>
    <col min="29" max="35" width="10.7109375" customWidth="1"/>
    <col min="37" max="37" width="10.140625" bestFit="1" customWidth="1"/>
  </cols>
  <sheetData>
    <row r="1" spans="1:37" ht="12" customHeight="1" x14ac:dyDescent="0.25"/>
    <row r="2" spans="1:37" ht="21" x14ac:dyDescent="0.25">
      <c r="B2" s="14" t="s">
        <v>77</v>
      </c>
      <c r="C2" s="14" t="s">
        <v>266</v>
      </c>
      <c r="D2" s="77"/>
      <c r="E2" s="77"/>
      <c r="F2" s="77"/>
      <c r="G2" s="77"/>
      <c r="H2" s="77"/>
      <c r="I2" s="77"/>
      <c r="J2" s="77"/>
      <c r="K2" s="77"/>
      <c r="L2" s="77"/>
      <c r="M2" s="77"/>
      <c r="N2" s="77"/>
      <c r="O2" s="77"/>
      <c r="P2" s="77"/>
      <c r="Q2" s="77"/>
      <c r="R2" s="77"/>
      <c r="S2" s="77"/>
      <c r="T2" s="77"/>
      <c r="U2" s="77"/>
      <c r="V2" s="77"/>
      <c r="W2" s="77"/>
      <c r="X2" s="77"/>
      <c r="Y2" s="77"/>
      <c r="Z2" s="77"/>
      <c r="AA2" s="77"/>
      <c r="AB2" s="77"/>
      <c r="AC2" s="77"/>
      <c r="AD2" s="77"/>
      <c r="AE2" s="77"/>
      <c r="AF2" s="77"/>
      <c r="AG2" s="77"/>
      <c r="AH2" s="77"/>
      <c r="AI2" s="77"/>
    </row>
    <row r="3" spans="1:37" ht="12" customHeight="1" x14ac:dyDescent="0.35">
      <c r="B3" s="1"/>
      <c r="C3" s="1"/>
      <c r="O3" s="19" t="s">
        <v>310</v>
      </c>
      <c r="P3" s="19" t="s">
        <v>311</v>
      </c>
      <c r="Q3" s="19" t="s">
        <v>312</v>
      </c>
      <c r="R3" s="19" t="s">
        <v>313</v>
      </c>
      <c r="S3" s="19" t="s">
        <v>314</v>
      </c>
      <c r="T3" s="19" t="s">
        <v>315</v>
      </c>
      <c r="U3" s="19" t="s">
        <v>316</v>
      </c>
      <c r="V3" s="19" t="s">
        <v>317</v>
      </c>
      <c r="W3" s="19" t="s">
        <v>318</v>
      </c>
      <c r="X3" s="19" t="s">
        <v>319</v>
      </c>
      <c r="Y3" s="19" t="s">
        <v>320</v>
      </c>
      <c r="Z3" s="19" t="s">
        <v>322</v>
      </c>
      <c r="AA3" s="19" t="s">
        <v>349</v>
      </c>
      <c r="AB3" s="19" t="s">
        <v>365</v>
      </c>
      <c r="AC3" s="19" t="s">
        <v>372</v>
      </c>
      <c r="AD3" s="19" t="s">
        <v>380</v>
      </c>
      <c r="AE3" s="19" t="s">
        <v>395</v>
      </c>
      <c r="AF3" s="19" t="s">
        <v>411</v>
      </c>
      <c r="AG3" s="19" t="s">
        <v>413</v>
      </c>
    </row>
    <row r="4" spans="1:37" ht="18" x14ac:dyDescent="0.25">
      <c r="A4" s="38"/>
      <c r="B4" s="2" t="s">
        <v>0</v>
      </c>
      <c r="C4" s="2" t="s">
        <v>168</v>
      </c>
      <c r="D4" s="3"/>
      <c r="E4" s="18">
        <v>2018</v>
      </c>
      <c r="F4" s="18">
        <v>2019</v>
      </c>
      <c r="G4" s="18">
        <v>2020</v>
      </c>
      <c r="H4" s="18">
        <v>2021</v>
      </c>
      <c r="I4" s="18">
        <v>2022</v>
      </c>
      <c r="J4" s="18">
        <v>2023</v>
      </c>
      <c r="K4" s="19" t="s">
        <v>321</v>
      </c>
      <c r="L4" s="19" t="s">
        <v>379</v>
      </c>
      <c r="M4" s="58"/>
      <c r="N4" s="6"/>
      <c r="O4" s="19" t="s">
        <v>86</v>
      </c>
      <c r="P4" s="19" t="s">
        <v>87</v>
      </c>
      <c r="Q4" s="19" t="s">
        <v>95</v>
      </c>
      <c r="R4" s="19" t="s">
        <v>96</v>
      </c>
      <c r="S4" s="19" t="s">
        <v>1</v>
      </c>
      <c r="T4" s="19" t="s">
        <v>2</v>
      </c>
      <c r="U4" s="19" t="s">
        <v>97</v>
      </c>
      <c r="V4" s="19" t="s">
        <v>146</v>
      </c>
      <c r="W4" s="19" t="s">
        <v>161</v>
      </c>
      <c r="X4" s="19" t="s">
        <v>188</v>
      </c>
      <c r="Y4" s="19" t="s">
        <v>309</v>
      </c>
      <c r="Z4" s="19" t="s">
        <v>323</v>
      </c>
      <c r="AA4" s="19" t="s">
        <v>350</v>
      </c>
      <c r="AB4" s="19" t="s">
        <v>366</v>
      </c>
      <c r="AC4" s="19" t="s">
        <v>373</v>
      </c>
      <c r="AD4" s="19" t="s">
        <v>381</v>
      </c>
      <c r="AE4" s="19" t="s">
        <v>396</v>
      </c>
      <c r="AF4" s="19" t="s">
        <v>412</v>
      </c>
      <c r="AG4" s="19" t="s">
        <v>414</v>
      </c>
      <c r="AH4" s="19" t="s">
        <v>105</v>
      </c>
      <c r="AI4" s="19" t="s">
        <v>106</v>
      </c>
    </row>
    <row r="5" spans="1:37" ht="6" customHeight="1" x14ac:dyDescent="0.25">
      <c r="A5" s="38"/>
      <c r="B5" s="76"/>
      <c r="C5" s="76"/>
      <c r="D5" s="75"/>
      <c r="E5" s="74"/>
      <c r="F5" s="74"/>
      <c r="G5" s="74"/>
      <c r="H5" s="74"/>
      <c r="I5" s="74"/>
      <c r="J5" s="74"/>
      <c r="K5" s="73"/>
      <c r="L5" s="73"/>
      <c r="M5" s="58"/>
      <c r="N5" s="6"/>
      <c r="O5" s="73"/>
      <c r="P5" s="73"/>
      <c r="Q5" s="73"/>
      <c r="R5" s="73"/>
      <c r="S5" s="73"/>
      <c r="T5" s="73"/>
      <c r="U5" s="73"/>
      <c r="V5" s="73"/>
      <c r="W5" s="73"/>
      <c r="X5" s="73"/>
      <c r="Y5" s="73"/>
      <c r="Z5" s="73"/>
      <c r="AA5" s="73"/>
      <c r="AB5" s="73"/>
      <c r="AC5" s="73"/>
      <c r="AD5" s="73"/>
      <c r="AE5" s="73"/>
      <c r="AF5" s="73"/>
      <c r="AG5" s="73"/>
      <c r="AH5" s="73"/>
      <c r="AI5" s="73"/>
    </row>
    <row r="6" spans="1:37" ht="6" customHeight="1" x14ac:dyDescent="0.25">
      <c r="A6" s="38"/>
      <c r="M6" s="59"/>
    </row>
    <row r="7" spans="1:37" s="39" customFormat="1" ht="18" x14ac:dyDescent="0.25">
      <c r="A7" s="81"/>
      <c r="B7" s="8" t="s">
        <v>113</v>
      </c>
      <c r="C7" s="8" t="s">
        <v>267</v>
      </c>
      <c r="D7" s="47"/>
      <c r="E7" s="47"/>
      <c r="F7" s="47"/>
      <c r="G7" s="47"/>
      <c r="H7" s="47"/>
      <c r="I7" s="47"/>
      <c r="J7" s="47"/>
      <c r="K7" s="47"/>
      <c r="L7" s="47"/>
      <c r="M7" s="60"/>
      <c r="O7" s="47"/>
      <c r="P7" s="47"/>
      <c r="Q7" s="47"/>
      <c r="R7" s="47"/>
      <c r="S7" s="47"/>
      <c r="T7" s="47"/>
      <c r="U7" s="47"/>
      <c r="V7" s="47"/>
      <c r="W7" s="47"/>
      <c r="X7" s="47"/>
      <c r="Y7" s="47"/>
      <c r="Z7" s="47"/>
      <c r="AA7" s="47"/>
      <c r="AB7" s="47"/>
      <c r="AC7" s="47"/>
      <c r="AD7" s="47"/>
      <c r="AE7" s="47"/>
      <c r="AF7" s="47"/>
      <c r="AG7" s="47"/>
      <c r="AH7" s="47"/>
      <c r="AI7" s="47"/>
    </row>
    <row r="8" spans="1:37" s="39" customFormat="1" ht="6.75" customHeight="1" outlineLevel="1" x14ac:dyDescent="0.25">
      <c r="A8" s="81"/>
      <c r="M8" s="60"/>
    </row>
    <row r="9" spans="1:37" s="39" customFormat="1" ht="18" outlineLevel="1" x14ac:dyDescent="0.25">
      <c r="A9" s="81"/>
      <c r="B9" s="5" t="s">
        <v>155</v>
      </c>
      <c r="C9" s="5" t="s">
        <v>268</v>
      </c>
      <c r="D9" s="48"/>
      <c r="E9" s="37">
        <v>259</v>
      </c>
      <c r="F9" s="37">
        <v>424</v>
      </c>
      <c r="G9" s="37">
        <v>1046</v>
      </c>
      <c r="H9" s="37">
        <f>V9</f>
        <v>6225</v>
      </c>
      <c r="I9" s="37">
        <f>Z9</f>
        <v>9483</v>
      </c>
      <c r="J9" s="37">
        <f>AD9</f>
        <v>10206</v>
      </c>
      <c r="K9" s="36">
        <f t="shared" ref="K9:L11" si="0">I9/H9-1</f>
        <v>0.5233734939759036</v>
      </c>
      <c r="L9" s="36">
        <f t="shared" si="0"/>
        <v>7.6241695665928422E-2</v>
      </c>
      <c r="M9" s="71"/>
      <c r="N9" s="48"/>
      <c r="O9" s="37">
        <v>510</v>
      </c>
      <c r="P9" s="37">
        <v>603</v>
      </c>
      <c r="Q9" s="37">
        <v>879</v>
      </c>
      <c r="R9" s="37">
        <v>1046</v>
      </c>
      <c r="S9" s="37">
        <v>1403</v>
      </c>
      <c r="T9" s="37">
        <v>1902</v>
      </c>
      <c r="U9" s="37">
        <v>2776</v>
      </c>
      <c r="V9" s="37">
        <v>6225</v>
      </c>
      <c r="W9" s="37">
        <v>6898</v>
      </c>
      <c r="X9" s="37">
        <v>7522</v>
      </c>
      <c r="Y9" s="37">
        <v>8823</v>
      </c>
      <c r="Z9" s="37">
        <v>9483</v>
      </c>
      <c r="AA9" s="37">
        <v>9498</v>
      </c>
      <c r="AB9" s="37">
        <v>9852</v>
      </c>
      <c r="AC9" s="37">
        <v>10125</v>
      </c>
      <c r="AD9" s="37">
        <v>10206</v>
      </c>
      <c r="AE9" s="37">
        <v>10226</v>
      </c>
      <c r="AF9" s="37">
        <v>10634</v>
      </c>
      <c r="AG9" s="37">
        <v>11258</v>
      </c>
      <c r="AH9" s="36">
        <f>AG9/AC9-1</f>
        <v>0.11190123456790113</v>
      </c>
      <c r="AI9" s="36">
        <f>AG9/AF9-1</f>
        <v>5.8679706601467041E-2</v>
      </c>
    </row>
    <row r="10" spans="1:37" s="39" customFormat="1" ht="18" outlineLevel="1" x14ac:dyDescent="0.25">
      <c r="A10" s="81"/>
      <c r="B10" s="7" t="s">
        <v>143</v>
      </c>
      <c r="C10" s="5" t="s">
        <v>336</v>
      </c>
      <c r="D10" s="48"/>
      <c r="E10" s="37">
        <v>82898.879416949989</v>
      </c>
      <c r="F10" s="37">
        <v>126715.25690694999</v>
      </c>
      <c r="G10" s="37">
        <v>335603.05056695006</v>
      </c>
      <c r="H10" s="37">
        <v>1211985.4615511724</v>
      </c>
      <c r="I10" s="37">
        <v>2428116.0692337635</v>
      </c>
      <c r="J10" s="37"/>
      <c r="K10" s="36">
        <f t="shared" si="0"/>
        <v>1.0034201285930555</v>
      </c>
      <c r="L10" s="36">
        <f t="shared" si="0"/>
        <v>-1</v>
      </c>
      <c r="M10" s="71"/>
      <c r="N10" s="48"/>
      <c r="O10" s="37">
        <v>154721.22585694998</v>
      </c>
      <c r="P10" s="37">
        <v>186668.95594695001</v>
      </c>
      <c r="Q10" s="37">
        <v>275215.48913695</v>
      </c>
      <c r="R10" s="37">
        <v>335603.05056695006</v>
      </c>
      <c r="S10" s="37">
        <v>450574.35834695003</v>
      </c>
      <c r="T10" s="37">
        <v>633148.69215695013</v>
      </c>
      <c r="U10" s="37">
        <v>906832.99571695004</v>
      </c>
      <c r="V10" s="37">
        <v>1211985.4615511724</v>
      </c>
      <c r="W10" s="37">
        <v>1410541.5655011737</v>
      </c>
      <c r="X10" s="37">
        <v>1616888.0421541212</v>
      </c>
      <c r="Y10" s="37">
        <v>2102444.1217245571</v>
      </c>
      <c r="Z10" s="37">
        <v>2353715.0692337635</v>
      </c>
      <c r="AA10" s="37">
        <v>2405070.0288414513</v>
      </c>
      <c r="AB10" s="37">
        <v>2494188.7731314516</v>
      </c>
      <c r="AC10" s="37">
        <v>2627141.9301620605</v>
      </c>
      <c r="AD10" s="37">
        <v>2700578.0425414522</v>
      </c>
      <c r="AE10" s="37">
        <v>2734795.1629514508</v>
      </c>
      <c r="AF10" s="37">
        <v>2981056.0639114524</v>
      </c>
      <c r="AG10" s="37">
        <v>3251849.6396568357</v>
      </c>
      <c r="AH10" s="36">
        <f>AG10/AC10-1</f>
        <v>0.23778985913267303</v>
      </c>
      <c r="AI10" s="36">
        <f>AG10/AF10-1</f>
        <v>9.0838135861851077E-2</v>
      </c>
      <c r="AK10" s="62"/>
    </row>
    <row r="11" spans="1:37" s="39" customFormat="1" ht="18" outlineLevel="1" x14ac:dyDescent="0.25">
      <c r="A11" s="81"/>
      <c r="B11" s="7" t="s">
        <v>144</v>
      </c>
      <c r="C11" s="5" t="s">
        <v>269</v>
      </c>
      <c r="D11" s="72"/>
      <c r="E11" s="37">
        <v>66740.391924642288</v>
      </c>
      <c r="F11" s="37">
        <v>102040.52627925768</v>
      </c>
      <c r="G11" s="37">
        <v>214699.97944002692</v>
      </c>
      <c r="H11" s="37">
        <v>722450.01787889295</v>
      </c>
      <c r="I11" s="37">
        <v>1741431.3845707527</v>
      </c>
      <c r="J11" s="37"/>
      <c r="K11" s="36">
        <f t="shared" si="0"/>
        <v>1.4104524070517437</v>
      </c>
      <c r="L11" s="36">
        <f t="shared" si="0"/>
        <v>-1</v>
      </c>
      <c r="M11" s="71"/>
      <c r="N11" s="48"/>
      <c r="O11" s="37">
        <v>142357.92208444999</v>
      </c>
      <c r="P11" s="37">
        <v>167279.85818944999</v>
      </c>
      <c r="Q11" s="37">
        <v>229311.65104194998</v>
      </c>
      <c r="R11" s="37">
        <v>309466.91959945002</v>
      </c>
      <c r="S11" s="37">
        <v>389469.73689945001</v>
      </c>
      <c r="T11" s="37">
        <v>539950.87958945008</v>
      </c>
      <c r="U11" s="37">
        <v>767947.10714695009</v>
      </c>
      <c r="V11" s="37">
        <v>1111680.3102980598</v>
      </c>
      <c r="W11" s="37">
        <v>1309587.0384411735</v>
      </c>
      <c r="X11" s="37">
        <v>1507233.9188134801</v>
      </c>
      <c r="Y11" s="37">
        <v>1856707.3991091801</v>
      </c>
      <c r="Z11" s="37">
        <v>2233682.7334078862</v>
      </c>
      <c r="AA11" s="37">
        <v>2373895.5839881855</v>
      </c>
      <c r="AB11" s="37">
        <v>2447514.8731864514</v>
      </c>
      <c r="AC11" s="37">
        <v>2563869.2608142565</v>
      </c>
      <c r="AD11" s="37">
        <v>2660193.1391942562</v>
      </c>
      <c r="AE11" s="37">
        <v>2683768.0107682706</v>
      </c>
      <c r="AF11" s="37">
        <v>2832778.7066814522</v>
      </c>
      <c r="AG11" s="37">
        <v>3106554.2929835026</v>
      </c>
      <c r="AH11" s="36">
        <f>AG11/AC11-1</f>
        <v>0.21166642171016758</v>
      </c>
      <c r="AI11" s="36">
        <f>AG11/AF11-1</f>
        <v>9.6645595950124008E-2</v>
      </c>
      <c r="AK11" s="62"/>
    </row>
    <row r="12" spans="1:37" s="39" customFormat="1" ht="18" outlineLevel="1" x14ac:dyDescent="0.25">
      <c r="A12" s="81"/>
      <c r="B12" s="7" t="s">
        <v>145</v>
      </c>
      <c r="C12" s="50" t="s">
        <v>270</v>
      </c>
      <c r="D12" s="46"/>
      <c r="E12" s="51"/>
      <c r="F12" s="51"/>
      <c r="G12" s="51"/>
      <c r="H12" s="78"/>
      <c r="I12" s="78"/>
      <c r="J12" s="78"/>
      <c r="K12" s="36"/>
      <c r="L12" s="36"/>
      <c r="M12" s="60"/>
      <c r="O12" s="51"/>
      <c r="P12" s="51"/>
      <c r="Q12" s="51"/>
      <c r="R12" s="51"/>
      <c r="S12" s="51"/>
      <c r="T12" s="51"/>
      <c r="U12" s="51"/>
      <c r="V12" s="51"/>
      <c r="W12" s="51"/>
      <c r="X12" s="51"/>
      <c r="Y12" s="51"/>
      <c r="Z12" s="51"/>
      <c r="AA12" s="51"/>
      <c r="AB12" s="51"/>
      <c r="AC12" s="51"/>
      <c r="AD12" s="114"/>
      <c r="AF12" s="118"/>
      <c r="AG12" s="118"/>
      <c r="AH12" s="37"/>
      <c r="AI12" s="10"/>
    </row>
    <row r="13" spans="1:37" s="39" customFormat="1" ht="18" outlineLevel="1" x14ac:dyDescent="0.25">
      <c r="A13" s="81"/>
      <c r="B13" s="50"/>
      <c r="C13" s="50"/>
      <c r="D13" s="46"/>
      <c r="E13" s="51"/>
      <c r="F13" s="51"/>
      <c r="G13" s="51"/>
      <c r="H13" s="78"/>
      <c r="I13" s="78"/>
      <c r="J13" s="78"/>
      <c r="K13" s="36"/>
      <c r="L13" s="36"/>
      <c r="M13" s="60"/>
      <c r="O13" s="51"/>
      <c r="P13" s="51"/>
      <c r="Q13" s="51"/>
      <c r="R13" s="51"/>
      <c r="S13" s="51"/>
      <c r="T13" s="51"/>
      <c r="U13" s="37"/>
      <c r="V13" s="37"/>
      <c r="W13" s="37"/>
      <c r="X13" s="37"/>
      <c r="Y13" s="37"/>
      <c r="Z13" s="37"/>
      <c r="AA13" s="37"/>
      <c r="AB13" s="37"/>
      <c r="AC13" s="37"/>
      <c r="AD13" s="37"/>
      <c r="AE13" s="37"/>
      <c r="AF13" s="116"/>
      <c r="AG13" s="116"/>
      <c r="AH13" s="10"/>
      <c r="AI13" s="10"/>
    </row>
    <row r="14" spans="1:37" s="39" customFormat="1" ht="18" outlineLevel="1" x14ac:dyDescent="0.25">
      <c r="A14" s="81"/>
      <c r="B14" s="7" t="s">
        <v>368</v>
      </c>
      <c r="C14" s="7" t="s">
        <v>370</v>
      </c>
      <c r="D14" s="46"/>
      <c r="E14" s="51"/>
      <c r="F14" s="51"/>
      <c r="G14" s="51"/>
      <c r="H14" s="78"/>
      <c r="I14" s="78"/>
      <c r="J14" s="78"/>
      <c r="K14" s="36"/>
      <c r="L14" s="36"/>
      <c r="M14" s="60"/>
      <c r="O14" s="51"/>
      <c r="P14" s="51"/>
      <c r="Q14" s="51"/>
      <c r="R14" s="51"/>
      <c r="S14" s="102">
        <f>'DRE - Income Statement'!S7</f>
        <v>55140</v>
      </c>
      <c r="T14" s="102">
        <f>'DRE - Income Statement'!T7</f>
        <v>78621</v>
      </c>
      <c r="U14" s="102">
        <f>'DRE - Income Statement'!U7</f>
        <v>109291</v>
      </c>
      <c r="V14" s="102">
        <f>'DRE - Income Statement'!V7</f>
        <v>183578</v>
      </c>
      <c r="W14" s="102">
        <f>'DRE - Income Statement'!W7</f>
        <v>206273</v>
      </c>
      <c r="X14" s="102">
        <f>'DRE - Income Statement'!X7</f>
        <v>238394</v>
      </c>
      <c r="Y14" s="102">
        <f>'DRE - Income Statement'!Y7</f>
        <v>255166</v>
      </c>
      <c r="Z14" s="102">
        <f>'DRE - Income Statement'!Z7</f>
        <v>289929</v>
      </c>
      <c r="AA14" s="102">
        <f>'DRE - Income Statement'!AA7</f>
        <v>283195</v>
      </c>
      <c r="AB14" s="102">
        <f>'DRE - Income Statement'!AB7</f>
        <v>324146</v>
      </c>
      <c r="AC14" s="102">
        <f>'DRE - Income Statement'!AC7</f>
        <v>372429</v>
      </c>
      <c r="AD14" s="102">
        <f>'DRE - Income Statement'!AD7</f>
        <v>402983</v>
      </c>
      <c r="AE14" s="102">
        <f>'DRE - Income Statement'!AE7</f>
        <v>404827</v>
      </c>
      <c r="AF14" s="102">
        <f>'DRE - Income Statement'!AF7</f>
        <v>434787.13419311331</v>
      </c>
      <c r="AG14" s="102">
        <f>'DRE - Income Statement'!AG7</f>
        <v>500489.18132862775</v>
      </c>
      <c r="AH14" s="10"/>
      <c r="AI14" s="10"/>
    </row>
    <row r="15" spans="1:37" s="39" customFormat="1" ht="18" outlineLevel="1" x14ac:dyDescent="0.25">
      <c r="A15" s="81"/>
      <c r="B15" s="5" t="s">
        <v>367</v>
      </c>
      <c r="C15" s="5" t="s">
        <v>371</v>
      </c>
      <c r="D15" s="46"/>
      <c r="E15" s="51"/>
      <c r="F15" s="51"/>
      <c r="G15" s="51"/>
      <c r="H15" s="78"/>
      <c r="I15" s="78"/>
      <c r="J15" s="78"/>
      <c r="K15" s="36"/>
      <c r="L15" s="36"/>
      <c r="M15" s="60"/>
      <c r="O15" s="51"/>
      <c r="P15" s="51"/>
      <c r="Q15" s="51"/>
      <c r="R15" s="51"/>
      <c r="S15" s="103">
        <f t="shared" ref="S15:AG15" si="1">S14*4/S11</f>
        <v>0.56630844223191157</v>
      </c>
      <c r="T15" s="103">
        <f t="shared" si="1"/>
        <v>0.58243075784804144</v>
      </c>
      <c r="U15" s="103">
        <f t="shared" si="1"/>
        <v>0.56926316400114618</v>
      </c>
      <c r="V15" s="103">
        <f t="shared" si="1"/>
        <v>0.66054241781355183</v>
      </c>
      <c r="W15" s="103">
        <f t="shared" si="1"/>
        <v>0.63003983376478956</v>
      </c>
      <c r="X15" s="103">
        <f t="shared" si="1"/>
        <v>0.63266622924109295</v>
      </c>
      <c r="Y15" s="103">
        <f t="shared" si="1"/>
        <v>0.54971720395453749</v>
      </c>
      <c r="Z15" s="103">
        <f t="shared" si="1"/>
        <v>0.51919459404632806</v>
      </c>
      <c r="AA15" s="103">
        <f t="shared" si="1"/>
        <v>0.47718189782252768</v>
      </c>
      <c r="AB15" s="103">
        <f t="shared" si="1"/>
        <v>0.52975530984698793</v>
      </c>
      <c r="AC15" s="103">
        <f t="shared" si="1"/>
        <v>0.58104210802343437</v>
      </c>
      <c r="AD15" s="103">
        <f t="shared" si="1"/>
        <v>0.60594547675896826</v>
      </c>
      <c r="AE15" s="103">
        <f t="shared" si="1"/>
        <v>0.60337107883495777</v>
      </c>
      <c r="AF15" s="103">
        <f t="shared" si="1"/>
        <v>0.61393730921178569</v>
      </c>
      <c r="AG15" s="103">
        <f t="shared" si="1"/>
        <v>0.64442998142223118</v>
      </c>
      <c r="AH15" s="84">
        <f>100*(AG15-AC15)</f>
        <v>6.3387873398796817</v>
      </c>
      <c r="AI15" s="84">
        <f>100*(AG15-AF15)</f>
        <v>3.0492672210445493</v>
      </c>
    </row>
    <row r="16" spans="1:37" s="39" customFormat="1" x14ac:dyDescent="0.25">
      <c r="A16" s="82" t="s">
        <v>148</v>
      </c>
      <c r="B16" s="5"/>
      <c r="C16" s="5"/>
      <c r="D16" s="48"/>
      <c r="E16" s="37"/>
      <c r="F16" s="37"/>
      <c r="G16" s="37"/>
      <c r="H16" s="37"/>
      <c r="I16" s="37"/>
      <c r="J16" s="37"/>
      <c r="K16" s="36"/>
      <c r="L16" s="36"/>
      <c r="M16" s="60"/>
      <c r="S16" s="37"/>
      <c r="T16" s="37"/>
      <c r="U16" s="37"/>
      <c r="V16" s="37"/>
      <c r="W16" s="37"/>
      <c r="X16" s="37"/>
      <c r="Y16" s="37"/>
      <c r="Z16" s="83"/>
      <c r="AA16" s="83"/>
      <c r="AB16" s="83"/>
      <c r="AC16" s="83"/>
      <c r="AD16" s="83"/>
      <c r="AE16" s="83"/>
      <c r="AF16" s="83"/>
      <c r="AG16" s="83"/>
      <c r="AH16" s="36"/>
      <c r="AI16" s="36"/>
    </row>
    <row r="17" spans="1:37" s="39" customFormat="1" ht="18" x14ac:dyDescent="0.25">
      <c r="A17" s="81"/>
      <c r="B17" s="8" t="s">
        <v>3</v>
      </c>
      <c r="C17" s="8" t="s">
        <v>3</v>
      </c>
      <c r="D17" s="47"/>
      <c r="E17" s="47"/>
      <c r="F17" s="47"/>
      <c r="G17" s="47"/>
      <c r="H17" s="47"/>
      <c r="I17" s="47"/>
      <c r="J17" s="47"/>
      <c r="K17" s="47"/>
      <c r="L17" s="47"/>
      <c r="M17" s="60"/>
      <c r="O17" s="47"/>
      <c r="P17" s="47"/>
      <c r="Q17" s="47"/>
      <c r="R17" s="47"/>
      <c r="S17" s="47"/>
      <c r="T17" s="47"/>
      <c r="U17" s="47"/>
      <c r="V17" s="105"/>
      <c r="W17" s="105"/>
      <c r="X17" s="105"/>
      <c r="Y17" s="105"/>
      <c r="Z17" s="105"/>
      <c r="AA17" s="105"/>
      <c r="AB17" s="105"/>
      <c r="AC17" s="105"/>
      <c r="AD17" s="105"/>
      <c r="AE17" s="105"/>
      <c r="AF17" s="105"/>
      <c r="AG17" s="105"/>
      <c r="AH17" s="47"/>
      <c r="AI17" s="47"/>
    </row>
    <row r="18" spans="1:37" s="39" customFormat="1" ht="6.75" customHeight="1" outlineLevel="1" x14ac:dyDescent="0.25">
      <c r="A18" s="81"/>
      <c r="M18" s="60"/>
    </row>
    <row r="19" spans="1:37" s="39" customFormat="1" ht="18" outlineLevel="1" x14ac:dyDescent="0.25">
      <c r="A19" s="81"/>
      <c r="B19" s="7" t="s">
        <v>58</v>
      </c>
      <c r="C19" s="7" t="s">
        <v>271</v>
      </c>
      <c r="E19" s="35">
        <v>1795</v>
      </c>
      <c r="F19" s="35">
        <v>2837</v>
      </c>
      <c r="G19" s="35">
        <f>SUM(O19:R19)</f>
        <v>101279</v>
      </c>
      <c r="H19" s="35">
        <f>SUM(S19:V19)</f>
        <v>645819</v>
      </c>
      <c r="I19" s="35">
        <f>SUM(W19:Z19)</f>
        <v>1017461</v>
      </c>
      <c r="J19" s="35">
        <f>SUM(AA19:AD19)</f>
        <v>177238.85429303569</v>
      </c>
      <c r="M19" s="60"/>
      <c r="O19" s="35">
        <v>2500</v>
      </c>
      <c r="P19" s="35">
        <v>11436</v>
      </c>
      <c r="Q19" s="35">
        <v>39254</v>
      </c>
      <c r="R19" s="35">
        <v>48089</v>
      </c>
      <c r="S19" s="35">
        <v>106279</v>
      </c>
      <c r="T19" s="35">
        <v>136982</v>
      </c>
      <c r="U19" s="35">
        <v>239861</v>
      </c>
      <c r="V19" s="35">
        <v>162697</v>
      </c>
      <c r="W19" s="35">
        <v>215710.01175996353</v>
      </c>
      <c r="X19" s="35">
        <v>228206.98824003647</v>
      </c>
      <c r="Y19" s="35">
        <v>421924.00000000006</v>
      </c>
      <c r="Z19" s="35">
        <v>151620</v>
      </c>
      <c r="AA19" s="35">
        <v>46553</v>
      </c>
      <c r="AB19" s="35">
        <v>38531.3542930357</v>
      </c>
      <c r="AC19" s="35">
        <v>62628.440356740997</v>
      </c>
      <c r="AD19" s="35">
        <v>29526.059643258999</v>
      </c>
      <c r="AE19" s="35">
        <v>51816</v>
      </c>
      <c r="AF19" s="35">
        <v>93344.794854707099</v>
      </c>
      <c r="AG19" s="35">
        <v>76860.865304717212</v>
      </c>
      <c r="AK19" s="85"/>
    </row>
    <row r="20" spans="1:37" s="39" customFormat="1" ht="18" outlineLevel="1" x14ac:dyDescent="0.25">
      <c r="A20" s="81"/>
      <c r="B20" s="7" t="s">
        <v>351</v>
      </c>
      <c r="C20" s="7" t="s">
        <v>369</v>
      </c>
      <c r="E20" s="35">
        <v>35541</v>
      </c>
      <c r="F20" s="35">
        <v>45228</v>
      </c>
      <c r="G20" s="35">
        <f>SUM(O20:R20)</f>
        <v>125216</v>
      </c>
      <c r="H20" s="35">
        <f>SUM(S20:V20)</f>
        <v>194742.64067845896</v>
      </c>
      <c r="I20" s="35">
        <f>SUM(W20:Z20)</f>
        <v>235920.97247855557</v>
      </c>
      <c r="J20" s="35">
        <f>SUM(AA20:AD20)</f>
        <v>389720</v>
      </c>
      <c r="M20" s="60"/>
      <c r="O20" s="35">
        <v>24970</v>
      </c>
      <c r="P20" s="35">
        <v>23774</v>
      </c>
      <c r="Q20" s="35">
        <v>45000</v>
      </c>
      <c r="R20" s="35">
        <v>31472</v>
      </c>
      <c r="S20" s="35">
        <v>33687</v>
      </c>
      <c r="T20" s="35">
        <v>70987</v>
      </c>
      <c r="U20" s="35">
        <v>41287.732678458982</v>
      </c>
      <c r="V20" s="35">
        <v>48780.907999999996</v>
      </c>
      <c r="W20" s="35">
        <v>11998</v>
      </c>
      <c r="X20" s="35">
        <v>12385.313</v>
      </c>
      <c r="Y20" s="35">
        <v>115773.5338576556</v>
      </c>
      <c r="Z20" s="35">
        <v>95764.125620899998</v>
      </c>
      <c r="AA20" s="35">
        <v>75669</v>
      </c>
      <c r="AB20" s="35">
        <v>92272</v>
      </c>
      <c r="AC20" s="35">
        <v>125667.584726015</v>
      </c>
      <c r="AD20" s="35">
        <v>96111.415273984996</v>
      </c>
      <c r="AE20" s="35">
        <v>46329</v>
      </c>
      <c r="AF20" s="35">
        <v>224000.93608295301</v>
      </c>
      <c r="AG20" s="35">
        <v>75675.813175081974</v>
      </c>
      <c r="AK20" s="85"/>
    </row>
    <row r="21" spans="1:37" s="39" customFormat="1" ht="18" outlineLevel="1" x14ac:dyDescent="0.25">
      <c r="A21" s="81"/>
      <c r="B21" s="11" t="s">
        <v>63</v>
      </c>
      <c r="C21" s="11" t="s">
        <v>250</v>
      </c>
      <c r="D21" s="42"/>
      <c r="E21" s="43">
        <v>110</v>
      </c>
      <c r="F21" s="43">
        <v>0</v>
      </c>
      <c r="G21" s="43">
        <f>SUM(O21:R21)</f>
        <v>410</v>
      </c>
      <c r="H21" s="43">
        <f>SUM(S21:V21)</f>
        <v>1138</v>
      </c>
      <c r="I21" s="43">
        <f>SUM(W21:Z21)</f>
        <v>4912</v>
      </c>
      <c r="J21" s="43">
        <f>SUM(AA21:AD21)</f>
        <v>8945</v>
      </c>
      <c r="K21" s="45"/>
      <c r="L21" s="45"/>
      <c r="M21" s="60"/>
      <c r="O21" s="43">
        <v>11</v>
      </c>
      <c r="P21" s="43">
        <v>0</v>
      </c>
      <c r="Q21" s="43">
        <v>169</v>
      </c>
      <c r="R21" s="43">
        <v>230</v>
      </c>
      <c r="S21" s="43">
        <v>73</v>
      </c>
      <c r="T21" s="43">
        <v>98</v>
      </c>
      <c r="U21" s="43">
        <v>332</v>
      </c>
      <c r="V21" s="43">
        <v>635</v>
      </c>
      <c r="W21" s="43">
        <v>599</v>
      </c>
      <c r="X21" s="43">
        <v>436</v>
      </c>
      <c r="Y21" s="43">
        <v>784</v>
      </c>
      <c r="Z21" s="43">
        <v>3093</v>
      </c>
      <c r="AA21" s="43">
        <v>4615</v>
      </c>
      <c r="AB21" s="43">
        <v>5066</v>
      </c>
      <c r="AC21" s="43">
        <v>3627.4</v>
      </c>
      <c r="AD21" s="43">
        <v>-4363.3999999999996</v>
      </c>
      <c r="AE21" s="43">
        <v>0</v>
      </c>
      <c r="AF21" s="43">
        <v>0</v>
      </c>
      <c r="AG21" s="43">
        <v>868.97500000000582</v>
      </c>
      <c r="AH21" s="45"/>
      <c r="AI21" s="45"/>
      <c r="AK21" s="85"/>
    </row>
    <row r="22" spans="1:37" s="39" customFormat="1" ht="18" outlineLevel="1" x14ac:dyDescent="0.25">
      <c r="A22" s="81"/>
      <c r="B22" s="5" t="s">
        <v>114</v>
      </c>
      <c r="C22" s="5" t="s">
        <v>307</v>
      </c>
      <c r="D22" s="46"/>
      <c r="E22" s="37">
        <f t="shared" ref="E22:J22" si="2">SUM(E19:E21)</f>
        <v>37446</v>
      </c>
      <c r="F22" s="37">
        <f t="shared" si="2"/>
        <v>48065</v>
      </c>
      <c r="G22" s="37">
        <f t="shared" si="2"/>
        <v>226905</v>
      </c>
      <c r="H22" s="37">
        <f t="shared" si="2"/>
        <v>841699.64067845896</v>
      </c>
      <c r="I22" s="37">
        <f t="shared" si="2"/>
        <v>1258293.9724785555</v>
      </c>
      <c r="J22" s="37">
        <f t="shared" si="2"/>
        <v>575903.85429303569</v>
      </c>
      <c r="K22" s="36">
        <f>I22/H22-1</f>
        <v>0.4949441720853025</v>
      </c>
      <c r="L22" s="36">
        <f>J22/I22-1</f>
        <v>-0.54231374631904583</v>
      </c>
      <c r="M22" s="60"/>
      <c r="O22" s="37">
        <f t="shared" ref="O22:W22" si="3">SUM(O19:O21)</f>
        <v>27481</v>
      </c>
      <c r="P22" s="37">
        <f t="shared" si="3"/>
        <v>35210</v>
      </c>
      <c r="Q22" s="37">
        <f t="shared" si="3"/>
        <v>84423</v>
      </c>
      <c r="R22" s="37">
        <f t="shared" si="3"/>
        <v>79791</v>
      </c>
      <c r="S22" s="37">
        <f t="shared" si="3"/>
        <v>140039</v>
      </c>
      <c r="T22" s="37">
        <f t="shared" si="3"/>
        <v>208067</v>
      </c>
      <c r="U22" s="37">
        <f t="shared" si="3"/>
        <v>281480.73267845897</v>
      </c>
      <c r="V22" s="37">
        <f t="shared" si="3"/>
        <v>212112.908</v>
      </c>
      <c r="W22" s="37">
        <f t="shared" si="3"/>
        <v>228307.01175996353</v>
      </c>
      <c r="X22" s="37">
        <v>241028.30124003647</v>
      </c>
      <c r="Y22" s="37">
        <f t="shared" ref="Y22:AE22" si="4">SUM(Y19:Y21)</f>
        <v>538481.53385765571</v>
      </c>
      <c r="Z22" s="37">
        <f t="shared" si="4"/>
        <v>250477.12562090001</v>
      </c>
      <c r="AA22" s="37">
        <f t="shared" si="4"/>
        <v>126837</v>
      </c>
      <c r="AB22" s="37">
        <f t="shared" si="4"/>
        <v>135869.35429303569</v>
      </c>
      <c r="AC22" s="37">
        <f t="shared" si="4"/>
        <v>191923.425082756</v>
      </c>
      <c r="AD22" s="37">
        <f t="shared" si="4"/>
        <v>121274.074917244</v>
      </c>
      <c r="AE22" s="37">
        <f t="shared" si="4"/>
        <v>98145</v>
      </c>
      <c r="AF22" s="37">
        <f t="shared" ref="AF22:AG22" si="5">SUM(AF19:AF21)</f>
        <v>317345.73093766009</v>
      </c>
      <c r="AG22" s="37">
        <f t="shared" si="5"/>
        <v>153405.65347979919</v>
      </c>
      <c r="AH22" s="36">
        <f>AG22/AC22-1</f>
        <v>-0.20069343586562305</v>
      </c>
      <c r="AI22" s="36">
        <f>AG22/AF22-1</f>
        <v>-0.51659770866766608</v>
      </c>
    </row>
    <row r="23" spans="1:37" s="39" customFormat="1" ht="18" outlineLevel="1" x14ac:dyDescent="0.25">
      <c r="A23" s="81"/>
      <c r="B23" s="67" t="s">
        <v>156</v>
      </c>
      <c r="C23" s="67" t="s">
        <v>308</v>
      </c>
      <c r="D23" s="70"/>
      <c r="E23" s="49">
        <f t="shared" ref="E23:J23" si="6">E22/12</f>
        <v>3120.5</v>
      </c>
      <c r="F23" s="49">
        <f t="shared" si="6"/>
        <v>4005.4166666666665</v>
      </c>
      <c r="G23" s="49">
        <f t="shared" si="6"/>
        <v>18908.75</v>
      </c>
      <c r="H23" s="49">
        <f t="shared" si="6"/>
        <v>70141.636723204909</v>
      </c>
      <c r="I23" s="49">
        <f t="shared" si="6"/>
        <v>104857.83103987963</v>
      </c>
      <c r="J23" s="49">
        <f t="shared" si="6"/>
        <v>47991.987857752974</v>
      </c>
      <c r="K23" s="66">
        <f>I23/H23-1</f>
        <v>0.49494417208530272</v>
      </c>
      <c r="L23" s="66">
        <f>J23/I23-1</f>
        <v>-0.54231374631904594</v>
      </c>
      <c r="M23" s="69"/>
      <c r="N23" s="68"/>
      <c r="O23" s="49">
        <f t="shared" ref="O23:W23" si="7">O22/3</f>
        <v>9160.3333333333339</v>
      </c>
      <c r="P23" s="49">
        <f t="shared" si="7"/>
        <v>11736.666666666666</v>
      </c>
      <c r="Q23" s="49">
        <f t="shared" si="7"/>
        <v>28141</v>
      </c>
      <c r="R23" s="49">
        <f t="shared" si="7"/>
        <v>26597</v>
      </c>
      <c r="S23" s="49">
        <f t="shared" si="7"/>
        <v>46679.666666666664</v>
      </c>
      <c r="T23" s="49">
        <f t="shared" si="7"/>
        <v>69355.666666666672</v>
      </c>
      <c r="U23" s="49">
        <f t="shared" si="7"/>
        <v>93826.910892819651</v>
      </c>
      <c r="V23" s="49">
        <f t="shared" si="7"/>
        <v>70704.30266666667</v>
      </c>
      <c r="W23" s="49">
        <f t="shared" si="7"/>
        <v>76102.33725332118</v>
      </c>
      <c r="X23" s="49">
        <v>80342.767080012156</v>
      </c>
      <c r="Y23" s="49">
        <f t="shared" ref="Y23:AE23" si="8">Y22/3</f>
        <v>179493.84461921858</v>
      </c>
      <c r="Z23" s="49">
        <f t="shared" si="8"/>
        <v>83492.375206966666</v>
      </c>
      <c r="AA23" s="49">
        <f t="shared" si="8"/>
        <v>42279</v>
      </c>
      <c r="AB23" s="49">
        <f t="shared" si="8"/>
        <v>45289.784764345233</v>
      </c>
      <c r="AC23" s="49">
        <f t="shared" si="8"/>
        <v>63974.475027585337</v>
      </c>
      <c r="AD23" s="49">
        <f t="shared" si="8"/>
        <v>40424.691639081335</v>
      </c>
      <c r="AE23" s="49">
        <f t="shared" si="8"/>
        <v>32715</v>
      </c>
      <c r="AF23" s="49">
        <f t="shared" ref="AF23:AG23" si="9">AF22/3</f>
        <v>105781.91031255336</v>
      </c>
      <c r="AG23" s="49">
        <f t="shared" si="9"/>
        <v>51135.217826599728</v>
      </c>
      <c r="AH23" s="66">
        <f>AG23/AC23-1</f>
        <v>-0.20069343586562316</v>
      </c>
      <c r="AI23" s="66">
        <f>AG23/AF23-1</f>
        <v>-0.51659770866766608</v>
      </c>
      <c r="AJ23" s="68"/>
    </row>
    <row r="24" spans="1:37" s="39" customFormat="1" ht="18" outlineLevel="1" x14ac:dyDescent="0.25">
      <c r="A24" s="81"/>
      <c r="B24" s="11" t="s">
        <v>115</v>
      </c>
      <c r="C24" s="11" t="s">
        <v>272</v>
      </c>
      <c r="D24" s="42"/>
      <c r="E24" s="43">
        <v>0</v>
      </c>
      <c r="F24" s="43">
        <v>0</v>
      </c>
      <c r="G24" s="43">
        <v>0</v>
      </c>
      <c r="H24" s="43">
        <f>SUM(S24:V24)</f>
        <v>295578.55537000002</v>
      </c>
      <c r="I24" s="43">
        <f>SUM(W24:Z24)</f>
        <v>0</v>
      </c>
      <c r="J24" s="43">
        <f>SUM(AA24:AD24)</f>
        <v>0</v>
      </c>
      <c r="K24" s="45"/>
      <c r="L24" s="45"/>
      <c r="M24" s="60"/>
      <c r="O24" s="43">
        <v>0</v>
      </c>
      <c r="P24" s="43">
        <v>0</v>
      </c>
      <c r="Q24" s="43">
        <v>0</v>
      </c>
      <c r="R24" s="43">
        <v>0</v>
      </c>
      <c r="S24" s="43">
        <v>0</v>
      </c>
      <c r="T24" s="43">
        <v>0</v>
      </c>
      <c r="U24" s="43">
        <v>42317.096270000002</v>
      </c>
      <c r="V24" s="43">
        <v>253261.45910000001</v>
      </c>
      <c r="W24" s="43">
        <v>0</v>
      </c>
      <c r="X24" s="43">
        <v>0</v>
      </c>
      <c r="Y24" s="43">
        <v>0</v>
      </c>
      <c r="Z24" s="43">
        <v>0</v>
      </c>
      <c r="AA24" s="43">
        <v>0</v>
      </c>
      <c r="AB24" s="43">
        <v>0</v>
      </c>
      <c r="AC24" s="43">
        <v>0</v>
      </c>
      <c r="AD24" s="43">
        <v>0</v>
      </c>
      <c r="AE24" s="43">
        <v>0</v>
      </c>
      <c r="AF24" s="43">
        <v>0</v>
      </c>
      <c r="AG24" s="43">
        <v>65000</v>
      </c>
      <c r="AH24" s="45"/>
      <c r="AI24" s="45"/>
    </row>
    <row r="25" spans="1:37" s="39" customFormat="1" ht="18" outlineLevel="1" x14ac:dyDescent="0.25">
      <c r="A25" s="81"/>
      <c r="B25" s="5" t="s">
        <v>116</v>
      </c>
      <c r="C25" s="5" t="s">
        <v>273</v>
      </c>
      <c r="D25" s="46"/>
      <c r="E25" s="37">
        <f t="shared" ref="E25:J25" si="10">E24+E22</f>
        <v>37446</v>
      </c>
      <c r="F25" s="37">
        <f t="shared" si="10"/>
        <v>48065</v>
      </c>
      <c r="G25" s="37">
        <f t="shared" si="10"/>
        <v>226905</v>
      </c>
      <c r="H25" s="37">
        <f t="shared" si="10"/>
        <v>1137278.196048459</v>
      </c>
      <c r="I25" s="37">
        <f t="shared" si="10"/>
        <v>1258293.9724785555</v>
      </c>
      <c r="J25" s="37">
        <f t="shared" si="10"/>
        <v>575903.85429303569</v>
      </c>
      <c r="K25" s="36">
        <f>I25/H25-1</f>
        <v>0.10640824457074172</v>
      </c>
      <c r="L25" s="36">
        <f>J25/I25-1</f>
        <v>-0.54231374631904583</v>
      </c>
      <c r="M25" s="60"/>
      <c r="O25" s="37">
        <f t="shared" ref="O25:Y25" si="11">O24+O22</f>
        <v>27481</v>
      </c>
      <c r="P25" s="37">
        <f t="shared" si="11"/>
        <v>35210</v>
      </c>
      <c r="Q25" s="37">
        <f t="shared" si="11"/>
        <v>84423</v>
      </c>
      <c r="R25" s="37">
        <f t="shared" si="11"/>
        <v>79791</v>
      </c>
      <c r="S25" s="37">
        <f t="shared" si="11"/>
        <v>140039</v>
      </c>
      <c r="T25" s="37">
        <f t="shared" si="11"/>
        <v>208067</v>
      </c>
      <c r="U25" s="37">
        <f t="shared" si="11"/>
        <v>323797.82894845895</v>
      </c>
      <c r="V25" s="37">
        <f t="shared" si="11"/>
        <v>465374.36710000003</v>
      </c>
      <c r="W25" s="37">
        <f t="shared" si="11"/>
        <v>228307.01175996353</v>
      </c>
      <c r="X25" s="37">
        <v>241028.30124003647</v>
      </c>
      <c r="Y25" s="37">
        <f t="shared" si="11"/>
        <v>538481.53385765571</v>
      </c>
      <c r="Z25" s="37">
        <f t="shared" ref="Z25:AC25" si="12">Z24+Z22</f>
        <v>250477.12562090001</v>
      </c>
      <c r="AA25" s="37">
        <f t="shared" si="12"/>
        <v>126837</v>
      </c>
      <c r="AB25" s="37">
        <f t="shared" si="12"/>
        <v>135869.35429303569</v>
      </c>
      <c r="AC25" s="37">
        <f t="shared" si="12"/>
        <v>191923.425082756</v>
      </c>
      <c r="AD25" s="37">
        <f t="shared" ref="AD25:AE25" si="13">AD24+AD22</f>
        <v>121274.074917244</v>
      </c>
      <c r="AE25" s="37">
        <f t="shared" si="13"/>
        <v>98145</v>
      </c>
      <c r="AF25" s="37">
        <f t="shared" ref="AF25:AG25" si="14">AF24+AF22</f>
        <v>317345.73093766009</v>
      </c>
      <c r="AG25" s="37">
        <f t="shared" si="14"/>
        <v>218405.65347979919</v>
      </c>
      <c r="AH25" s="36">
        <f>AG25/AC25-1</f>
        <v>0.13798330446439366</v>
      </c>
      <c r="AI25" s="36">
        <f>AG25/AF25-1</f>
        <v>-0.31177377797244377</v>
      </c>
    </row>
    <row r="26" spans="1:37" s="39" customFormat="1" ht="18" outlineLevel="1" x14ac:dyDescent="0.25">
      <c r="A26" s="81"/>
      <c r="B26" s="67" t="s">
        <v>157</v>
      </c>
      <c r="C26" s="67" t="s">
        <v>274</v>
      </c>
      <c r="D26" s="46"/>
      <c r="E26" s="49">
        <f t="shared" ref="E26:J26" si="15">E25/12</f>
        <v>3120.5</v>
      </c>
      <c r="F26" s="49">
        <f t="shared" si="15"/>
        <v>4005.4166666666665</v>
      </c>
      <c r="G26" s="49">
        <f t="shared" si="15"/>
        <v>18908.75</v>
      </c>
      <c r="H26" s="49">
        <f t="shared" si="15"/>
        <v>94773.183004038248</v>
      </c>
      <c r="I26" s="49">
        <f t="shared" si="15"/>
        <v>104857.83103987963</v>
      </c>
      <c r="J26" s="49">
        <f t="shared" si="15"/>
        <v>47991.987857752974</v>
      </c>
      <c r="K26" s="66">
        <f>I26/H26-1</f>
        <v>0.10640824457074194</v>
      </c>
      <c r="L26" s="66">
        <f>J26/I26-1</f>
        <v>-0.54231374631904594</v>
      </c>
      <c r="M26" s="60"/>
      <c r="O26" s="49">
        <f t="shared" ref="O26:V26" si="16">O25/3</f>
        <v>9160.3333333333339</v>
      </c>
      <c r="P26" s="49">
        <f t="shared" si="16"/>
        <v>11736.666666666666</v>
      </c>
      <c r="Q26" s="49">
        <f t="shared" si="16"/>
        <v>28141</v>
      </c>
      <c r="R26" s="49">
        <f t="shared" si="16"/>
        <v>26597</v>
      </c>
      <c r="S26" s="49">
        <f t="shared" si="16"/>
        <v>46679.666666666664</v>
      </c>
      <c r="T26" s="49">
        <f t="shared" si="16"/>
        <v>69355.666666666672</v>
      </c>
      <c r="U26" s="49">
        <f t="shared" si="16"/>
        <v>107932.60964948632</v>
      </c>
      <c r="V26" s="49">
        <f t="shared" si="16"/>
        <v>155124.78903333333</v>
      </c>
      <c r="W26" s="49">
        <f t="shared" ref="W26:AC26" si="17">W25/3</f>
        <v>76102.33725332118</v>
      </c>
      <c r="X26" s="49">
        <f t="shared" si="17"/>
        <v>80342.767080012156</v>
      </c>
      <c r="Y26" s="49">
        <f t="shared" si="17"/>
        <v>179493.84461921858</v>
      </c>
      <c r="Z26" s="49">
        <f t="shared" si="17"/>
        <v>83492.375206966666</v>
      </c>
      <c r="AA26" s="49">
        <f t="shared" si="17"/>
        <v>42279</v>
      </c>
      <c r="AB26" s="49">
        <f t="shared" si="17"/>
        <v>45289.784764345233</v>
      </c>
      <c r="AC26" s="49">
        <f t="shared" si="17"/>
        <v>63974.475027585337</v>
      </c>
      <c r="AD26" s="49">
        <f t="shared" ref="AD26:AE26" si="18">AD25/3</f>
        <v>40424.691639081335</v>
      </c>
      <c r="AE26" s="49">
        <f t="shared" si="18"/>
        <v>32715</v>
      </c>
      <c r="AF26" s="49">
        <f t="shared" ref="AF26:AG26" si="19">AF25/3</f>
        <v>105781.91031255336</v>
      </c>
      <c r="AG26" s="49">
        <f t="shared" si="19"/>
        <v>72801.884493266392</v>
      </c>
      <c r="AH26" s="66">
        <f>AG26/AC26-1</f>
        <v>0.13798330446439366</v>
      </c>
      <c r="AI26" s="66">
        <f>AG26/AF26-1</f>
        <v>-0.31177377797244377</v>
      </c>
    </row>
    <row r="27" spans="1:37" s="39" customFormat="1" x14ac:dyDescent="0.25">
      <c r="A27" s="82" t="s">
        <v>148</v>
      </c>
      <c r="M27" s="60"/>
    </row>
    <row r="28" spans="1:37" s="39" customFormat="1" ht="18" x14ac:dyDescent="0.25">
      <c r="A28" s="81"/>
      <c r="B28" s="8" t="s">
        <v>399</v>
      </c>
      <c r="C28" s="8" t="s">
        <v>401</v>
      </c>
      <c r="D28" s="47"/>
      <c r="E28" s="47"/>
      <c r="F28" s="47"/>
      <c r="G28" s="47"/>
      <c r="H28" s="47"/>
      <c r="I28" s="47"/>
      <c r="J28" s="47"/>
      <c r="K28" s="47"/>
      <c r="L28" s="47"/>
      <c r="M28" s="60"/>
      <c r="O28" s="47"/>
      <c r="P28" s="47"/>
      <c r="Q28" s="47"/>
      <c r="R28" s="47"/>
      <c r="S28" s="47"/>
      <c r="T28" s="47"/>
      <c r="U28" s="47"/>
      <c r="V28" s="47"/>
      <c r="W28" s="47"/>
      <c r="X28" s="47"/>
      <c r="Y28" s="47"/>
      <c r="Z28" s="47"/>
      <c r="AA28" s="47"/>
      <c r="AB28" s="47"/>
      <c r="AC28" s="47"/>
      <c r="AD28" s="47"/>
      <c r="AE28" s="47"/>
      <c r="AF28" s="47"/>
      <c r="AG28" s="47"/>
      <c r="AH28" s="47"/>
      <c r="AI28" s="47"/>
    </row>
    <row r="29" spans="1:37" s="39" customFormat="1" ht="6.75" customHeight="1" outlineLevel="1" x14ac:dyDescent="0.25">
      <c r="A29" s="81"/>
      <c r="M29" s="60"/>
    </row>
    <row r="30" spans="1:37" s="39" customFormat="1" ht="18" outlineLevel="1" x14ac:dyDescent="0.25">
      <c r="A30" s="81"/>
      <c r="B30" s="5" t="s">
        <v>14</v>
      </c>
      <c r="C30" s="5" t="s">
        <v>187</v>
      </c>
      <c r="D30" s="48"/>
      <c r="E30" s="37">
        <v>6320</v>
      </c>
      <c r="F30" s="37">
        <v>9164</v>
      </c>
      <c r="G30" s="37">
        <v>17533</v>
      </c>
      <c r="H30" s="37">
        <f t="shared" ref="H30:H34" si="20">SUM(S30:V30)</f>
        <v>58064.225367912382</v>
      </c>
      <c r="I30" s="37">
        <f t="shared" ref="I30:I37" si="21">SUM(W30:Z30)</f>
        <v>148592</v>
      </c>
      <c r="J30" s="37">
        <f>SUM(AA30:AD30)</f>
        <v>163283.19999999995</v>
      </c>
      <c r="K30" s="36"/>
      <c r="L30" s="36"/>
      <c r="M30" s="60"/>
      <c r="O30" s="37">
        <f>'DRE - Income Statement'!O41</f>
        <v>3048</v>
      </c>
      <c r="P30" s="37">
        <f>'DRE - Income Statement'!P41</f>
        <v>3422</v>
      </c>
      <c r="Q30" s="37">
        <f>'DRE - Income Statement'!Q41</f>
        <v>3933.8117800000005</v>
      </c>
      <c r="R30" s="37">
        <f>'DRE - Income Statement'!R41</f>
        <v>7129.1882200000036</v>
      </c>
      <c r="S30" s="37">
        <f>'DRE - Income Statement'!S41</f>
        <v>7665</v>
      </c>
      <c r="T30" s="37">
        <f>'DRE - Income Statement'!T41</f>
        <v>10804</v>
      </c>
      <c r="U30" s="37">
        <f>'DRE - Income Statement'!U41</f>
        <v>13676</v>
      </c>
      <c r="V30" s="37">
        <f>'DRE - Income Statement'!V41</f>
        <v>25919.225367912379</v>
      </c>
      <c r="W30" s="37">
        <f>'DRE - Income Statement'!W41</f>
        <v>27965</v>
      </c>
      <c r="X30" s="37">
        <v>30837</v>
      </c>
      <c r="Y30" s="37">
        <f>'DRE - Income Statement'!Y41</f>
        <v>38835</v>
      </c>
      <c r="Z30" s="37">
        <v>50955</v>
      </c>
      <c r="AA30" s="37">
        <v>26222</v>
      </c>
      <c r="AB30" s="37">
        <v>43435</v>
      </c>
      <c r="AC30" s="37">
        <v>47873.599999999977</v>
      </c>
      <c r="AD30" s="37">
        <v>45752.599999999977</v>
      </c>
      <c r="AE30" s="37">
        <v>53114</v>
      </c>
      <c r="AF30" s="37">
        <v>50394.917447484244</v>
      </c>
      <c r="AG30" s="37">
        <v>60839.093936685531</v>
      </c>
      <c r="AH30" s="36"/>
      <c r="AI30" s="36"/>
    </row>
    <row r="31" spans="1:37" s="39" customFormat="1" ht="18" outlineLevel="1" x14ac:dyDescent="0.25">
      <c r="A31" s="81"/>
      <c r="B31" s="17" t="s">
        <v>103</v>
      </c>
      <c r="C31" s="17" t="s">
        <v>275</v>
      </c>
      <c r="E31" s="35">
        <v>3334</v>
      </c>
      <c r="F31" s="35">
        <v>5924</v>
      </c>
      <c r="G31" s="35">
        <v>6946</v>
      </c>
      <c r="H31" s="35">
        <f t="shared" si="20"/>
        <v>31524.774632087621</v>
      </c>
      <c r="I31" s="35">
        <f t="shared" si="21"/>
        <v>19399</v>
      </c>
      <c r="J31" s="35">
        <f t="shared" ref="J31:J40" si="22">SUM(AA31:AD31)</f>
        <v>35552</v>
      </c>
      <c r="M31" s="60"/>
      <c r="O31" s="35">
        <v>1878</v>
      </c>
      <c r="P31" s="35">
        <v>1787</v>
      </c>
      <c r="Q31" s="35">
        <v>2386.8052000000002</v>
      </c>
      <c r="R31" s="35">
        <v>894.1947999999993</v>
      </c>
      <c r="S31" s="35">
        <v>4313</v>
      </c>
      <c r="T31" s="35">
        <v>6447</v>
      </c>
      <c r="U31" s="35">
        <v>7253</v>
      </c>
      <c r="V31" s="65">
        <v>13511.774632087621</v>
      </c>
      <c r="W31" s="65">
        <v>8852</v>
      </c>
      <c r="X31" s="65">
        <v>9709</v>
      </c>
      <c r="Y31" s="65">
        <v>11840</v>
      </c>
      <c r="Z31" s="65">
        <v>-11002</v>
      </c>
      <c r="AA31" s="65">
        <v>4510</v>
      </c>
      <c r="AB31" s="65">
        <v>4290</v>
      </c>
      <c r="AC31" s="65">
        <v>15078</v>
      </c>
      <c r="AD31" s="65">
        <v>11674</v>
      </c>
      <c r="AE31" s="65">
        <v>15035</v>
      </c>
      <c r="AF31" s="65">
        <v>14322</v>
      </c>
      <c r="AG31" s="65">
        <v>13591.383000000002</v>
      </c>
    </row>
    <row r="32" spans="1:37" s="39" customFormat="1" ht="18" outlineLevel="1" x14ac:dyDescent="0.25">
      <c r="A32" s="81"/>
      <c r="B32" s="17" t="s">
        <v>104</v>
      </c>
      <c r="C32" s="17" t="s">
        <v>276</v>
      </c>
      <c r="E32" s="35">
        <v>5473</v>
      </c>
      <c r="F32" s="35">
        <v>7813</v>
      </c>
      <c r="G32" s="35">
        <v>16200</v>
      </c>
      <c r="H32" s="35">
        <f t="shared" si="20"/>
        <v>67544</v>
      </c>
      <c r="I32" s="35">
        <f t="shared" si="21"/>
        <v>279296</v>
      </c>
      <c r="J32" s="35">
        <f t="shared" si="22"/>
        <v>355307.4</v>
      </c>
      <c r="M32" s="60"/>
      <c r="O32" s="35">
        <v>2498</v>
      </c>
      <c r="P32" s="35">
        <v>3010</v>
      </c>
      <c r="Q32" s="35">
        <v>4239.9753400000009</v>
      </c>
      <c r="R32" s="35">
        <v>6452.0246599999991</v>
      </c>
      <c r="S32" s="35">
        <v>7443</v>
      </c>
      <c r="T32" s="35">
        <v>10673</v>
      </c>
      <c r="U32" s="35">
        <v>16830</v>
      </c>
      <c r="V32" s="35">
        <v>32598</v>
      </c>
      <c r="W32" s="35">
        <v>64465</v>
      </c>
      <c r="X32" s="35">
        <v>63711</v>
      </c>
      <c r="Y32" s="35">
        <v>70442</v>
      </c>
      <c r="Z32" s="35">
        <v>80678</v>
      </c>
      <c r="AA32" s="35">
        <v>91020</v>
      </c>
      <c r="AB32" s="35">
        <v>89044</v>
      </c>
      <c r="AC32" s="35">
        <v>87767.000000000029</v>
      </c>
      <c r="AD32" s="35">
        <v>87476.400000000023</v>
      </c>
      <c r="AE32" s="35">
        <v>87202</v>
      </c>
      <c r="AF32" s="35">
        <v>104038.644</v>
      </c>
      <c r="AG32" s="35">
        <v>108721.95599999998</v>
      </c>
    </row>
    <row r="33" spans="1:37" s="39" customFormat="1" ht="18" outlineLevel="1" x14ac:dyDescent="0.25">
      <c r="A33" s="81"/>
      <c r="B33" s="17" t="s">
        <v>91</v>
      </c>
      <c r="C33" s="17" t="s">
        <v>277</v>
      </c>
      <c r="E33" s="35">
        <v>-563</v>
      </c>
      <c r="F33" s="35">
        <v>-296</v>
      </c>
      <c r="G33" s="35">
        <v>-859</v>
      </c>
      <c r="H33" s="35">
        <f t="shared" si="20"/>
        <v>-27692</v>
      </c>
      <c r="I33" s="35">
        <f t="shared" si="21"/>
        <v>-126974</v>
      </c>
      <c r="J33" s="35">
        <f t="shared" si="22"/>
        <v>-99055.6</v>
      </c>
      <c r="M33" s="60"/>
      <c r="O33" s="35">
        <v>-125</v>
      </c>
      <c r="P33" s="35">
        <v>-33</v>
      </c>
      <c r="Q33" s="35">
        <v>-70.755319999999998</v>
      </c>
      <c r="R33" s="35">
        <v>-630.24468000000002</v>
      </c>
      <c r="S33" s="35">
        <v>-447</v>
      </c>
      <c r="T33" s="35">
        <v>-567</v>
      </c>
      <c r="U33" s="35">
        <v>-9378</v>
      </c>
      <c r="V33" s="35">
        <v>-17300</v>
      </c>
      <c r="W33" s="35">
        <v>-38592</v>
      </c>
      <c r="X33" s="35">
        <v>-29335</v>
      </c>
      <c r="Y33" s="35">
        <v>-31475</v>
      </c>
      <c r="Z33" s="35">
        <v>-27572</v>
      </c>
      <c r="AA33" s="35">
        <v>-28107</v>
      </c>
      <c r="AB33" s="35">
        <v>-25253</v>
      </c>
      <c r="AC33" s="35">
        <v>-23878.600000000006</v>
      </c>
      <c r="AD33" s="35">
        <v>-21817</v>
      </c>
      <c r="AE33" s="35">
        <v>-21400</v>
      </c>
      <c r="AF33" s="35">
        <v>-31689.232999999993</v>
      </c>
      <c r="AG33" s="35">
        <v>-29504.135999999999</v>
      </c>
    </row>
    <row r="34" spans="1:37" s="39" customFormat="1" ht="18" outlineLevel="1" x14ac:dyDescent="0.25">
      <c r="A34" s="81"/>
      <c r="B34" s="11" t="s">
        <v>44</v>
      </c>
      <c r="C34" s="11" t="s">
        <v>278</v>
      </c>
      <c r="D34" s="42"/>
      <c r="E34" s="43">
        <v>4557</v>
      </c>
      <c r="F34" s="43">
        <v>7001</v>
      </c>
      <c r="G34" s="43">
        <v>16127</v>
      </c>
      <c r="H34" s="43">
        <f t="shared" si="20"/>
        <v>54614</v>
      </c>
      <c r="I34" s="43">
        <f t="shared" si="21"/>
        <v>137167</v>
      </c>
      <c r="J34" s="43">
        <f t="shared" si="22"/>
        <v>185652</v>
      </c>
      <c r="K34" s="45"/>
      <c r="L34" s="45"/>
      <c r="M34" s="60"/>
      <c r="O34" s="43">
        <v>2384</v>
      </c>
      <c r="P34" s="43">
        <v>3244</v>
      </c>
      <c r="Q34" s="43">
        <v>4051</v>
      </c>
      <c r="R34" s="43">
        <v>6448.0000000000018</v>
      </c>
      <c r="S34" s="43">
        <v>8082</v>
      </c>
      <c r="T34" s="43">
        <v>11248</v>
      </c>
      <c r="U34" s="43">
        <v>11751</v>
      </c>
      <c r="V34" s="43">
        <v>23533</v>
      </c>
      <c r="W34" s="43">
        <v>27027</v>
      </c>
      <c r="X34" s="43">
        <v>31014</v>
      </c>
      <c r="Y34" s="43">
        <v>36068</v>
      </c>
      <c r="Z34" s="43">
        <v>43058</v>
      </c>
      <c r="AA34" s="43">
        <v>41718</v>
      </c>
      <c r="AB34" s="43">
        <v>43989</v>
      </c>
      <c r="AC34" s="43">
        <v>47879</v>
      </c>
      <c r="AD34" s="43">
        <v>52066</v>
      </c>
      <c r="AE34" s="43">
        <v>44250</v>
      </c>
      <c r="AF34" s="43">
        <v>35248</v>
      </c>
      <c r="AG34" s="43">
        <v>42512</v>
      </c>
      <c r="AH34" s="45"/>
      <c r="AI34" s="45"/>
    </row>
    <row r="35" spans="1:37" s="39" customFormat="1" ht="18" outlineLevel="1" x14ac:dyDescent="0.25">
      <c r="A35" s="81"/>
      <c r="B35" s="5" t="s">
        <v>303</v>
      </c>
      <c r="C35" s="5" t="s">
        <v>303</v>
      </c>
      <c r="D35" s="48"/>
      <c r="E35" s="37">
        <f t="shared" ref="E35:J35" si="23">SUM(E27:E34)</f>
        <v>19121</v>
      </c>
      <c r="F35" s="37">
        <f t="shared" si="23"/>
        <v>29606</v>
      </c>
      <c r="G35" s="37">
        <f t="shared" si="23"/>
        <v>55947</v>
      </c>
      <c r="H35" s="37">
        <f t="shared" si="23"/>
        <v>184055</v>
      </c>
      <c r="I35" s="37">
        <f t="shared" si="23"/>
        <v>457480</v>
      </c>
      <c r="J35" s="37">
        <f t="shared" si="23"/>
        <v>640739</v>
      </c>
      <c r="K35" s="36"/>
      <c r="L35" s="36"/>
      <c r="M35" s="71"/>
      <c r="N35" s="48"/>
      <c r="O35" s="37">
        <f>SUM(O30:O34)</f>
        <v>9683</v>
      </c>
      <c r="P35" s="37">
        <f t="shared" ref="P35:AG35" si="24">SUM(P30:P34)</f>
        <v>11430</v>
      </c>
      <c r="Q35" s="37">
        <f t="shared" si="24"/>
        <v>14540.837000000001</v>
      </c>
      <c r="R35" s="37">
        <f t="shared" si="24"/>
        <v>20293.163000000004</v>
      </c>
      <c r="S35" s="37">
        <f t="shared" si="24"/>
        <v>27056</v>
      </c>
      <c r="T35" s="37">
        <f t="shared" si="24"/>
        <v>38605</v>
      </c>
      <c r="U35" s="37">
        <f t="shared" si="24"/>
        <v>40132</v>
      </c>
      <c r="V35" s="37">
        <f t="shared" si="24"/>
        <v>78262</v>
      </c>
      <c r="W35" s="37">
        <f t="shared" si="24"/>
        <v>89717</v>
      </c>
      <c r="X35" s="37">
        <f t="shared" si="24"/>
        <v>105936</v>
      </c>
      <c r="Y35" s="37">
        <f t="shared" si="24"/>
        <v>125710</v>
      </c>
      <c r="Z35" s="37">
        <f t="shared" si="24"/>
        <v>136117</v>
      </c>
      <c r="AA35" s="37">
        <f t="shared" si="24"/>
        <v>135363</v>
      </c>
      <c r="AB35" s="37">
        <f t="shared" si="24"/>
        <v>155505</v>
      </c>
      <c r="AC35" s="37">
        <f t="shared" si="24"/>
        <v>174719</v>
      </c>
      <c r="AD35" s="37">
        <f t="shared" si="24"/>
        <v>175152</v>
      </c>
      <c r="AE35" s="37">
        <f t="shared" si="24"/>
        <v>178201</v>
      </c>
      <c r="AF35" s="37">
        <f t="shared" si="24"/>
        <v>172314.32844748424</v>
      </c>
      <c r="AG35" s="37">
        <f t="shared" si="24"/>
        <v>196160.29693668551</v>
      </c>
      <c r="AH35" s="36">
        <f>AG35/AC35-1</f>
        <v>0.12271874802789351</v>
      </c>
      <c r="AI35" s="36">
        <f>AG35/AF35-1</f>
        <v>0.13838645169005059</v>
      </c>
    </row>
    <row r="36" spans="1:37" s="39" customFormat="1" ht="6" customHeight="1" outlineLevel="1" x14ac:dyDescent="0.25">
      <c r="A36" s="81"/>
      <c r="B36" s="7"/>
      <c r="C36" s="7"/>
      <c r="E36" s="10"/>
      <c r="F36" s="10"/>
      <c r="G36" s="10"/>
      <c r="H36" s="10"/>
      <c r="I36" s="10"/>
      <c r="J36" s="10"/>
      <c r="M36" s="60"/>
      <c r="O36" s="10"/>
      <c r="P36" s="10"/>
      <c r="Q36" s="10"/>
      <c r="R36" s="10"/>
      <c r="S36" s="10"/>
      <c r="T36" s="10"/>
      <c r="U36" s="10"/>
      <c r="V36" s="10"/>
      <c r="W36" s="10"/>
      <c r="X36" s="10"/>
      <c r="Y36" s="10"/>
      <c r="Z36" s="10"/>
      <c r="AA36" s="10"/>
      <c r="AB36" s="10"/>
      <c r="AC36" s="10"/>
      <c r="AD36" s="10"/>
      <c r="AE36" s="10"/>
      <c r="AF36" s="10"/>
      <c r="AG36" s="10"/>
    </row>
    <row r="37" spans="1:37" s="39" customFormat="1" ht="18" outlineLevel="1" x14ac:dyDescent="0.25">
      <c r="A37" s="81"/>
      <c r="B37" s="11" t="s">
        <v>102</v>
      </c>
      <c r="C37" s="11" t="s">
        <v>280</v>
      </c>
      <c r="D37" s="42"/>
      <c r="E37" s="43">
        <v>0</v>
      </c>
      <c r="F37" s="43">
        <v>0</v>
      </c>
      <c r="G37" s="43">
        <v>0</v>
      </c>
      <c r="H37" s="43">
        <f>SUM(S37:V37)</f>
        <v>12962</v>
      </c>
      <c r="I37" s="43">
        <f t="shared" si="21"/>
        <v>0</v>
      </c>
      <c r="J37" s="43">
        <f t="shared" si="22"/>
        <v>0</v>
      </c>
      <c r="K37" s="45"/>
      <c r="L37" s="45"/>
      <c r="M37" s="60"/>
      <c r="O37" s="43">
        <v>0</v>
      </c>
      <c r="P37" s="43">
        <v>0</v>
      </c>
      <c r="Q37" s="43">
        <v>0</v>
      </c>
      <c r="R37" s="43">
        <v>0</v>
      </c>
      <c r="S37" s="43">
        <v>0</v>
      </c>
      <c r="T37" s="43">
        <v>0</v>
      </c>
      <c r="U37" s="43">
        <v>12962</v>
      </c>
      <c r="V37" s="43">
        <v>0</v>
      </c>
      <c r="W37" s="43">
        <v>0</v>
      </c>
      <c r="X37" s="43">
        <v>0</v>
      </c>
      <c r="Y37" s="43">
        <v>0</v>
      </c>
      <c r="Z37" s="43">
        <v>0</v>
      </c>
      <c r="AA37" s="43">
        <v>0</v>
      </c>
      <c r="AB37" s="43">
        <v>0</v>
      </c>
      <c r="AC37" s="43">
        <v>0</v>
      </c>
      <c r="AD37" s="43">
        <v>0</v>
      </c>
      <c r="AE37" s="43">
        <v>0</v>
      </c>
      <c r="AF37" s="43">
        <v>0</v>
      </c>
      <c r="AG37" s="43">
        <v>2696</v>
      </c>
      <c r="AH37" s="45"/>
      <c r="AI37" s="45"/>
    </row>
    <row r="38" spans="1:37" s="39" customFormat="1" ht="18" outlineLevel="1" x14ac:dyDescent="0.25">
      <c r="A38" s="81"/>
      <c r="B38" s="5" t="s">
        <v>421</v>
      </c>
      <c r="C38" s="5" t="s">
        <v>303</v>
      </c>
      <c r="D38" s="48"/>
      <c r="E38" s="37">
        <f t="shared" ref="E38:J38" si="25">SUM(E30:E37)</f>
        <v>38242</v>
      </c>
      <c r="F38" s="37">
        <f t="shared" si="25"/>
        <v>59212</v>
      </c>
      <c r="G38" s="37">
        <f t="shared" si="25"/>
        <v>111894</v>
      </c>
      <c r="H38" s="37">
        <f t="shared" si="25"/>
        <v>381072</v>
      </c>
      <c r="I38" s="37">
        <f t="shared" si="25"/>
        <v>914960</v>
      </c>
      <c r="J38" s="37">
        <f t="shared" si="25"/>
        <v>1281478</v>
      </c>
      <c r="K38" s="36"/>
      <c r="L38" s="36"/>
      <c r="M38" s="71"/>
      <c r="N38" s="48"/>
      <c r="O38" s="37">
        <f>SUM(O35:O37)</f>
        <v>9683</v>
      </c>
      <c r="P38" s="37">
        <f t="shared" ref="P38:AG38" si="26">SUM(P35:P37)</f>
        <v>11430</v>
      </c>
      <c r="Q38" s="37">
        <f t="shared" si="26"/>
        <v>14540.837000000001</v>
      </c>
      <c r="R38" s="37">
        <f t="shared" si="26"/>
        <v>20293.163000000004</v>
      </c>
      <c r="S38" s="37">
        <f t="shared" si="26"/>
        <v>27056</v>
      </c>
      <c r="T38" s="37">
        <f t="shared" si="26"/>
        <v>38605</v>
      </c>
      <c r="U38" s="37">
        <f t="shared" si="26"/>
        <v>53094</v>
      </c>
      <c r="V38" s="37">
        <f t="shared" si="26"/>
        <v>78262</v>
      </c>
      <c r="W38" s="37">
        <f t="shared" si="26"/>
        <v>89717</v>
      </c>
      <c r="X38" s="37">
        <f t="shared" si="26"/>
        <v>105936</v>
      </c>
      <c r="Y38" s="37">
        <f t="shared" si="26"/>
        <v>125710</v>
      </c>
      <c r="Z38" s="37">
        <f t="shared" si="26"/>
        <v>136117</v>
      </c>
      <c r="AA38" s="37">
        <f t="shared" si="26"/>
        <v>135363</v>
      </c>
      <c r="AB38" s="37">
        <f t="shared" si="26"/>
        <v>155505</v>
      </c>
      <c r="AC38" s="37">
        <f t="shared" si="26"/>
        <v>174719</v>
      </c>
      <c r="AD38" s="37">
        <f t="shared" si="26"/>
        <v>175152</v>
      </c>
      <c r="AE38" s="37">
        <f t="shared" si="26"/>
        <v>178201</v>
      </c>
      <c r="AF38" s="37">
        <f t="shared" si="26"/>
        <v>172314.32844748424</v>
      </c>
      <c r="AG38" s="37">
        <f t="shared" si="26"/>
        <v>198856.29693668551</v>
      </c>
      <c r="AH38" s="36">
        <f>AG38/AC38-1</f>
        <v>0.13814923927383682</v>
      </c>
      <c r="AI38" s="36">
        <f>AG38/AF38-1</f>
        <v>0.15403227768891203</v>
      </c>
    </row>
    <row r="39" spans="1:37" s="39" customFormat="1" ht="6" customHeight="1" outlineLevel="1" x14ac:dyDescent="0.25">
      <c r="A39" s="81"/>
      <c r="B39" s="7"/>
      <c r="C39" s="7"/>
      <c r="E39" s="10"/>
      <c r="F39" s="10"/>
      <c r="G39" s="10"/>
      <c r="H39" s="10"/>
      <c r="I39" s="10"/>
      <c r="J39" s="10"/>
      <c r="M39" s="60"/>
      <c r="O39" s="10"/>
      <c r="P39" s="10"/>
      <c r="Q39" s="10"/>
      <c r="R39" s="10"/>
      <c r="S39" s="10"/>
      <c r="T39" s="10"/>
      <c r="U39" s="10"/>
      <c r="V39" s="10"/>
      <c r="W39" s="10"/>
      <c r="X39" s="10"/>
      <c r="Y39" s="10"/>
      <c r="Z39" s="10"/>
      <c r="AA39" s="10"/>
      <c r="AB39" s="10"/>
      <c r="AC39" s="10"/>
      <c r="AD39" s="10"/>
      <c r="AE39" s="10"/>
      <c r="AF39" s="10"/>
      <c r="AG39" s="10"/>
    </row>
    <row r="40" spans="1:37" s="39" customFormat="1" ht="18" outlineLevel="1" x14ac:dyDescent="0.25">
      <c r="A40" s="81"/>
      <c r="B40" s="17" t="s">
        <v>154</v>
      </c>
      <c r="C40" s="17" t="s">
        <v>279</v>
      </c>
      <c r="E40" s="35">
        <v>382</v>
      </c>
      <c r="F40" s="35">
        <v>439</v>
      </c>
      <c r="G40" s="35">
        <v>645</v>
      </c>
      <c r="H40" s="35">
        <f>SUM(S40:V40)</f>
        <v>-1440</v>
      </c>
      <c r="I40" s="35">
        <f>SUM(W40:Z40)</f>
        <v>-23029</v>
      </c>
      <c r="J40" s="35">
        <f t="shared" si="22"/>
        <v>-34836</v>
      </c>
      <c r="M40" s="60"/>
      <c r="O40" s="35">
        <v>0</v>
      </c>
      <c r="P40" s="35">
        <v>99</v>
      </c>
      <c r="Q40" s="35">
        <v>162</v>
      </c>
      <c r="R40" s="35">
        <v>384</v>
      </c>
      <c r="S40" s="35">
        <v>62</v>
      </c>
      <c r="T40" s="35">
        <v>-170</v>
      </c>
      <c r="U40" s="35">
        <v>-117</v>
      </c>
      <c r="V40" s="35">
        <v>-1215</v>
      </c>
      <c r="W40" s="35">
        <v>-2064</v>
      </c>
      <c r="X40" s="35">
        <v>-3182</v>
      </c>
      <c r="Y40" s="35">
        <v>-7787</v>
      </c>
      <c r="Z40" s="35">
        <v>-9996</v>
      </c>
      <c r="AA40" s="35">
        <v>-15492</v>
      </c>
      <c r="AB40" s="35">
        <v>-4769</v>
      </c>
      <c r="AC40" s="35">
        <v>-5964</v>
      </c>
      <c r="AD40" s="35">
        <v>-8611</v>
      </c>
      <c r="AE40" s="35">
        <v>-4910</v>
      </c>
      <c r="AF40" s="35">
        <v>-3961</v>
      </c>
      <c r="AG40" s="35">
        <v>-7669.5</v>
      </c>
      <c r="AH40" s="85"/>
      <c r="AI40" s="62"/>
    </row>
    <row r="41" spans="1:37" s="39" customFormat="1" ht="18" outlineLevel="1" x14ac:dyDescent="0.25">
      <c r="A41" s="81"/>
      <c r="B41" s="11" t="s">
        <v>422</v>
      </c>
      <c r="C41" s="11"/>
      <c r="D41" s="42"/>
      <c r="E41" s="43"/>
      <c r="F41" s="43"/>
      <c r="G41" s="43"/>
      <c r="H41" s="43"/>
      <c r="I41" s="43"/>
      <c r="J41" s="43"/>
      <c r="K41" s="45"/>
      <c r="L41" s="45"/>
      <c r="M41" s="60"/>
      <c r="O41" s="43"/>
      <c r="P41" s="43"/>
      <c r="Q41" s="43"/>
      <c r="R41" s="43"/>
      <c r="S41" s="43"/>
      <c r="T41" s="43"/>
      <c r="U41" s="43"/>
      <c r="V41" s="43"/>
      <c r="W41" s="43"/>
      <c r="X41" s="43"/>
      <c r="Y41" s="43"/>
      <c r="Z41" s="43"/>
      <c r="AA41" s="43"/>
      <c r="AB41" s="43"/>
      <c r="AC41" s="43"/>
      <c r="AD41" s="43"/>
      <c r="AE41" s="43"/>
      <c r="AF41" s="43">
        <v>-1125</v>
      </c>
      <c r="AG41" s="43">
        <v>-5370</v>
      </c>
      <c r="AH41" s="45"/>
      <c r="AI41" s="45"/>
      <c r="AK41" s="104"/>
    </row>
    <row r="42" spans="1:37" s="39" customFormat="1" ht="18" outlineLevel="1" x14ac:dyDescent="0.25">
      <c r="A42" s="81"/>
      <c r="B42" s="5" t="s">
        <v>399</v>
      </c>
      <c r="C42" s="5" t="s">
        <v>401</v>
      </c>
      <c r="D42" s="46"/>
      <c r="E42" s="37">
        <f t="shared" ref="E42:J42" si="27">SUM(E38:E40)</f>
        <v>38624</v>
      </c>
      <c r="F42" s="37">
        <f t="shared" si="27"/>
        <v>59651</v>
      </c>
      <c r="G42" s="37">
        <f t="shared" si="27"/>
        <v>112539</v>
      </c>
      <c r="H42" s="37">
        <f t="shared" si="27"/>
        <v>379632</v>
      </c>
      <c r="I42" s="37">
        <f t="shared" si="27"/>
        <v>891931</v>
      </c>
      <c r="J42" s="37">
        <f t="shared" si="27"/>
        <v>1246642</v>
      </c>
      <c r="K42" s="36">
        <f>I42/H42-1</f>
        <v>1.3494621106756015</v>
      </c>
      <c r="L42" s="36">
        <f>J42/I42-1</f>
        <v>0.39768883467443117</v>
      </c>
      <c r="M42" s="60"/>
      <c r="O42" s="37">
        <f t="shared" ref="O42:AE42" si="28">SUM(O38:O41)</f>
        <v>9683</v>
      </c>
      <c r="P42" s="37">
        <f t="shared" si="28"/>
        <v>11529</v>
      </c>
      <c r="Q42" s="37">
        <f t="shared" si="28"/>
        <v>14702.837000000001</v>
      </c>
      <c r="R42" s="37">
        <f t="shared" si="28"/>
        <v>20677.163000000004</v>
      </c>
      <c r="S42" s="37">
        <f t="shared" si="28"/>
        <v>27118</v>
      </c>
      <c r="T42" s="37">
        <f t="shared" si="28"/>
        <v>38435</v>
      </c>
      <c r="U42" s="37">
        <f t="shared" si="28"/>
        <v>52977</v>
      </c>
      <c r="V42" s="37">
        <f t="shared" si="28"/>
        <v>77047</v>
      </c>
      <c r="W42" s="37">
        <f t="shared" si="28"/>
        <v>87653</v>
      </c>
      <c r="X42" s="37">
        <f t="shared" si="28"/>
        <v>102754</v>
      </c>
      <c r="Y42" s="37">
        <f t="shared" si="28"/>
        <v>117923</v>
      </c>
      <c r="Z42" s="37">
        <f t="shared" si="28"/>
        <v>126121</v>
      </c>
      <c r="AA42" s="37">
        <f t="shared" si="28"/>
        <v>119871</v>
      </c>
      <c r="AB42" s="37">
        <f t="shared" si="28"/>
        <v>150736</v>
      </c>
      <c r="AC42" s="37">
        <f t="shared" si="28"/>
        <v>168755</v>
      </c>
      <c r="AD42" s="37">
        <f t="shared" si="28"/>
        <v>166541</v>
      </c>
      <c r="AE42" s="37">
        <f t="shared" si="28"/>
        <v>173291</v>
      </c>
      <c r="AF42" s="37">
        <f>SUM(AF38:AF41)</f>
        <v>167228.32844748424</v>
      </c>
      <c r="AG42" s="37">
        <f>SUM(AG38:AG41)</f>
        <v>185816.79693668551</v>
      </c>
      <c r="AH42" s="36">
        <f>AG42/AC42-1</f>
        <v>0.10110394913742127</v>
      </c>
      <c r="AI42" s="36">
        <f>AG42/AF42-1</f>
        <v>0.11115621773997897</v>
      </c>
    </row>
    <row r="43" spans="1:37" s="39" customFormat="1" ht="18" outlineLevel="1" x14ac:dyDescent="0.25">
      <c r="A43" s="81"/>
      <c r="B43" s="7" t="s">
        <v>158</v>
      </c>
      <c r="C43" s="7" t="s">
        <v>337</v>
      </c>
      <c r="E43" s="10">
        <f>E42/'DRE - Income Statement'!E16</f>
        <v>0.9413599805020717</v>
      </c>
      <c r="F43" s="10">
        <f>F42/'DRE - Income Statement'!F16</f>
        <v>0.99411705886274249</v>
      </c>
      <c r="G43" s="10">
        <f>G42/'DRE - Income Statement'!G16</f>
        <v>1.0174212562832243</v>
      </c>
      <c r="H43" s="10">
        <f>H42/'DRE - Income Statement'!H16</f>
        <v>0.9867183723118349</v>
      </c>
      <c r="I43" s="10">
        <f>I42/'DRE - Income Statement'!I16</f>
        <v>1.0009190763899487</v>
      </c>
      <c r="J43" s="10">
        <f>J42/'DRE - Income Statement'!J16</f>
        <v>0.99741493735763553</v>
      </c>
      <c r="M43" s="60"/>
      <c r="O43" s="10">
        <f>O42/'DRE - Income Statement'!O16</f>
        <v>0.48849762889718495</v>
      </c>
      <c r="P43" s="10">
        <f>P42/'DRE - Income Statement'!P16</f>
        <v>0.5328126444218505</v>
      </c>
      <c r="Q43" s="10">
        <f>Q42/'DRE - Income Statement'!Q16</f>
        <v>0.50757196119722447</v>
      </c>
      <c r="R43" s="10">
        <f>R42/'DRE - Income Statement'!R16</f>
        <v>0.51454928455891513</v>
      </c>
      <c r="S43" s="10">
        <f>S42/'DRE - Income Statement'!S16</f>
        <v>0.54481165243596186</v>
      </c>
      <c r="T43" s="10">
        <f>T42/'DRE - Income Statement'!T16</f>
        <v>0.54178824657109426</v>
      </c>
      <c r="U43" s="10">
        <f>U42/'DRE - Income Statement'!U16</f>
        <v>0.53562437441232669</v>
      </c>
      <c r="V43" s="10">
        <f>V42/'DRE - Income Statement'!V16</f>
        <v>0.46661498676711949</v>
      </c>
      <c r="W43" s="10">
        <f>W42/'DRE - Income Statement'!W16</f>
        <v>0.47150872247833503</v>
      </c>
      <c r="X43" s="10">
        <v>0.48070247663245352</v>
      </c>
      <c r="Y43" s="10">
        <f>Y42/'DRE - Income Statement'!Y16</f>
        <v>0.51229663097074096</v>
      </c>
      <c r="Z43" s="10">
        <f>Z42/'DRE - Income Statement'!Z16</f>
        <v>0.48272285375282276</v>
      </c>
      <c r="AA43" s="10">
        <f>AA42/'DRE - Income Statement'!AA16</f>
        <v>0.46828999593711912</v>
      </c>
      <c r="AB43" s="10">
        <f>AB42/'DRE - Income Statement'!AB16</f>
        <v>0.51570700331862196</v>
      </c>
      <c r="AC43" s="10">
        <f>AC42/'DRE - Income Statement'!AC16</f>
        <v>0.50028459791650604</v>
      </c>
      <c r="AD43" s="10">
        <f>AD42/'DRE - Income Statement'!AD16</f>
        <v>0.45716724907971418</v>
      </c>
      <c r="AE43" s="10">
        <f>AE42/'DRE - Income Statement'!AE16</f>
        <v>0.47797557315916062</v>
      </c>
      <c r="AF43" s="10">
        <f>AF42/'DRE - Income Statement'!AF16</f>
        <v>0.43134775827091837</v>
      </c>
      <c r="AG43" s="10">
        <f>AG42/'DRE - Income Statement'!AG16</f>
        <v>0.41309450118044932</v>
      </c>
    </row>
    <row r="44" spans="1:37" s="39" customFormat="1" ht="6" customHeight="1" outlineLevel="1" x14ac:dyDescent="0.25">
      <c r="A44" s="81"/>
      <c r="B44" s="7"/>
      <c r="C44" s="7"/>
      <c r="E44" s="10"/>
      <c r="F44" s="10"/>
      <c r="G44" s="10"/>
      <c r="H44" s="10"/>
      <c r="I44" s="10"/>
      <c r="J44" s="10"/>
      <c r="M44" s="60"/>
      <c r="O44" s="10"/>
      <c r="P44" s="10"/>
      <c r="Q44" s="10"/>
      <c r="R44" s="10"/>
      <c r="S44" s="10"/>
      <c r="T44" s="10"/>
      <c r="U44" s="10"/>
      <c r="V44" s="10"/>
      <c r="W44" s="10"/>
      <c r="X44" s="10"/>
      <c r="Y44" s="10"/>
      <c r="Z44" s="10"/>
      <c r="AA44" s="10"/>
      <c r="AB44" s="10"/>
      <c r="AC44" s="10"/>
      <c r="AD44" s="10"/>
      <c r="AE44" s="10"/>
      <c r="AF44" s="10"/>
      <c r="AG44" s="10"/>
    </row>
    <row r="45" spans="1:37" s="48" customFormat="1" ht="18" outlineLevel="1" x14ac:dyDescent="0.25">
      <c r="A45" s="115"/>
      <c r="B45" s="5" t="s">
        <v>400</v>
      </c>
      <c r="C45" s="5" t="s">
        <v>402</v>
      </c>
      <c r="E45" s="37">
        <f t="shared" ref="E45:J45" si="29">E42-E34</f>
        <v>34067</v>
      </c>
      <c r="F45" s="37">
        <f t="shared" si="29"/>
        <v>52650</v>
      </c>
      <c r="G45" s="37">
        <f t="shared" si="29"/>
        <v>96412</v>
      </c>
      <c r="H45" s="37">
        <f t="shared" si="29"/>
        <v>325018</v>
      </c>
      <c r="I45" s="37">
        <f t="shared" si="29"/>
        <v>754764</v>
      </c>
      <c r="J45" s="37">
        <f t="shared" si="29"/>
        <v>1060990</v>
      </c>
      <c r="M45" s="71"/>
      <c r="O45" s="37">
        <f t="shared" ref="O45:W45" si="30">O42-O34</f>
        <v>7299</v>
      </c>
      <c r="P45" s="37">
        <f t="shared" si="30"/>
        <v>8285</v>
      </c>
      <c r="Q45" s="37">
        <f t="shared" si="30"/>
        <v>10651.837000000001</v>
      </c>
      <c r="R45" s="37">
        <f t="shared" si="30"/>
        <v>14229.163000000002</v>
      </c>
      <c r="S45" s="37">
        <f t="shared" si="30"/>
        <v>19036</v>
      </c>
      <c r="T45" s="37">
        <f t="shared" si="30"/>
        <v>27187</v>
      </c>
      <c r="U45" s="37">
        <f t="shared" si="30"/>
        <v>41226</v>
      </c>
      <c r="V45" s="37">
        <f t="shared" si="30"/>
        <v>53514</v>
      </c>
      <c r="W45" s="37">
        <f t="shared" si="30"/>
        <v>60626</v>
      </c>
      <c r="X45" s="37">
        <v>71740</v>
      </c>
      <c r="Y45" s="37">
        <f t="shared" ref="Y45:AG45" si="31">Y42-Y34</f>
        <v>81855</v>
      </c>
      <c r="Z45" s="37">
        <f t="shared" si="31"/>
        <v>83063</v>
      </c>
      <c r="AA45" s="37">
        <f t="shared" si="31"/>
        <v>78153</v>
      </c>
      <c r="AB45" s="37">
        <f t="shared" si="31"/>
        <v>106747</v>
      </c>
      <c r="AC45" s="37">
        <f t="shared" si="31"/>
        <v>120876</v>
      </c>
      <c r="AD45" s="37">
        <f t="shared" si="31"/>
        <v>114475</v>
      </c>
      <c r="AE45" s="37">
        <f t="shared" si="31"/>
        <v>129041</v>
      </c>
      <c r="AF45" s="37">
        <f t="shared" si="31"/>
        <v>131980.32844748424</v>
      </c>
      <c r="AG45" s="37">
        <f t="shared" si="31"/>
        <v>143304.79693668551</v>
      </c>
    </row>
    <row r="46" spans="1:37" s="39" customFormat="1" ht="18" outlineLevel="1" x14ac:dyDescent="0.25">
      <c r="A46" s="81"/>
      <c r="B46" s="7" t="s">
        <v>158</v>
      </c>
      <c r="C46" s="7" t="s">
        <v>337</v>
      </c>
      <c r="E46" s="10">
        <f>E45/'DRE - Income Statement'!E16</f>
        <v>0.83029490616621981</v>
      </c>
      <c r="F46" s="10">
        <f>F45/'DRE - Income Statement'!F16</f>
        <v>0.87744150389974007</v>
      </c>
      <c r="G46" s="10">
        <f>G45/'DRE - Income Statement'!G16</f>
        <v>0.87162333200737718</v>
      </c>
      <c r="H46" s="10">
        <f>H45/'DRE - Income Statement'!H16</f>
        <v>0.84476870214325439</v>
      </c>
      <c r="I46" s="10">
        <f>I45/'DRE - Income Statement'!I16</f>
        <v>0.84699117507114707</v>
      </c>
      <c r="J46" s="10">
        <f>J45/'DRE - Income Statement'!J16</f>
        <v>0.84887824602979667</v>
      </c>
      <c r="M46" s="60"/>
      <c r="O46" s="10">
        <f>O45/'DRE - Income Statement'!O16</f>
        <v>0.36822722227827664</v>
      </c>
      <c r="P46" s="10">
        <f>P45/'DRE - Income Statement'!P16</f>
        <v>0.38289120990849429</v>
      </c>
      <c r="Q46" s="10">
        <f>Q45/'DRE - Income Statement'!Q16</f>
        <v>0.36772316774260372</v>
      </c>
      <c r="R46" s="10">
        <f>R45/'DRE - Income Statement'!R16</f>
        <v>0.35409140226452662</v>
      </c>
      <c r="S46" s="10">
        <f>S45/'DRE - Income Statement'!S16</f>
        <v>0.38244098442993468</v>
      </c>
      <c r="T46" s="10">
        <f>T45/'DRE - Income Statement'!T16</f>
        <v>0.38323395497667073</v>
      </c>
      <c r="U46" s="10">
        <f>U45/'DRE - Income Statement'!U16</f>
        <v>0.4168157966574661</v>
      </c>
      <c r="V46" s="10">
        <f>V45/'DRE - Income Statement'!V16</f>
        <v>0.32409353254319612</v>
      </c>
      <c r="W46" s="10">
        <f>W45/'DRE - Income Statement'!W16</f>
        <v>0.32612332503133423</v>
      </c>
      <c r="X46" s="10">
        <v>0.33561317003340224</v>
      </c>
      <c r="Y46" s="10">
        <f>Y45/'DRE - Income Statement'!Y16</f>
        <v>0.35560527401872405</v>
      </c>
      <c r="Z46" s="10">
        <f>Z45/'DRE - Income Statement'!Z16</f>
        <v>0.31792015922226052</v>
      </c>
      <c r="AA46" s="10">
        <f>AA45/'DRE - Income Statement'!AA16</f>
        <v>0.30531377941682031</v>
      </c>
      <c r="AB46" s="10">
        <f>AB45/'DRE - Income Statement'!AB16</f>
        <v>0.36520921003113349</v>
      </c>
      <c r="AC46" s="10">
        <f>AC45/'DRE - Income Statement'!AC16</f>
        <v>0.35834435162072587</v>
      </c>
      <c r="AD46" s="10">
        <f>AD45/'DRE - Income Statement'!AD16</f>
        <v>0.31424226369722941</v>
      </c>
      <c r="AE46" s="10">
        <f>AE45/'DRE - Income Statement'!AE16</f>
        <v>0.35592411571305632</v>
      </c>
      <c r="AF46" s="10">
        <f>AF45/'DRE - Income Statement'!AF16</f>
        <v>0.34042927618905039</v>
      </c>
      <c r="AG46" s="10">
        <f>AG45/'DRE - Income Statement'!AG16</f>
        <v>0.31858488889729769</v>
      </c>
    </row>
    <row r="47" spans="1:37" s="39" customFormat="1" x14ac:dyDescent="0.25">
      <c r="A47" s="82" t="s">
        <v>148</v>
      </c>
      <c r="M47" s="60"/>
      <c r="O47" s="61"/>
      <c r="U47" s="106"/>
      <c r="AB47" s="106"/>
      <c r="AC47" s="106"/>
      <c r="AD47" s="106"/>
      <c r="AE47" s="106"/>
      <c r="AF47" s="106"/>
      <c r="AG47" s="106"/>
    </row>
    <row r="48" spans="1:37" s="39" customFormat="1" ht="18" x14ac:dyDescent="0.25">
      <c r="A48" s="81"/>
      <c r="B48" s="8" t="s">
        <v>129</v>
      </c>
      <c r="C48" s="8" t="s">
        <v>281</v>
      </c>
      <c r="D48" s="47"/>
      <c r="E48" s="47"/>
      <c r="F48" s="47"/>
      <c r="G48" s="47"/>
      <c r="H48" s="47"/>
      <c r="I48" s="47"/>
      <c r="J48" s="47"/>
      <c r="K48" s="47"/>
      <c r="L48" s="47"/>
      <c r="M48" s="60"/>
      <c r="O48" s="47"/>
      <c r="P48" s="47"/>
      <c r="Q48" s="47"/>
      <c r="R48" s="47"/>
      <c r="S48" s="47"/>
      <c r="T48" s="47"/>
      <c r="U48" s="47"/>
      <c r="V48" s="47"/>
      <c r="W48" s="47"/>
      <c r="X48" s="47"/>
      <c r="Y48" s="47"/>
      <c r="Z48" s="47"/>
      <c r="AA48" s="47"/>
      <c r="AB48" s="47"/>
      <c r="AC48" s="47"/>
      <c r="AD48" s="47"/>
      <c r="AE48" s="47"/>
      <c r="AF48" s="47"/>
      <c r="AG48" s="47"/>
      <c r="AH48" s="47"/>
      <c r="AI48" s="47"/>
    </row>
    <row r="49" spans="1:35" s="39" customFormat="1" ht="6.75" customHeight="1" outlineLevel="1" x14ac:dyDescent="0.25">
      <c r="A49" s="81"/>
      <c r="M49" s="60"/>
    </row>
    <row r="50" spans="1:35" s="39" customFormat="1" ht="18" outlineLevel="1" x14ac:dyDescent="0.25">
      <c r="A50" s="81"/>
      <c r="B50" s="5" t="s">
        <v>88</v>
      </c>
      <c r="C50" s="5" t="s">
        <v>282</v>
      </c>
      <c r="D50" s="48"/>
      <c r="E50" s="37">
        <v>11594</v>
      </c>
      <c r="F50" s="37">
        <v>23633</v>
      </c>
      <c r="G50" s="37">
        <v>-74982</v>
      </c>
      <c r="H50" s="37">
        <f t="shared" ref="H50:H64" si="32">SUM(S50:V50)</f>
        <v>-592585.39179000002</v>
      </c>
      <c r="I50" s="37">
        <v>-693606</v>
      </c>
      <c r="J50" s="37">
        <v>125875.49404401478</v>
      </c>
      <c r="K50" s="36"/>
      <c r="L50" s="36"/>
      <c r="M50" s="60"/>
      <c r="O50" s="37">
        <v>-821</v>
      </c>
      <c r="P50" s="37">
        <v>-929</v>
      </c>
      <c r="Q50" s="37">
        <v>-30662.907790000001</v>
      </c>
      <c r="R50" s="37">
        <v>-42569.092210000003</v>
      </c>
      <c r="S50" s="37">
        <v>-106218</v>
      </c>
      <c r="T50" s="37">
        <v>-123341</v>
      </c>
      <c r="U50" s="37">
        <v>-212392</v>
      </c>
      <c r="V50" s="37">
        <v>-150634.39178999999</v>
      </c>
      <c r="W50" s="37">
        <v>-113358.88311267571</v>
      </c>
      <c r="X50" s="37">
        <v>-222585.11688732429</v>
      </c>
      <c r="Y50" s="37">
        <v>-188808.00000000006</v>
      </c>
      <c r="Z50" s="37">
        <v>-168854</v>
      </c>
      <c r="AA50" s="37">
        <v>76134.408110179254</v>
      </c>
      <c r="AB50" s="37">
        <v>-43637.056147649739</v>
      </c>
      <c r="AC50" s="37">
        <v>119699.35618494198</v>
      </c>
      <c r="AD50" s="37">
        <v>-26321.028712266336</v>
      </c>
      <c r="AE50" s="37">
        <v>68400</v>
      </c>
      <c r="AF50" s="37">
        <v>-98873.554501288454</v>
      </c>
      <c r="AG50" s="37">
        <v>106496.09105418675</v>
      </c>
      <c r="AH50" s="36"/>
      <c r="AI50" s="36"/>
    </row>
    <row r="51" spans="1:35" s="39" customFormat="1" ht="18" outlineLevel="1" x14ac:dyDescent="0.25">
      <c r="A51" s="81"/>
      <c r="B51" s="7" t="s">
        <v>394</v>
      </c>
      <c r="C51" s="7"/>
      <c r="E51" s="35">
        <v>0</v>
      </c>
      <c r="F51" s="35">
        <v>0</v>
      </c>
      <c r="G51" s="35">
        <v>0</v>
      </c>
      <c r="H51" s="35">
        <v>0</v>
      </c>
      <c r="I51" s="35">
        <v>-49795</v>
      </c>
      <c r="J51" s="35">
        <v>74115</v>
      </c>
      <c r="K51" s="35"/>
      <c r="L51" s="35"/>
      <c r="M51" s="60"/>
      <c r="N51" s="35"/>
      <c r="O51" s="35"/>
      <c r="P51" s="35"/>
      <c r="Q51" s="35"/>
      <c r="R51" s="35"/>
      <c r="S51" s="35"/>
      <c r="T51" s="35"/>
      <c r="U51" s="35"/>
      <c r="V51" s="35"/>
      <c r="W51" s="35"/>
      <c r="X51" s="35"/>
      <c r="Y51" s="35">
        <v>-261423</v>
      </c>
      <c r="Z51" s="35">
        <v>177093</v>
      </c>
      <c r="AA51" s="35">
        <v>34486</v>
      </c>
      <c r="AB51" s="35">
        <v>37692</v>
      </c>
      <c r="AC51" s="35">
        <v>-7974</v>
      </c>
      <c r="AD51" s="35">
        <v>9911</v>
      </c>
      <c r="AE51" s="35">
        <v>8909.1527100000021</v>
      </c>
      <c r="AF51" s="35">
        <v>1305.8472899999979</v>
      </c>
      <c r="AG51" s="35">
        <v>-6983.4155099999989</v>
      </c>
      <c r="AH51" s="35"/>
      <c r="AI51" s="35"/>
    </row>
    <row r="52" spans="1:35" s="39" customFormat="1" ht="18" outlineLevel="1" x14ac:dyDescent="0.25">
      <c r="A52" s="81"/>
      <c r="B52" s="7" t="s">
        <v>58</v>
      </c>
      <c r="C52" s="7" t="s">
        <v>244</v>
      </c>
      <c r="E52" s="35">
        <v>1795</v>
      </c>
      <c r="F52" s="35">
        <v>2837</v>
      </c>
      <c r="G52" s="35">
        <v>101279</v>
      </c>
      <c r="H52" s="35">
        <f t="shared" si="32"/>
        <v>645819</v>
      </c>
      <c r="I52" s="35">
        <v>1017461</v>
      </c>
      <c r="J52" s="35">
        <v>177238.5</v>
      </c>
      <c r="K52" s="35"/>
      <c r="L52" s="35"/>
      <c r="M52" s="60"/>
      <c r="N52" s="35"/>
      <c r="O52" s="35">
        <v>2500</v>
      </c>
      <c r="P52" s="35">
        <v>11436</v>
      </c>
      <c r="Q52" s="35">
        <v>39254</v>
      </c>
      <c r="R52" s="35">
        <v>48089</v>
      </c>
      <c r="S52" s="35">
        <v>106279</v>
      </c>
      <c r="T52" s="35">
        <v>136982</v>
      </c>
      <c r="U52" s="35">
        <v>239861</v>
      </c>
      <c r="V52" s="35">
        <v>162697</v>
      </c>
      <c r="W52" s="35">
        <v>215710.01175996353</v>
      </c>
      <c r="X52" s="35">
        <v>228206.98824003647</v>
      </c>
      <c r="Y52" s="35">
        <v>421924.00000000006</v>
      </c>
      <c r="Z52" s="35">
        <v>151620</v>
      </c>
      <c r="AA52" s="35">
        <v>46553</v>
      </c>
      <c r="AB52" s="35">
        <v>38531.354293035678</v>
      </c>
      <c r="AC52" s="35">
        <v>62628.44035674099</v>
      </c>
      <c r="AD52" s="35">
        <v>29526.05964325901</v>
      </c>
      <c r="AE52" s="35">
        <v>51816</v>
      </c>
      <c r="AF52" s="35">
        <v>93344.794854707143</v>
      </c>
      <c r="AG52" s="35">
        <v>76860.865304717212</v>
      </c>
      <c r="AH52" s="35"/>
      <c r="AI52" s="35"/>
    </row>
    <row r="53" spans="1:35" s="39" customFormat="1" ht="18" outlineLevel="1" x14ac:dyDescent="0.25">
      <c r="A53" s="81"/>
      <c r="B53" s="7" t="s">
        <v>59</v>
      </c>
      <c r="C53" s="7" t="s">
        <v>338</v>
      </c>
      <c r="E53" s="35">
        <v>-1708</v>
      </c>
      <c r="F53" s="35">
        <v>-1368</v>
      </c>
      <c r="G53" s="35">
        <v>-130</v>
      </c>
      <c r="H53" s="35">
        <f t="shared" si="32"/>
        <v>-5012</v>
      </c>
      <c r="I53" s="35">
        <v>-60642</v>
      </c>
      <c r="J53" s="35">
        <v>-111094</v>
      </c>
      <c r="K53" s="35"/>
      <c r="L53" s="35"/>
      <c r="M53" s="60"/>
      <c r="N53" s="35"/>
      <c r="O53" s="35">
        <v>0</v>
      </c>
      <c r="P53" s="35">
        <v>0</v>
      </c>
      <c r="Q53" s="35">
        <v>-377</v>
      </c>
      <c r="R53" s="35">
        <v>247</v>
      </c>
      <c r="S53" s="35">
        <v>-1880</v>
      </c>
      <c r="T53" s="35">
        <v>-750</v>
      </c>
      <c r="U53" s="35">
        <v>-439</v>
      </c>
      <c r="V53" s="35">
        <v>-1943</v>
      </c>
      <c r="W53" s="35">
        <v>-9517</v>
      </c>
      <c r="X53" s="35">
        <v>-12105</v>
      </c>
      <c r="Y53" s="35">
        <v>-20412</v>
      </c>
      <c r="Z53" s="35">
        <v>-18608</v>
      </c>
      <c r="AA53" s="35">
        <v>-35515</v>
      </c>
      <c r="AB53" s="35">
        <v>-18648</v>
      </c>
      <c r="AC53" s="35">
        <v>-22221</v>
      </c>
      <c r="AD53" s="35">
        <v>-34710</v>
      </c>
      <c r="AE53" s="35">
        <v>-25235</v>
      </c>
      <c r="AF53" s="35">
        <v>-20015</v>
      </c>
      <c r="AG53" s="35">
        <v>-47168.5</v>
      </c>
      <c r="AH53" s="35"/>
      <c r="AI53" s="35"/>
    </row>
    <row r="54" spans="1:35" s="39" customFormat="1" ht="18" outlineLevel="1" x14ac:dyDescent="0.25">
      <c r="A54" s="81"/>
      <c r="B54" s="7" t="s">
        <v>55</v>
      </c>
      <c r="C54" s="7" t="s">
        <v>241</v>
      </c>
      <c r="E54" s="35">
        <v>4201</v>
      </c>
      <c r="F54" s="35">
        <v>6798</v>
      </c>
      <c r="G54" s="35">
        <v>12756</v>
      </c>
      <c r="H54" s="35">
        <f t="shared" si="32"/>
        <v>49538</v>
      </c>
      <c r="I54" s="35">
        <v>232727</v>
      </c>
      <c r="J54" s="35">
        <v>282115.1231201982</v>
      </c>
      <c r="K54" s="35"/>
      <c r="L54" s="35"/>
      <c r="M54" s="60"/>
      <c r="N54" s="35"/>
      <c r="O54" s="35">
        <v>2181</v>
      </c>
      <c r="P54" s="35">
        <v>1954</v>
      </c>
      <c r="Q54" s="35">
        <v>3553</v>
      </c>
      <c r="R54" s="35">
        <v>5068</v>
      </c>
      <c r="S54" s="35">
        <v>6947</v>
      </c>
      <c r="T54" s="35">
        <v>8430</v>
      </c>
      <c r="U54" s="35">
        <v>13398</v>
      </c>
      <c r="V54" s="35">
        <v>20763</v>
      </c>
      <c r="W54" s="35">
        <v>29220</v>
      </c>
      <c r="X54" s="35">
        <v>80828</v>
      </c>
      <c r="Y54" s="35">
        <v>13147</v>
      </c>
      <c r="Z54" s="35">
        <v>109532</v>
      </c>
      <c r="AA54" s="35">
        <v>8964.3970340467476</v>
      </c>
      <c r="AB54" s="35">
        <v>132717.15177442326</v>
      </c>
      <c r="AC54" s="35">
        <v>8889.8663762409869</v>
      </c>
      <c r="AD54" s="35">
        <v>131543.70793548718</v>
      </c>
      <c r="AE54" s="35">
        <v>7379.8891530034662</v>
      </c>
      <c r="AF54" s="35">
        <v>115101.69130654534</v>
      </c>
      <c r="AG54" s="35">
        <v>49385.970169787644</v>
      </c>
      <c r="AH54" s="35"/>
      <c r="AI54" s="35"/>
    </row>
    <row r="55" spans="1:35" s="39" customFormat="1" ht="18" outlineLevel="1" x14ac:dyDescent="0.25">
      <c r="A55" s="81"/>
      <c r="B55" s="7" t="s">
        <v>357</v>
      </c>
      <c r="C55" s="7" t="s">
        <v>360</v>
      </c>
      <c r="E55" s="35"/>
      <c r="F55" s="35"/>
      <c r="G55" s="35"/>
      <c r="H55" s="35"/>
      <c r="I55" s="35"/>
      <c r="J55" s="35">
        <v>14044.359925632571</v>
      </c>
      <c r="K55" s="35"/>
      <c r="L55" s="35"/>
      <c r="M55" s="60"/>
      <c r="N55" s="35"/>
      <c r="O55" s="35">
        <v>0</v>
      </c>
      <c r="P55" s="35">
        <v>0</v>
      </c>
      <c r="Q55" s="35">
        <v>0</v>
      </c>
      <c r="R55" s="35">
        <v>0</v>
      </c>
      <c r="S55" s="35">
        <v>0</v>
      </c>
      <c r="T55" s="35">
        <v>0</v>
      </c>
      <c r="U55" s="35">
        <v>0</v>
      </c>
      <c r="V55" s="35">
        <v>0</v>
      </c>
      <c r="W55" s="35">
        <v>0</v>
      </c>
      <c r="X55" s="35">
        <v>0</v>
      </c>
      <c r="Y55" s="35">
        <v>0</v>
      </c>
      <c r="Z55" s="35">
        <v>0</v>
      </c>
      <c r="AA55" s="35">
        <v>4568</v>
      </c>
      <c r="AB55" s="35">
        <v>2751.9941101928998</v>
      </c>
      <c r="AC55" s="35">
        <v>6548.1342381048999</v>
      </c>
      <c r="AD55" s="35">
        <v>176.23157733477092</v>
      </c>
      <c r="AE55" s="35">
        <v>21332</v>
      </c>
      <c r="AF55" s="35">
        <v>15132.176932221031</v>
      </c>
      <c r="AG55" s="35">
        <v>11050.112431479007</v>
      </c>
      <c r="AH55" s="35"/>
      <c r="AI55" s="35"/>
    </row>
    <row r="56" spans="1:35" s="39" customFormat="1" ht="18" outlineLevel="1" x14ac:dyDescent="0.25">
      <c r="A56" s="81"/>
      <c r="B56" s="7" t="s">
        <v>89</v>
      </c>
      <c r="C56" s="7" t="s">
        <v>283</v>
      </c>
      <c r="E56" s="35">
        <v>3137</v>
      </c>
      <c r="F56" s="35">
        <v>4152</v>
      </c>
      <c r="G56" s="35">
        <v>15912</v>
      </c>
      <c r="H56" s="35">
        <f t="shared" si="32"/>
        <v>37558.995716949998</v>
      </c>
      <c r="I56" s="35">
        <v>68448.972478555603</v>
      </c>
      <c r="J56" s="35">
        <v>0</v>
      </c>
      <c r="K56" s="35"/>
      <c r="L56" s="35"/>
      <c r="M56" s="60"/>
      <c r="N56" s="35"/>
      <c r="O56" s="35">
        <v>1995</v>
      </c>
      <c r="P56" s="35">
        <v>3432</v>
      </c>
      <c r="Q56" s="35">
        <v>6563</v>
      </c>
      <c r="R56" s="35">
        <v>3922</v>
      </c>
      <c r="S56" s="35">
        <v>7547</v>
      </c>
      <c r="T56" s="35">
        <v>15099</v>
      </c>
      <c r="U56" s="35">
        <v>14912.995716949998</v>
      </c>
      <c r="V56" s="35">
        <v>0</v>
      </c>
      <c r="W56" s="35">
        <v>11998</v>
      </c>
      <c r="X56" s="35">
        <v>12385.313</v>
      </c>
      <c r="Y56" s="35">
        <v>27437.533857655599</v>
      </c>
      <c r="Z56" s="35">
        <v>16628.125620899998</v>
      </c>
      <c r="AA56" s="35">
        <v>0</v>
      </c>
      <c r="AB56" s="35">
        <v>0</v>
      </c>
      <c r="AC56" s="35">
        <v>0</v>
      </c>
      <c r="AD56" s="35">
        <v>0</v>
      </c>
      <c r="AE56" s="35">
        <v>0</v>
      </c>
      <c r="AF56" s="35">
        <v>0</v>
      </c>
      <c r="AG56" s="35">
        <v>0</v>
      </c>
      <c r="AH56" s="35"/>
      <c r="AI56" s="35"/>
    </row>
    <row r="57" spans="1:35" s="39" customFormat="1" ht="18" outlineLevel="1" x14ac:dyDescent="0.25">
      <c r="A57" s="81"/>
      <c r="B57" s="7" t="s">
        <v>90</v>
      </c>
      <c r="C57" s="7" t="s">
        <v>258</v>
      </c>
      <c r="E57" s="35">
        <v>0</v>
      </c>
      <c r="F57" s="35">
        <v>0</v>
      </c>
      <c r="G57" s="35">
        <v>-693</v>
      </c>
      <c r="H57" s="35">
        <f t="shared" si="32"/>
        <v>-2624</v>
      </c>
      <c r="I57" s="35">
        <v>-5914</v>
      </c>
      <c r="J57" s="35">
        <v>-6560</v>
      </c>
      <c r="K57" s="35"/>
      <c r="L57" s="35"/>
      <c r="M57" s="60"/>
      <c r="N57" s="35"/>
      <c r="O57" s="35">
        <v>-78</v>
      </c>
      <c r="P57" s="35">
        <v>-99</v>
      </c>
      <c r="Q57" s="35">
        <v>-185</v>
      </c>
      <c r="R57" s="35">
        <v>-331</v>
      </c>
      <c r="S57" s="35">
        <v>-429</v>
      </c>
      <c r="T57" s="35">
        <v>-561</v>
      </c>
      <c r="U57" s="35">
        <v>-563</v>
      </c>
      <c r="V57" s="35">
        <v>-1071</v>
      </c>
      <c r="W57" s="35">
        <v>-1415.550809138867</v>
      </c>
      <c r="X57" s="35">
        <v>-1851.449190861133</v>
      </c>
      <c r="Y57" s="35">
        <v>-1658</v>
      </c>
      <c r="Z57" s="35">
        <v>-989</v>
      </c>
      <c r="AA57" s="35">
        <v>-1489.6746042259847</v>
      </c>
      <c r="AB57" s="35">
        <v>-1356.9429581409954</v>
      </c>
      <c r="AC57" s="35">
        <v>-1634.7573548764399</v>
      </c>
      <c r="AD57" s="35">
        <v>-2078.62508275658</v>
      </c>
      <c r="AE57" s="35">
        <v>-1917</v>
      </c>
      <c r="AF57" s="35">
        <v>-2097.9108114481078</v>
      </c>
      <c r="AG57" s="35">
        <v>-2357.6251810928261</v>
      </c>
      <c r="AH57" s="35"/>
      <c r="AI57" s="35"/>
    </row>
    <row r="58" spans="1:35" s="39" customFormat="1" ht="18" outlineLevel="1" x14ac:dyDescent="0.25">
      <c r="A58" s="81"/>
      <c r="B58" s="7" t="s">
        <v>71</v>
      </c>
      <c r="C58" s="7" t="s">
        <v>259</v>
      </c>
      <c r="E58" s="35">
        <v>-50</v>
      </c>
      <c r="F58" s="35">
        <v>-52</v>
      </c>
      <c r="G58" s="35">
        <v>-57</v>
      </c>
      <c r="H58" s="35">
        <f t="shared" si="32"/>
        <v>-123</v>
      </c>
      <c r="I58" s="35">
        <v>0</v>
      </c>
      <c r="J58" s="35">
        <v>0</v>
      </c>
      <c r="K58" s="35"/>
      <c r="L58" s="35"/>
      <c r="M58" s="60"/>
      <c r="N58" s="35"/>
      <c r="O58" s="35">
        <v>-15</v>
      </c>
      <c r="P58" s="35">
        <v>0</v>
      </c>
      <c r="Q58" s="35">
        <v>-14</v>
      </c>
      <c r="R58" s="35">
        <v>-28</v>
      </c>
      <c r="S58" s="35">
        <v>-24</v>
      </c>
      <c r="T58" s="35">
        <v>-24</v>
      </c>
      <c r="U58" s="35">
        <v>-31</v>
      </c>
      <c r="V58" s="35">
        <v>-44</v>
      </c>
      <c r="W58" s="35">
        <v>-1223</v>
      </c>
      <c r="X58" s="35">
        <v>52</v>
      </c>
      <c r="Y58" s="35">
        <v>-86</v>
      </c>
      <c r="Z58" s="35">
        <v>1257</v>
      </c>
      <c r="AA58" s="35">
        <v>-18</v>
      </c>
      <c r="AB58" s="35">
        <v>-34</v>
      </c>
      <c r="AC58" s="35">
        <v>-13</v>
      </c>
      <c r="AD58" s="35">
        <v>65</v>
      </c>
      <c r="AE58" s="35">
        <v>0</v>
      </c>
      <c r="AF58" s="35">
        <v>-783.98269205617862</v>
      </c>
      <c r="AG58" s="35">
        <v>-554.01730794382138</v>
      </c>
      <c r="AH58" s="35"/>
      <c r="AI58" s="35"/>
    </row>
    <row r="59" spans="1:35" s="39" customFormat="1" ht="18" outlineLevel="1" x14ac:dyDescent="0.25">
      <c r="A59" s="81"/>
      <c r="B59" s="7" t="s">
        <v>159</v>
      </c>
      <c r="C59" s="7" t="s">
        <v>284</v>
      </c>
      <c r="E59" s="35">
        <v>100</v>
      </c>
      <c r="F59" s="35">
        <v>0</v>
      </c>
      <c r="G59" s="35">
        <v>317</v>
      </c>
      <c r="H59" s="35">
        <f t="shared" si="32"/>
        <v>1246</v>
      </c>
      <c r="I59" s="35">
        <v>0</v>
      </c>
      <c r="J59" s="35">
        <v>0</v>
      </c>
      <c r="K59" s="35"/>
      <c r="L59" s="35"/>
      <c r="M59" s="60"/>
      <c r="N59" s="35"/>
      <c r="O59" s="35">
        <v>34</v>
      </c>
      <c r="P59" s="35">
        <v>266</v>
      </c>
      <c r="Q59" s="35">
        <v>0</v>
      </c>
      <c r="R59" s="35">
        <v>17</v>
      </c>
      <c r="S59" s="35">
        <v>0</v>
      </c>
      <c r="T59" s="35">
        <v>0</v>
      </c>
      <c r="U59" s="35">
        <v>0</v>
      </c>
      <c r="V59" s="35">
        <v>1246</v>
      </c>
      <c r="W59" s="35">
        <v>0</v>
      </c>
      <c r="X59" s="35">
        <v>0</v>
      </c>
      <c r="Y59" s="35">
        <v>0</v>
      </c>
      <c r="Z59" s="35">
        <v>0</v>
      </c>
      <c r="AA59" s="35">
        <v>0</v>
      </c>
      <c r="AB59" s="35">
        <v>0</v>
      </c>
      <c r="AC59" s="35">
        <v>0</v>
      </c>
      <c r="AD59" s="35">
        <v>0</v>
      </c>
      <c r="AE59" s="35">
        <v>0</v>
      </c>
      <c r="AF59" s="35">
        <v>0</v>
      </c>
      <c r="AG59" s="35">
        <v>0</v>
      </c>
      <c r="AH59" s="35"/>
      <c r="AI59" s="35"/>
    </row>
    <row r="60" spans="1:35" s="39" customFormat="1" ht="18" outlineLevel="1" x14ac:dyDescent="0.25">
      <c r="A60" s="81"/>
      <c r="B60" s="7" t="s">
        <v>91</v>
      </c>
      <c r="C60" s="7" t="s">
        <v>277</v>
      </c>
      <c r="E60" s="35">
        <v>-563</v>
      </c>
      <c r="F60" s="35">
        <v>-296</v>
      </c>
      <c r="G60" s="35">
        <v>-859</v>
      </c>
      <c r="H60" s="35">
        <f t="shared" si="32"/>
        <v>-27692</v>
      </c>
      <c r="I60" s="35">
        <v>-126974</v>
      </c>
      <c r="J60" s="35">
        <v>-99055.6</v>
      </c>
      <c r="K60" s="35"/>
      <c r="L60" s="35"/>
      <c r="M60" s="60"/>
      <c r="N60" s="35"/>
      <c r="O60" s="35">
        <v>-125</v>
      </c>
      <c r="P60" s="35">
        <v>-33</v>
      </c>
      <c r="Q60" s="35">
        <v>-70.755319999999998</v>
      </c>
      <c r="R60" s="35">
        <v>-630.24468000000002</v>
      </c>
      <c r="S60" s="35">
        <v>-447</v>
      </c>
      <c r="T60" s="35">
        <v>-567</v>
      </c>
      <c r="U60" s="35">
        <v>-9378</v>
      </c>
      <c r="V60" s="35">
        <v>-17300</v>
      </c>
      <c r="W60" s="35">
        <v>-38592</v>
      </c>
      <c r="X60" s="35">
        <v>-29335</v>
      </c>
      <c r="Y60" s="35">
        <v>-31475</v>
      </c>
      <c r="Z60" s="35">
        <v>-27572</v>
      </c>
      <c r="AA60" s="35">
        <v>-28107</v>
      </c>
      <c r="AB60" s="35">
        <v>-25253</v>
      </c>
      <c r="AC60" s="35">
        <v>-23878.600000000006</v>
      </c>
      <c r="AD60" s="35">
        <v>-21817</v>
      </c>
      <c r="AE60" s="35">
        <v>-21400</v>
      </c>
      <c r="AF60" s="35">
        <v>-31689.232999999993</v>
      </c>
      <c r="AG60" s="35">
        <v>-29504.135999999999</v>
      </c>
      <c r="AH60" s="35"/>
      <c r="AI60" s="35"/>
    </row>
    <row r="61" spans="1:35" s="39" customFormat="1" ht="18" outlineLevel="1" x14ac:dyDescent="0.25">
      <c r="A61" s="81"/>
      <c r="B61" s="7" t="s">
        <v>92</v>
      </c>
      <c r="C61" s="7" t="s">
        <v>339</v>
      </c>
      <c r="E61" s="35">
        <v>0</v>
      </c>
      <c r="F61" s="35">
        <v>0</v>
      </c>
      <c r="G61" s="35">
        <v>0</v>
      </c>
      <c r="H61" s="35">
        <f t="shared" si="32"/>
        <v>2934</v>
      </c>
      <c r="I61" s="35">
        <v>0</v>
      </c>
      <c r="J61" s="35">
        <v>0</v>
      </c>
      <c r="K61" s="35"/>
      <c r="L61" s="35"/>
      <c r="M61" s="60"/>
      <c r="N61" s="35"/>
      <c r="O61" s="35">
        <v>0</v>
      </c>
      <c r="P61" s="35">
        <v>0</v>
      </c>
      <c r="Q61" s="35">
        <v>0</v>
      </c>
      <c r="R61" s="35">
        <v>0</v>
      </c>
      <c r="S61" s="35">
        <v>0</v>
      </c>
      <c r="T61" s="35">
        <v>2934</v>
      </c>
      <c r="U61" s="35">
        <v>0</v>
      </c>
      <c r="V61" s="35">
        <v>0</v>
      </c>
      <c r="W61" s="35">
        <v>0</v>
      </c>
      <c r="X61" s="35">
        <v>0</v>
      </c>
      <c r="Y61" s="35">
        <v>0</v>
      </c>
      <c r="Z61" s="35">
        <v>0</v>
      </c>
      <c r="AA61" s="35">
        <v>0</v>
      </c>
      <c r="AB61" s="35">
        <v>0</v>
      </c>
      <c r="AC61" s="35">
        <v>0</v>
      </c>
      <c r="AD61" s="35">
        <v>0</v>
      </c>
      <c r="AE61" s="35">
        <v>0</v>
      </c>
      <c r="AF61" s="35">
        <v>0</v>
      </c>
      <c r="AG61" s="35">
        <v>0</v>
      </c>
      <c r="AH61" s="35"/>
      <c r="AI61" s="35"/>
    </row>
    <row r="62" spans="1:35" s="39" customFormat="1" ht="18" outlineLevel="1" x14ac:dyDescent="0.25">
      <c r="A62" s="81"/>
      <c r="B62" s="7" t="s">
        <v>302</v>
      </c>
      <c r="C62" s="7" t="s">
        <v>285</v>
      </c>
      <c r="E62" s="35">
        <v>0</v>
      </c>
      <c r="F62" s="35">
        <v>0</v>
      </c>
      <c r="G62" s="35">
        <v>0</v>
      </c>
      <c r="H62" s="35">
        <f t="shared" si="32"/>
        <v>12842.720700000002</v>
      </c>
      <c r="I62" s="35">
        <v>0</v>
      </c>
      <c r="J62" s="35">
        <v>0</v>
      </c>
      <c r="K62" s="35"/>
      <c r="L62" s="35"/>
      <c r="M62" s="60"/>
      <c r="N62" s="35"/>
      <c r="O62" s="35">
        <v>0</v>
      </c>
      <c r="P62" s="35">
        <v>0</v>
      </c>
      <c r="Q62" s="35">
        <v>0</v>
      </c>
      <c r="R62" s="35">
        <v>0</v>
      </c>
      <c r="S62" s="35">
        <v>0</v>
      </c>
      <c r="T62" s="35">
        <v>0</v>
      </c>
      <c r="U62" s="35">
        <v>2843.0962700000018</v>
      </c>
      <c r="V62" s="35">
        <v>9999.6244299999998</v>
      </c>
      <c r="W62" s="35">
        <v>0</v>
      </c>
      <c r="X62" s="35">
        <v>0</v>
      </c>
      <c r="Y62" s="35">
        <v>0</v>
      </c>
      <c r="Z62" s="35">
        <v>0</v>
      </c>
      <c r="AA62" s="35">
        <v>0</v>
      </c>
      <c r="AB62" s="35">
        <v>0</v>
      </c>
      <c r="AC62" s="35">
        <v>0</v>
      </c>
      <c r="AD62" s="35">
        <v>0</v>
      </c>
      <c r="AE62" s="35">
        <v>0</v>
      </c>
      <c r="AF62" s="35">
        <v>0</v>
      </c>
      <c r="AG62" s="35">
        <v>0</v>
      </c>
      <c r="AH62" s="35"/>
      <c r="AI62" s="35"/>
    </row>
    <row r="63" spans="1:35" s="39" customFormat="1" ht="18" outlineLevel="1" x14ac:dyDescent="0.25">
      <c r="A63" s="81"/>
      <c r="B63" s="7" t="s">
        <v>383</v>
      </c>
      <c r="C63" s="7" t="s">
        <v>397</v>
      </c>
      <c r="E63" s="35"/>
      <c r="F63" s="35"/>
      <c r="G63" s="35"/>
      <c r="H63" s="35"/>
      <c r="I63" s="35"/>
      <c r="J63" s="35"/>
      <c r="K63" s="35"/>
      <c r="L63" s="35"/>
      <c r="M63" s="60"/>
      <c r="N63" s="35"/>
      <c r="O63" s="35"/>
      <c r="P63" s="35"/>
      <c r="Q63" s="35"/>
      <c r="R63" s="35"/>
      <c r="S63" s="35"/>
      <c r="T63" s="35"/>
      <c r="U63" s="35"/>
      <c r="V63" s="35"/>
      <c r="W63" s="35"/>
      <c r="X63" s="35"/>
      <c r="Y63" s="35"/>
      <c r="Z63" s="35"/>
      <c r="AA63" s="35"/>
      <c r="AB63" s="35"/>
      <c r="AC63" s="35"/>
      <c r="AD63" s="35">
        <v>32074</v>
      </c>
      <c r="AE63" s="35">
        <v>14896.217790259367</v>
      </c>
      <c r="AF63" s="35">
        <v>39141.963113291858</v>
      </c>
      <c r="AG63" s="35">
        <v>-941.96557167473657</v>
      </c>
      <c r="AH63" s="35"/>
      <c r="AI63" s="35"/>
    </row>
    <row r="64" spans="1:35" s="39" customFormat="1" ht="18" outlineLevel="1" x14ac:dyDescent="0.25">
      <c r="A64" s="81"/>
      <c r="B64" s="11" t="s">
        <v>130</v>
      </c>
      <c r="C64" s="11" t="s">
        <v>340</v>
      </c>
      <c r="D64" s="42"/>
      <c r="E64" s="43">
        <v>0</v>
      </c>
      <c r="F64" s="43">
        <v>0</v>
      </c>
      <c r="G64" s="43">
        <v>0</v>
      </c>
      <c r="H64" s="43">
        <f t="shared" si="32"/>
        <v>12059</v>
      </c>
      <c r="I64" s="43">
        <v>0</v>
      </c>
      <c r="J64" s="43">
        <v>0</v>
      </c>
      <c r="K64" s="45"/>
      <c r="L64" s="45"/>
      <c r="M64" s="60"/>
      <c r="O64" s="43">
        <v>0</v>
      </c>
      <c r="P64" s="43">
        <v>0</v>
      </c>
      <c r="Q64" s="43">
        <v>0</v>
      </c>
      <c r="R64" s="43">
        <v>0</v>
      </c>
      <c r="S64" s="43">
        <v>0</v>
      </c>
      <c r="T64" s="43">
        <v>0</v>
      </c>
      <c r="U64" s="43">
        <v>12059</v>
      </c>
      <c r="V64" s="43">
        <v>0</v>
      </c>
      <c r="W64" s="43">
        <v>0</v>
      </c>
      <c r="X64" s="43">
        <v>0</v>
      </c>
      <c r="Y64" s="43">
        <v>0</v>
      </c>
      <c r="Z64" s="43">
        <v>0</v>
      </c>
      <c r="AA64" s="43">
        <v>0</v>
      </c>
      <c r="AB64" s="43">
        <v>0</v>
      </c>
      <c r="AC64" s="43">
        <v>0</v>
      </c>
      <c r="AD64" s="43">
        <v>0</v>
      </c>
      <c r="AE64" s="43">
        <v>0</v>
      </c>
      <c r="AF64" s="43">
        <v>0</v>
      </c>
      <c r="AG64" s="43">
        <v>0</v>
      </c>
      <c r="AH64" s="45"/>
      <c r="AI64" s="45"/>
    </row>
    <row r="65" spans="1:37" s="39" customFormat="1" ht="18" outlineLevel="1" x14ac:dyDescent="0.25">
      <c r="A65" s="81"/>
      <c r="B65" s="5" t="s">
        <v>131</v>
      </c>
      <c r="C65" s="5" t="s">
        <v>281</v>
      </c>
      <c r="D65" s="46"/>
      <c r="E65" s="37">
        <f t="shared" ref="E65:J65" si="33">SUM(E50:E64)</f>
        <v>18506</v>
      </c>
      <c r="F65" s="37">
        <f t="shared" si="33"/>
        <v>35704</v>
      </c>
      <c r="G65" s="37">
        <f t="shared" si="33"/>
        <v>53543</v>
      </c>
      <c r="H65" s="37">
        <f t="shared" si="33"/>
        <v>133961.32462694997</v>
      </c>
      <c r="I65" s="37">
        <f t="shared" si="33"/>
        <v>381705.97247855563</v>
      </c>
      <c r="J65" s="37">
        <f t="shared" si="33"/>
        <v>456678.8770898456</v>
      </c>
      <c r="K65" s="36">
        <f>I65/H65-1</f>
        <v>1.8493744261003306</v>
      </c>
      <c r="L65" s="36">
        <f>J65/I65-1</f>
        <v>0.19641533016752044</v>
      </c>
      <c r="M65" s="60"/>
      <c r="O65" s="37">
        <f t="shared" ref="O65:W65" si="34">SUM(O50:O64)</f>
        <v>5671</v>
      </c>
      <c r="P65" s="37">
        <f t="shared" si="34"/>
        <v>16027</v>
      </c>
      <c r="Q65" s="37">
        <f t="shared" si="34"/>
        <v>18060.336889999999</v>
      </c>
      <c r="R65" s="37">
        <f t="shared" si="34"/>
        <v>13784.663109999998</v>
      </c>
      <c r="S65" s="37">
        <f t="shared" si="34"/>
        <v>11775</v>
      </c>
      <c r="T65" s="37">
        <f t="shared" si="34"/>
        <v>38202</v>
      </c>
      <c r="U65" s="37">
        <f t="shared" si="34"/>
        <v>60271.091986949999</v>
      </c>
      <c r="V65" s="37">
        <f t="shared" si="34"/>
        <v>23713.232640000006</v>
      </c>
      <c r="W65" s="37">
        <f t="shared" si="34"/>
        <v>92821.577838148951</v>
      </c>
      <c r="X65" s="37">
        <v>55595.735161851044</v>
      </c>
      <c r="Y65" s="37">
        <f t="shared" ref="Y65:AE65" si="35">SUM(Y50:Y64)</f>
        <v>-41353.466142344405</v>
      </c>
      <c r="Z65" s="37">
        <f t="shared" si="35"/>
        <v>240107.12562090001</v>
      </c>
      <c r="AA65" s="37">
        <f t="shared" si="35"/>
        <v>105576.13054000001</v>
      </c>
      <c r="AB65" s="37">
        <f t="shared" si="35"/>
        <v>122763.50107186107</v>
      </c>
      <c r="AC65" s="37">
        <f t="shared" si="35"/>
        <v>142044.43980115242</v>
      </c>
      <c r="AD65" s="37">
        <f t="shared" si="35"/>
        <v>118369.34536105805</v>
      </c>
      <c r="AE65" s="37">
        <f t="shared" si="35"/>
        <v>124181.25965326282</v>
      </c>
      <c r="AF65" s="37">
        <f t="shared" ref="AF65:AG65" si="36">SUM(AF50:AF64)</f>
        <v>110566.79249197265</v>
      </c>
      <c r="AG65" s="37">
        <f t="shared" si="36"/>
        <v>156283.37938945927</v>
      </c>
      <c r="AH65" s="36">
        <f>AG65/AC65-1</f>
        <v>0.10024285081654649</v>
      </c>
      <c r="AI65" s="36">
        <f>AG65/AF65-1</f>
        <v>0.41347484056576689</v>
      </c>
    </row>
    <row r="66" spans="1:37" s="39" customFormat="1" ht="18" outlineLevel="1" x14ac:dyDescent="0.25">
      <c r="A66" s="81"/>
      <c r="B66" s="7" t="s">
        <v>404</v>
      </c>
      <c r="C66" s="7" t="s">
        <v>403</v>
      </c>
      <c r="E66" s="10">
        <f t="shared" ref="E66:J66" si="37">E65/E42</f>
        <v>0.47913214581607289</v>
      </c>
      <c r="F66" s="10">
        <f t="shared" si="37"/>
        <v>0.59854822215889092</v>
      </c>
      <c r="G66" s="10">
        <f t="shared" si="37"/>
        <v>0.47577284319213786</v>
      </c>
      <c r="H66" s="10">
        <f t="shared" si="37"/>
        <v>0.35287152986826709</v>
      </c>
      <c r="I66" s="10">
        <f t="shared" si="37"/>
        <v>0.42795459792131413</v>
      </c>
      <c r="J66" s="10">
        <f t="shared" si="37"/>
        <v>0.36632720307020428</v>
      </c>
      <c r="M66" s="60"/>
      <c r="O66" s="10">
        <f t="shared" ref="O66:W66" si="38">O65/O42</f>
        <v>0.58566559950428587</v>
      </c>
      <c r="P66" s="10">
        <f t="shared" si="38"/>
        <v>1.3901465868678984</v>
      </c>
      <c r="Q66" s="10">
        <f t="shared" si="38"/>
        <v>1.2283572816593149</v>
      </c>
      <c r="R66" s="10">
        <f t="shared" si="38"/>
        <v>0.66666123926188492</v>
      </c>
      <c r="S66" s="10">
        <f t="shared" si="38"/>
        <v>0.43421343756914227</v>
      </c>
      <c r="T66" s="10">
        <f t="shared" si="38"/>
        <v>0.9939378170937947</v>
      </c>
      <c r="U66" s="10">
        <f t="shared" si="38"/>
        <v>1.1376841268276798</v>
      </c>
      <c r="V66" s="10">
        <f t="shared" si="38"/>
        <v>0.3077761968668476</v>
      </c>
      <c r="W66" s="10">
        <f t="shared" si="38"/>
        <v>1.058966354125346</v>
      </c>
      <c r="X66" s="10">
        <v>0.54105665143791037</v>
      </c>
      <c r="Y66" s="10">
        <f t="shared" ref="Y66:AE66" si="39">Y65/Y42</f>
        <v>-0.35068193772499345</v>
      </c>
      <c r="Z66" s="10">
        <f t="shared" si="39"/>
        <v>1.9037838712101871</v>
      </c>
      <c r="AA66" s="10">
        <f t="shared" si="39"/>
        <v>0.88074789181703672</v>
      </c>
      <c r="AB66" s="10">
        <f t="shared" si="39"/>
        <v>0.81442721759805936</v>
      </c>
      <c r="AC66" s="10">
        <f t="shared" si="39"/>
        <v>0.8417198886027224</v>
      </c>
      <c r="AD66" s="10">
        <f t="shared" si="39"/>
        <v>0.71075197915863386</v>
      </c>
      <c r="AE66" s="10">
        <f t="shared" si="39"/>
        <v>0.71660536123204799</v>
      </c>
      <c r="AF66" s="10">
        <f t="shared" ref="AF66:AG66" si="40">AF65/AF42</f>
        <v>0.66117262259602527</v>
      </c>
      <c r="AG66" s="10">
        <f t="shared" si="40"/>
        <v>0.84106163686973168</v>
      </c>
    </row>
    <row r="67" spans="1:37" s="39" customFormat="1" x14ac:dyDescent="0.25">
      <c r="A67" s="82" t="s">
        <v>148</v>
      </c>
      <c r="E67" s="62"/>
      <c r="F67" s="62"/>
      <c r="G67" s="62"/>
      <c r="H67" s="62"/>
      <c r="I67" s="62"/>
      <c r="J67" s="62"/>
      <c r="M67" s="60"/>
      <c r="O67" s="62"/>
      <c r="P67" s="62"/>
      <c r="Q67" s="62"/>
      <c r="R67" s="62"/>
      <c r="S67" s="62"/>
      <c r="T67" s="62"/>
      <c r="U67" s="62"/>
      <c r="V67" s="62"/>
      <c r="W67" s="62"/>
      <c r="X67" s="62"/>
      <c r="Y67" s="62"/>
      <c r="Z67" s="62"/>
      <c r="AA67" s="62"/>
      <c r="AB67" s="62"/>
      <c r="AC67" s="62"/>
      <c r="AD67" s="62"/>
      <c r="AE67" s="62"/>
      <c r="AF67" s="62"/>
      <c r="AG67" s="62"/>
    </row>
    <row r="68" spans="1:37" s="39" customFormat="1" ht="18" x14ac:dyDescent="0.25">
      <c r="A68" s="81"/>
      <c r="B68" s="8" t="s">
        <v>78</v>
      </c>
      <c r="C68" s="8" t="s">
        <v>286</v>
      </c>
      <c r="D68" s="47"/>
      <c r="E68" s="47"/>
      <c r="F68" s="47"/>
      <c r="G68" s="47"/>
      <c r="H68" s="47"/>
      <c r="I68" s="47"/>
      <c r="J68" s="47"/>
      <c r="K68" s="47"/>
      <c r="L68" s="47"/>
      <c r="M68" s="60"/>
      <c r="O68" s="47"/>
      <c r="P68" s="47"/>
      <c r="Q68" s="47"/>
      <c r="R68" s="47"/>
      <c r="S68" s="47"/>
      <c r="T68" s="47"/>
      <c r="U68" s="47"/>
      <c r="V68" s="47"/>
      <c r="W68" s="47"/>
      <c r="X68" s="47"/>
      <c r="Y68" s="47"/>
      <c r="Z68" s="47"/>
      <c r="AA68" s="47"/>
      <c r="AB68" s="47"/>
      <c r="AC68" s="47"/>
      <c r="AD68" s="47"/>
      <c r="AE68" s="47"/>
      <c r="AF68" s="47"/>
      <c r="AG68" s="47"/>
      <c r="AH68" s="47"/>
      <c r="AI68" s="47"/>
    </row>
    <row r="69" spans="1:37" s="39" customFormat="1" ht="6.75" customHeight="1" outlineLevel="1" x14ac:dyDescent="0.25">
      <c r="A69" s="81"/>
      <c r="M69" s="60"/>
    </row>
    <row r="70" spans="1:37" s="39" customFormat="1" ht="18" outlineLevel="1" x14ac:dyDescent="0.25">
      <c r="A70" s="81"/>
      <c r="B70" s="7" t="s">
        <v>132</v>
      </c>
      <c r="C70" s="7" t="s">
        <v>341</v>
      </c>
      <c r="E70" s="35">
        <v>15247</v>
      </c>
      <c r="F70" s="35">
        <v>27070</v>
      </c>
      <c r="G70" s="35">
        <v>64963</v>
      </c>
      <c r="H70" s="35">
        <f>'BP - Balance Sheet'!H26</f>
        <v>163742</v>
      </c>
      <c r="I70" s="35">
        <v>56580</v>
      </c>
      <c r="J70" s="35">
        <v>261370</v>
      </c>
      <c r="K70" s="10">
        <f t="shared" ref="K70:L74" si="41">I70/H70-1</f>
        <v>-0.65445640092340396</v>
      </c>
      <c r="L70" s="10">
        <f t="shared" si="41"/>
        <v>3.6194768469423826</v>
      </c>
      <c r="M70" s="60"/>
      <c r="O70" s="35">
        <f>'BP - Balance Sheet'!O26</f>
        <v>27221</v>
      </c>
      <c r="P70" s="35">
        <f>'BP - Balance Sheet'!P26</f>
        <v>27029</v>
      </c>
      <c r="Q70" s="35">
        <f>'BP - Balance Sheet'!Q26</f>
        <v>41489</v>
      </c>
      <c r="R70" s="35">
        <f>'BP - Balance Sheet'!R26</f>
        <v>64963</v>
      </c>
      <c r="S70" s="35">
        <f>'BP - Balance Sheet'!S26</f>
        <v>78358</v>
      </c>
      <c r="T70" s="35">
        <f>'BP - Balance Sheet'!T26</f>
        <v>83984</v>
      </c>
      <c r="U70" s="35">
        <f>'BP - Balance Sheet'!U26</f>
        <v>124893</v>
      </c>
      <c r="V70" s="35">
        <f>'BP - Balance Sheet'!V26</f>
        <v>163742</v>
      </c>
      <c r="W70" s="35">
        <v>190376</v>
      </c>
      <c r="X70" s="35">
        <v>124856</v>
      </c>
      <c r="Y70" s="35">
        <v>95102</v>
      </c>
      <c r="Z70" s="35">
        <v>56580</v>
      </c>
      <c r="AA70" s="35">
        <v>126671</v>
      </c>
      <c r="AB70" s="35">
        <v>64454</v>
      </c>
      <c r="AC70" s="35">
        <v>126640</v>
      </c>
      <c r="AD70" s="35">
        <v>261370</v>
      </c>
      <c r="AE70" s="35">
        <v>366950</v>
      </c>
      <c r="AF70" s="35">
        <v>343902</v>
      </c>
      <c r="AG70" s="35">
        <v>379004.86200000002</v>
      </c>
      <c r="AH70" s="10">
        <f>AG70/AC70-1</f>
        <v>1.9927737049905243</v>
      </c>
      <c r="AI70" s="10">
        <f>AG70/AF70-1</f>
        <v>0.10207228221993492</v>
      </c>
    </row>
    <row r="71" spans="1:37" s="39" customFormat="1" ht="18" outlineLevel="1" x14ac:dyDescent="0.25">
      <c r="A71" s="81"/>
      <c r="B71" s="80" t="s">
        <v>133</v>
      </c>
      <c r="C71" s="80" t="s">
        <v>342</v>
      </c>
      <c r="D71" s="86"/>
      <c r="E71" s="87">
        <v>33543</v>
      </c>
      <c r="F71" s="87">
        <v>45754</v>
      </c>
      <c r="G71" s="87">
        <v>223592</v>
      </c>
      <c r="H71" s="87">
        <f>'BP - Balance Sheet'!H39</f>
        <v>1710082</v>
      </c>
      <c r="I71" s="87">
        <v>2008093</v>
      </c>
      <c r="J71" s="87">
        <v>1788717</v>
      </c>
      <c r="K71" s="88">
        <f t="shared" si="41"/>
        <v>0.17426708192940454</v>
      </c>
      <c r="L71" s="88">
        <f t="shared" si="41"/>
        <v>-0.1092459363186864</v>
      </c>
      <c r="M71" s="60"/>
      <c r="O71" s="87">
        <f>'BP - Balance Sheet'!O39</f>
        <v>67713</v>
      </c>
      <c r="P71" s="87">
        <f>'BP - Balance Sheet'!P39</f>
        <v>83162</v>
      </c>
      <c r="Q71" s="87">
        <f>'BP - Balance Sheet'!Q39</f>
        <v>180474</v>
      </c>
      <c r="R71" s="87">
        <f>'BP - Balance Sheet'!R39</f>
        <v>223592</v>
      </c>
      <c r="S71" s="87">
        <f>'BP - Balance Sheet'!S39</f>
        <v>323020</v>
      </c>
      <c r="T71" s="87">
        <f>'BP - Balance Sheet'!T39</f>
        <v>524767</v>
      </c>
      <c r="U71" s="87">
        <f>'BP - Balance Sheet'!U39</f>
        <v>597846</v>
      </c>
      <c r="V71" s="87">
        <f>'BP - Balance Sheet'!V39</f>
        <v>1710082</v>
      </c>
      <c r="W71" s="87">
        <v>1600634</v>
      </c>
      <c r="X71" s="87">
        <v>1445087</v>
      </c>
      <c r="Y71" s="87">
        <v>1716675</v>
      </c>
      <c r="Z71" s="87">
        <v>2008093</v>
      </c>
      <c r="AA71" s="87">
        <v>2001548</v>
      </c>
      <c r="AB71" s="87">
        <v>1992595</v>
      </c>
      <c r="AC71" s="87">
        <v>1990287</v>
      </c>
      <c r="AD71" s="87">
        <v>1788717</v>
      </c>
      <c r="AE71" s="87">
        <v>2433112</v>
      </c>
      <c r="AF71" s="87">
        <v>2423527</v>
      </c>
      <c r="AG71" s="87">
        <v>2425763.02</v>
      </c>
      <c r="AH71" s="88">
        <f t="shared" ref="AH71:AH74" si="42">AG71/AC71-1</f>
        <v>0.21880061518765892</v>
      </c>
      <c r="AI71" s="88">
        <f t="shared" ref="AI71:AI74" si="43">AG71/AF71-1</f>
        <v>9.2263052980223748E-4</v>
      </c>
    </row>
    <row r="72" spans="1:37" s="39" customFormat="1" ht="18" outlineLevel="1" x14ac:dyDescent="0.25">
      <c r="A72" s="81"/>
      <c r="B72" s="5" t="s">
        <v>79</v>
      </c>
      <c r="C72" s="5" t="s">
        <v>287</v>
      </c>
      <c r="D72" s="46"/>
      <c r="E72" s="37">
        <f t="shared" ref="E72:J72" si="44">SUM(E70:E71)</f>
        <v>48790</v>
      </c>
      <c r="F72" s="37">
        <f t="shared" si="44"/>
        <v>72824</v>
      </c>
      <c r="G72" s="37">
        <f t="shared" si="44"/>
        <v>288555</v>
      </c>
      <c r="H72" s="37">
        <f t="shared" si="44"/>
        <v>1873824</v>
      </c>
      <c r="I72" s="37">
        <f t="shared" si="44"/>
        <v>2064673</v>
      </c>
      <c r="J72" s="37">
        <f t="shared" si="44"/>
        <v>2050087</v>
      </c>
      <c r="K72" s="36">
        <f t="shared" si="41"/>
        <v>0.10185001366190205</v>
      </c>
      <c r="L72" s="36">
        <f t="shared" si="41"/>
        <v>-7.0645569540551678E-3</v>
      </c>
      <c r="M72" s="60"/>
      <c r="O72" s="37">
        <f t="shared" ref="O72:AG72" si="45">SUM(O70:O71)</f>
        <v>94934</v>
      </c>
      <c r="P72" s="37">
        <f t="shared" si="45"/>
        <v>110191</v>
      </c>
      <c r="Q72" s="37">
        <f t="shared" si="45"/>
        <v>221963</v>
      </c>
      <c r="R72" s="37">
        <f t="shared" si="45"/>
        <v>288555</v>
      </c>
      <c r="S72" s="37">
        <f t="shared" si="45"/>
        <v>401378</v>
      </c>
      <c r="T72" s="37">
        <f t="shared" si="45"/>
        <v>608751</v>
      </c>
      <c r="U72" s="37">
        <f t="shared" si="45"/>
        <v>722739</v>
      </c>
      <c r="V72" s="37">
        <f t="shared" si="45"/>
        <v>1873824</v>
      </c>
      <c r="W72" s="37">
        <f t="shared" si="45"/>
        <v>1791010</v>
      </c>
      <c r="X72" s="37">
        <v>1569943</v>
      </c>
      <c r="Y72" s="37">
        <f t="shared" si="45"/>
        <v>1811777</v>
      </c>
      <c r="Z72" s="37">
        <f t="shared" si="45"/>
        <v>2064673</v>
      </c>
      <c r="AA72" s="37">
        <f t="shared" si="45"/>
        <v>2128219</v>
      </c>
      <c r="AB72" s="37">
        <f t="shared" si="45"/>
        <v>2057049</v>
      </c>
      <c r="AC72" s="37">
        <f t="shared" si="45"/>
        <v>2116927</v>
      </c>
      <c r="AD72" s="37">
        <f t="shared" si="45"/>
        <v>2050087</v>
      </c>
      <c r="AE72" s="37">
        <f t="shared" si="45"/>
        <v>2800062</v>
      </c>
      <c r="AF72" s="37">
        <f t="shared" si="45"/>
        <v>2767429</v>
      </c>
      <c r="AG72" s="37">
        <f t="shared" si="45"/>
        <v>2804767.8820000002</v>
      </c>
      <c r="AH72" s="36">
        <f t="shared" si="42"/>
        <v>0.32492423309826002</v>
      </c>
      <c r="AI72" s="36">
        <f t="shared" si="43"/>
        <v>1.3492263758166922E-2</v>
      </c>
      <c r="AK72" s="85"/>
    </row>
    <row r="73" spans="1:37" s="39" customFormat="1" ht="18" outlineLevel="1" x14ac:dyDescent="0.25">
      <c r="A73" s="81"/>
      <c r="B73" s="11" t="s">
        <v>386</v>
      </c>
      <c r="C73" s="11" t="s">
        <v>191</v>
      </c>
      <c r="D73" s="42"/>
      <c r="E73" s="43">
        <v>-2460</v>
      </c>
      <c r="F73" s="43">
        <v>-6793</v>
      </c>
      <c r="G73" s="43">
        <v>-84767</v>
      </c>
      <c r="H73" s="43">
        <v>-1668121</v>
      </c>
      <c r="I73" s="43">
        <v>-938358</v>
      </c>
      <c r="J73" s="43">
        <v>-729595</v>
      </c>
      <c r="K73" s="88">
        <f t="shared" si="41"/>
        <v>-0.43747605839144765</v>
      </c>
      <c r="L73" s="88">
        <f t="shared" si="41"/>
        <v>-0.22247692245390349</v>
      </c>
      <c r="M73" s="60"/>
      <c r="O73" s="43">
        <v>-4405</v>
      </c>
      <c r="P73" s="43">
        <v>-13372</v>
      </c>
      <c r="Q73" s="43">
        <v>-49038.092210000003</v>
      </c>
      <c r="R73" s="43">
        <v>-84767</v>
      </c>
      <c r="S73" s="43">
        <v>-108963</v>
      </c>
      <c r="T73" s="43">
        <v>-134925</v>
      </c>
      <c r="U73" s="43">
        <v>-892411.2876618756</v>
      </c>
      <c r="V73" s="43">
        <v>-1668121</v>
      </c>
      <c r="W73" s="43">
        <v>-1352979</v>
      </c>
      <c r="X73" s="43">
        <v>-883958</v>
      </c>
      <c r="Y73" s="43">
        <v>-859354</v>
      </c>
      <c r="Z73" s="43">
        <v>-938358</v>
      </c>
      <c r="AA73" s="43">
        <v>-869390</v>
      </c>
      <c r="AB73" s="43">
        <v>-762979</v>
      </c>
      <c r="AC73" s="43">
        <v>-787044</v>
      </c>
      <c r="AD73" s="43">
        <v>-729595</v>
      </c>
      <c r="AE73" s="43">
        <v>-1344971</v>
      </c>
      <c r="AF73" s="43">
        <v>-1175703.773</v>
      </c>
      <c r="AG73" s="43">
        <v>-1122961.8599999999</v>
      </c>
      <c r="AH73" s="88">
        <f t="shared" si="42"/>
        <v>0.42680950493237968</v>
      </c>
      <c r="AI73" s="88">
        <f t="shared" si="43"/>
        <v>-4.4859865394001885E-2</v>
      </c>
    </row>
    <row r="74" spans="1:37" s="39" customFormat="1" ht="18" outlineLevel="1" x14ac:dyDescent="0.25">
      <c r="A74" s="81"/>
      <c r="B74" s="5" t="s">
        <v>5</v>
      </c>
      <c r="C74" s="5" t="s">
        <v>286</v>
      </c>
      <c r="D74" s="46"/>
      <c r="E74" s="37">
        <f t="shared" ref="E74:J74" si="46">E72+E73</f>
        <v>46330</v>
      </c>
      <c r="F74" s="37">
        <f t="shared" si="46"/>
        <v>66031</v>
      </c>
      <c r="G74" s="37">
        <f t="shared" si="46"/>
        <v>203788</v>
      </c>
      <c r="H74" s="37">
        <f t="shared" si="46"/>
        <v>205703</v>
      </c>
      <c r="I74" s="37">
        <f t="shared" si="46"/>
        <v>1126315</v>
      </c>
      <c r="J74" s="37">
        <f t="shared" si="46"/>
        <v>1320492</v>
      </c>
      <c r="K74" s="36">
        <f t="shared" si="41"/>
        <v>4.4754427499842002</v>
      </c>
      <c r="L74" s="36">
        <f t="shared" si="41"/>
        <v>0.17240026102822026</v>
      </c>
      <c r="M74" s="60"/>
      <c r="O74" s="37">
        <f t="shared" ref="O74:W74" si="47">O72+O73</f>
        <v>90529</v>
      </c>
      <c r="P74" s="37">
        <f t="shared" si="47"/>
        <v>96819</v>
      </c>
      <c r="Q74" s="37">
        <f t="shared" si="47"/>
        <v>172924.90779</v>
      </c>
      <c r="R74" s="37">
        <f t="shared" si="47"/>
        <v>203788</v>
      </c>
      <c r="S74" s="37">
        <f t="shared" si="47"/>
        <v>292415</v>
      </c>
      <c r="T74" s="37">
        <f t="shared" si="47"/>
        <v>473826</v>
      </c>
      <c r="U74" s="37">
        <f t="shared" si="47"/>
        <v>-169672.2876618756</v>
      </c>
      <c r="V74" s="37">
        <f t="shared" si="47"/>
        <v>205703</v>
      </c>
      <c r="W74" s="37">
        <f t="shared" si="47"/>
        <v>438031</v>
      </c>
      <c r="X74" s="37">
        <f t="shared" ref="X74:AG74" si="48">X72+X73</f>
        <v>685985</v>
      </c>
      <c r="Y74" s="37">
        <f t="shared" si="48"/>
        <v>952423</v>
      </c>
      <c r="Z74" s="37">
        <f t="shared" si="48"/>
        <v>1126315</v>
      </c>
      <c r="AA74" s="37">
        <f t="shared" si="48"/>
        <v>1258829</v>
      </c>
      <c r="AB74" s="37">
        <f t="shared" si="48"/>
        <v>1294070</v>
      </c>
      <c r="AC74" s="37">
        <f t="shared" si="48"/>
        <v>1329883</v>
      </c>
      <c r="AD74" s="37">
        <f t="shared" si="48"/>
        <v>1320492</v>
      </c>
      <c r="AE74" s="37">
        <f t="shared" si="48"/>
        <v>1455091</v>
      </c>
      <c r="AF74" s="37">
        <f t="shared" si="48"/>
        <v>1591725.227</v>
      </c>
      <c r="AG74" s="37">
        <f t="shared" si="48"/>
        <v>1681806.0220000003</v>
      </c>
      <c r="AH74" s="36">
        <f t="shared" si="42"/>
        <v>0.26462705516199581</v>
      </c>
      <c r="AI74" s="36">
        <f t="shared" si="43"/>
        <v>5.6593181707486062E-2</v>
      </c>
    </row>
    <row r="75" spans="1:37" s="39" customFormat="1" ht="6" customHeight="1" outlineLevel="1" x14ac:dyDescent="0.25">
      <c r="A75" s="81"/>
      <c r="B75" s="5"/>
      <c r="C75" s="5"/>
      <c r="D75" s="46"/>
      <c r="E75" s="37"/>
      <c r="F75" s="37"/>
      <c r="G75" s="37"/>
      <c r="H75" s="37"/>
      <c r="I75" s="37"/>
      <c r="J75" s="37"/>
      <c r="K75" s="36"/>
      <c r="L75" s="36"/>
      <c r="M75" s="60"/>
      <c r="O75" s="37"/>
      <c r="P75" s="37"/>
      <c r="Q75" s="37"/>
      <c r="R75" s="37"/>
      <c r="S75" s="37"/>
      <c r="T75" s="37"/>
      <c r="U75" s="37"/>
      <c r="V75" s="37"/>
      <c r="W75" s="37"/>
      <c r="X75" s="37"/>
      <c r="Y75" s="37"/>
      <c r="Z75" s="37"/>
      <c r="AA75" s="37"/>
      <c r="AB75" s="37"/>
      <c r="AC75" s="37"/>
      <c r="AD75" s="37"/>
      <c r="AE75" s="37"/>
      <c r="AF75" s="37"/>
      <c r="AG75" s="37"/>
      <c r="AH75" s="36"/>
      <c r="AI75" s="36"/>
    </row>
    <row r="76" spans="1:37" s="39" customFormat="1" ht="18" outlineLevel="1" x14ac:dyDescent="0.25">
      <c r="A76" s="81"/>
      <c r="B76" s="7" t="s">
        <v>304</v>
      </c>
      <c r="C76" s="7" t="s">
        <v>405</v>
      </c>
      <c r="E76" s="89" t="e">
        <f>E74/#REF!</f>
        <v>#REF!</v>
      </c>
      <c r="F76" s="89" t="e">
        <f>F74/#REF!</f>
        <v>#REF!</v>
      </c>
      <c r="G76" s="89" t="e">
        <f>G74/#REF!</f>
        <v>#REF!</v>
      </c>
      <c r="H76" s="89" t="e">
        <f>H74/#REF!</f>
        <v>#REF!</v>
      </c>
      <c r="I76" s="89" t="e">
        <f>I74/#REF!</f>
        <v>#REF!</v>
      </c>
      <c r="J76" s="89" t="e">
        <f>J74/#REF!</f>
        <v>#REF!</v>
      </c>
      <c r="K76" s="10" t="e">
        <f>I76/H76-1</f>
        <v>#REF!</v>
      </c>
      <c r="L76" s="10" t="e">
        <f>J76/I76-1</f>
        <v>#REF!</v>
      </c>
      <c r="M76" s="60"/>
      <c r="O76" s="89">
        <v>2.7186702303372474</v>
      </c>
      <c r="P76" s="89">
        <v>2.5852180182104618</v>
      </c>
      <c r="Q76" s="89">
        <v>3.6829490790939854</v>
      </c>
      <c r="R76" s="89">
        <v>3.642518812447495</v>
      </c>
      <c r="S76" s="89">
        <v>3.9882024004364429</v>
      </c>
      <c r="T76" s="89">
        <v>4.7149211403552416</v>
      </c>
      <c r="U76" s="89">
        <v>-1.2202411308510102</v>
      </c>
      <c r="V76" s="89">
        <v>1.0440875660475999</v>
      </c>
      <c r="W76" s="89">
        <v>1.6868236816364883</v>
      </c>
      <c r="X76" s="89">
        <v>2.0977557192615501</v>
      </c>
      <c r="Y76" s="89">
        <v>2.3832918360963404</v>
      </c>
      <c r="Z76" s="89">
        <v>2.46199833872519</v>
      </c>
      <c r="AA76" s="89">
        <v>2.5020153997209444</v>
      </c>
      <c r="AB76" s="89">
        <v>2.3413817747582302</v>
      </c>
      <c r="AC76" s="89">
        <v>2.2101947136798161</v>
      </c>
      <c r="AD76" s="89">
        <v>2.0608890671552693</v>
      </c>
      <c r="AE76" s="89">
        <v>2.1286424206782848</v>
      </c>
      <c r="AF76" s="89">
        <v>2.2726389170506911</v>
      </c>
      <c r="AG76" s="89">
        <v>2.23</v>
      </c>
      <c r="AH76" s="10">
        <f t="shared" ref="AH76" si="49">AG76/AC76-1</f>
        <v>8.9608785133730162E-3</v>
      </c>
      <c r="AI76" s="10">
        <f t="shared" ref="AI76" si="50">AG76/AF76-1</f>
        <v>-1.8761852897435038E-2</v>
      </c>
    </row>
    <row r="77" spans="1:37" s="39" customFormat="1" x14ac:dyDescent="0.25">
      <c r="A77" s="82" t="s">
        <v>148</v>
      </c>
      <c r="B77" s="7"/>
      <c r="C77" s="7"/>
      <c r="E77" s="10"/>
      <c r="F77" s="10"/>
      <c r="G77" s="10"/>
      <c r="H77" s="10"/>
      <c r="I77" s="10"/>
      <c r="J77" s="10"/>
      <c r="M77" s="60"/>
      <c r="S77" s="10"/>
      <c r="T77" s="10"/>
      <c r="U77" s="90"/>
      <c r="V77" s="90"/>
      <c r="W77" s="90"/>
      <c r="X77" s="90"/>
      <c r="Y77" s="90"/>
      <c r="Z77" s="90"/>
      <c r="AA77" s="90"/>
      <c r="AB77" s="90"/>
      <c r="AC77" s="90"/>
      <c r="AD77" s="90"/>
      <c r="AE77" s="90"/>
      <c r="AF77" s="90"/>
      <c r="AG77" s="90"/>
    </row>
    <row r="78" spans="1:37" s="39" customFormat="1" ht="18" x14ac:dyDescent="0.25">
      <c r="A78" s="81"/>
      <c r="B78" s="8" t="s">
        <v>6</v>
      </c>
      <c r="C78" s="8" t="s">
        <v>288</v>
      </c>
      <c r="D78" s="47"/>
      <c r="E78" s="47"/>
      <c r="F78" s="47"/>
      <c r="G78" s="47"/>
      <c r="H78" s="47"/>
      <c r="I78" s="47"/>
      <c r="J78" s="47"/>
      <c r="K78" s="47"/>
      <c r="L78" s="47"/>
      <c r="M78" s="60"/>
      <c r="O78" s="47"/>
      <c r="P78" s="47"/>
      <c r="Q78" s="47"/>
      <c r="R78" s="47"/>
      <c r="S78" s="47"/>
      <c r="T78" s="47"/>
      <c r="U78" s="47"/>
      <c r="V78" s="47"/>
      <c r="W78" s="47"/>
      <c r="X78" s="47"/>
      <c r="Y78" s="47"/>
      <c r="Z78" s="47"/>
      <c r="AA78" s="47"/>
      <c r="AB78" s="47"/>
      <c r="AC78" s="47"/>
      <c r="AD78" s="47"/>
      <c r="AE78" s="47"/>
      <c r="AF78" s="47"/>
      <c r="AG78" s="47"/>
      <c r="AH78" s="47"/>
      <c r="AI78" s="47"/>
    </row>
    <row r="79" spans="1:37" s="39" customFormat="1" ht="6.75" customHeight="1" outlineLevel="1" x14ac:dyDescent="0.25">
      <c r="A79" s="81"/>
      <c r="M79" s="60"/>
    </row>
    <row r="80" spans="1:37" s="39" customFormat="1" ht="18" outlineLevel="1" x14ac:dyDescent="0.25">
      <c r="A80" s="81"/>
      <c r="B80" s="7" t="s">
        <v>400</v>
      </c>
      <c r="C80" s="7" t="s">
        <v>406</v>
      </c>
      <c r="E80" s="35">
        <v>14946</v>
      </c>
      <c r="F80" s="35">
        <v>23044</v>
      </c>
      <c r="G80" s="35">
        <v>40465</v>
      </c>
      <c r="H80" s="35">
        <f>H45</f>
        <v>325018</v>
      </c>
      <c r="I80" s="35">
        <v>297284</v>
      </c>
      <c r="J80" s="35">
        <v>420251</v>
      </c>
      <c r="K80" s="10"/>
      <c r="L80" s="10"/>
      <c r="M80" s="60"/>
      <c r="O80" s="35">
        <f t="shared" ref="O80:V80" si="51">O45</f>
        <v>7299</v>
      </c>
      <c r="P80" s="35">
        <f t="shared" si="51"/>
        <v>8285</v>
      </c>
      <c r="Q80" s="35">
        <f t="shared" si="51"/>
        <v>10651.837000000001</v>
      </c>
      <c r="R80" s="35">
        <f t="shared" si="51"/>
        <v>14229.163000000002</v>
      </c>
      <c r="S80" s="35">
        <f t="shared" si="51"/>
        <v>19036</v>
      </c>
      <c r="T80" s="35">
        <f t="shared" si="51"/>
        <v>27187</v>
      </c>
      <c r="U80" s="35">
        <f t="shared" si="51"/>
        <v>41226</v>
      </c>
      <c r="V80" s="35">
        <f t="shared" si="51"/>
        <v>53514</v>
      </c>
      <c r="W80" s="35">
        <v>60626</v>
      </c>
      <c r="X80" s="35">
        <v>71740</v>
      </c>
      <c r="Y80" s="35">
        <f>Y45</f>
        <v>81855</v>
      </c>
      <c r="Z80" s="35">
        <f>Z45</f>
        <v>83063</v>
      </c>
      <c r="AA80" s="35">
        <f>AA45</f>
        <v>78153</v>
      </c>
      <c r="AB80" s="35">
        <v>106747</v>
      </c>
      <c r="AC80" s="35">
        <v>120876</v>
      </c>
      <c r="AD80" s="35">
        <v>114475</v>
      </c>
      <c r="AE80" s="35">
        <v>129041</v>
      </c>
      <c r="AF80" s="35">
        <v>133105.32844748424</v>
      </c>
      <c r="AG80" s="35">
        <v>143305.28720276023</v>
      </c>
      <c r="AH80" s="10"/>
      <c r="AI80" s="10"/>
    </row>
    <row r="81" spans="1:35" s="39" customFormat="1" ht="18" outlineLevel="1" x14ac:dyDescent="0.25">
      <c r="A81" s="81"/>
      <c r="B81" s="11" t="s">
        <v>80</v>
      </c>
      <c r="C81" s="11" t="s">
        <v>344</v>
      </c>
      <c r="D81" s="42"/>
      <c r="E81" s="43">
        <v>0</v>
      </c>
      <c r="F81" s="43">
        <v>-106</v>
      </c>
      <c r="G81" s="43">
        <v>0</v>
      </c>
      <c r="H81" s="43">
        <f>MIN('DRE - Income Statement'!H39,0)</f>
        <v>-3500</v>
      </c>
      <c r="I81" s="43">
        <v>-6080</v>
      </c>
      <c r="J81" s="43">
        <v>0</v>
      </c>
      <c r="K81" s="45"/>
      <c r="L81" s="45"/>
      <c r="M81" s="60"/>
      <c r="O81" s="43">
        <f>MIN('DRE - Income Statement'!O39,0)</f>
        <v>0</v>
      </c>
      <c r="P81" s="43">
        <f>MIN('DRE - Income Statement'!P39,0)</f>
        <v>0</v>
      </c>
      <c r="Q81" s="43">
        <f>MIN('DRE - Income Statement'!Q39,0)</f>
        <v>0</v>
      </c>
      <c r="R81" s="43">
        <f>MIN('DRE - Income Statement'!R39,0)</f>
        <v>0</v>
      </c>
      <c r="S81" s="43">
        <f>MIN('DRE - Income Statement'!S39,0)</f>
        <v>-134</v>
      </c>
      <c r="T81" s="43">
        <f>MIN('DRE - Income Statement'!T39,0)</f>
        <v>-481</v>
      </c>
      <c r="U81" s="43">
        <f>MIN('DRE - Income Statement'!U39,0)</f>
        <v>0</v>
      </c>
      <c r="V81" s="43">
        <f>MIN('DRE - Income Statement'!V39,0)</f>
        <v>-3124</v>
      </c>
      <c r="W81" s="43">
        <v>-1800</v>
      </c>
      <c r="X81" s="43">
        <v>-1748</v>
      </c>
      <c r="Y81" s="43">
        <v>-2532</v>
      </c>
      <c r="Z81" s="43">
        <v>0</v>
      </c>
      <c r="AA81" s="43" t="s">
        <v>358</v>
      </c>
      <c r="AB81" s="43">
        <v>0</v>
      </c>
      <c r="AC81" s="43">
        <v>0</v>
      </c>
      <c r="AD81" s="43">
        <v>0</v>
      </c>
      <c r="AE81" s="43">
        <v>0</v>
      </c>
      <c r="AF81" s="43">
        <v>0</v>
      </c>
      <c r="AG81" s="43">
        <v>-4528.0360000000001</v>
      </c>
      <c r="AH81" s="44"/>
      <c r="AI81" s="45"/>
    </row>
    <row r="82" spans="1:35" s="39" customFormat="1" ht="18" outlineLevel="1" x14ac:dyDescent="0.25">
      <c r="A82" s="81"/>
      <c r="B82" s="5" t="s">
        <v>81</v>
      </c>
      <c r="C82" s="5" t="s">
        <v>81</v>
      </c>
      <c r="D82" s="46"/>
      <c r="E82" s="37">
        <f t="shared" ref="E82:J82" si="52">SUM(E80:E81)</f>
        <v>14946</v>
      </c>
      <c r="F82" s="37">
        <f t="shared" si="52"/>
        <v>22938</v>
      </c>
      <c r="G82" s="37">
        <f t="shared" si="52"/>
        <v>40465</v>
      </c>
      <c r="H82" s="37">
        <f t="shared" si="52"/>
        <v>321518</v>
      </c>
      <c r="I82" s="37">
        <f t="shared" si="52"/>
        <v>291204</v>
      </c>
      <c r="J82" s="37">
        <f t="shared" si="52"/>
        <v>420251</v>
      </c>
      <c r="K82" s="36">
        <f>I82/H82-1</f>
        <v>-9.4283990320915168E-2</v>
      </c>
      <c r="L82" s="36">
        <f>J82/I82-1</f>
        <v>0.44314981937061315</v>
      </c>
      <c r="M82" s="60"/>
      <c r="O82" s="37">
        <f t="shared" ref="O82:V82" si="53">SUM(O80:O81)</f>
        <v>7299</v>
      </c>
      <c r="P82" s="37">
        <f t="shared" si="53"/>
        <v>8285</v>
      </c>
      <c r="Q82" s="37">
        <f t="shared" si="53"/>
        <v>10651.837000000001</v>
      </c>
      <c r="R82" s="37">
        <f t="shared" si="53"/>
        <v>14229.163000000002</v>
      </c>
      <c r="S82" s="37">
        <f t="shared" si="53"/>
        <v>18902</v>
      </c>
      <c r="T82" s="37">
        <f t="shared" si="53"/>
        <v>26706</v>
      </c>
      <c r="U82" s="37">
        <f t="shared" si="53"/>
        <v>41226</v>
      </c>
      <c r="V82" s="37">
        <f t="shared" si="53"/>
        <v>50390</v>
      </c>
      <c r="W82" s="37">
        <f>SUM(W80:W81)</f>
        <v>58826</v>
      </c>
      <c r="X82" s="37">
        <v>69992</v>
      </c>
      <c r="Y82" s="37">
        <f t="shared" ref="Y82:AG82" si="54">SUM(Y80:Y81)</f>
        <v>79323</v>
      </c>
      <c r="Z82" s="37">
        <f t="shared" si="54"/>
        <v>83063</v>
      </c>
      <c r="AA82" s="37">
        <f t="shared" si="54"/>
        <v>78153</v>
      </c>
      <c r="AB82" s="37">
        <f t="shared" si="54"/>
        <v>106747</v>
      </c>
      <c r="AC82" s="37">
        <f t="shared" si="54"/>
        <v>120876</v>
      </c>
      <c r="AD82" s="37">
        <f t="shared" si="54"/>
        <v>114475</v>
      </c>
      <c r="AE82" s="37">
        <f t="shared" si="54"/>
        <v>129041</v>
      </c>
      <c r="AF82" s="37">
        <f t="shared" si="54"/>
        <v>133105.32844748424</v>
      </c>
      <c r="AG82" s="37">
        <f t="shared" si="54"/>
        <v>138777.25120276024</v>
      </c>
      <c r="AH82" s="36">
        <f t="shared" ref="AH82" si="55">AG82/AC82-1</f>
        <v>0.14809599261028028</v>
      </c>
      <c r="AI82" s="36">
        <f t="shared" ref="AI82" si="56">AG82/AF82-1</f>
        <v>4.2612289240650636E-2</v>
      </c>
    </row>
    <row r="83" spans="1:35" s="39" customFormat="1" ht="18" outlineLevel="1" x14ac:dyDescent="0.25">
      <c r="A83" s="81"/>
      <c r="M83" s="60"/>
    </row>
    <row r="84" spans="1:35" s="39" customFormat="1" ht="18" outlineLevel="1" x14ac:dyDescent="0.25">
      <c r="A84" s="81"/>
      <c r="B84" s="7" t="s">
        <v>82</v>
      </c>
      <c r="C84" s="7" t="s">
        <v>289</v>
      </c>
      <c r="E84" s="35">
        <v>3772</v>
      </c>
      <c r="F84" s="35">
        <v>2183</v>
      </c>
      <c r="G84" s="35">
        <v>20786</v>
      </c>
      <c r="H84" s="35">
        <f>V84</f>
        <v>159923.67042006896</v>
      </c>
      <c r="I84" s="35">
        <v>39597.728330000013</v>
      </c>
      <c r="J84" s="35">
        <v>28162.728330000013</v>
      </c>
      <c r="K84" s="10">
        <f t="shared" ref="K84:L87" si="57">I84/H84-1</f>
        <v>-0.752396076040593</v>
      </c>
      <c r="L84" s="10">
        <f t="shared" si="57"/>
        <v>-0.28877919219766501</v>
      </c>
      <c r="M84" s="60"/>
      <c r="O84" s="35">
        <v>8235.1697199999981</v>
      </c>
      <c r="P84" s="35">
        <v>-4012</v>
      </c>
      <c r="Q84" s="35">
        <v>8763.51</v>
      </c>
      <c r="R84" s="35">
        <v>20786</v>
      </c>
      <c r="S84" s="35">
        <v>42824</v>
      </c>
      <c r="T84" s="35">
        <v>58758</v>
      </c>
      <c r="U84" s="35">
        <v>79084</v>
      </c>
      <c r="V84" s="35">
        <v>159923.67042006896</v>
      </c>
      <c r="W84" s="35">
        <v>159727.72833000001</v>
      </c>
      <c r="X84" s="35">
        <v>211430.72833000001</v>
      </c>
      <c r="Y84" s="35">
        <v>35642.728330000013</v>
      </c>
      <c r="Z84" s="35">
        <v>39597.728330000013</v>
      </c>
      <c r="AA84" s="35">
        <v>108533.72833000001</v>
      </c>
      <c r="AB84" s="35">
        <v>119456.72833000001</v>
      </c>
      <c r="AC84" s="35">
        <v>91296.128330000385</v>
      </c>
      <c r="AD84" s="35">
        <v>34347.728330000013</v>
      </c>
      <c r="AE84" s="35">
        <v>202436.36968499137</v>
      </c>
      <c r="AF84" s="35">
        <v>100186.68232999989</v>
      </c>
      <c r="AG84" s="35">
        <v>119526.79033000012</v>
      </c>
      <c r="AH84" s="10">
        <f t="shared" ref="AH84:AH87" si="58">AG84/AC84-1</f>
        <v>0.3092208017623348</v>
      </c>
      <c r="AI84" s="10">
        <f t="shared" ref="AI84:AI87" si="59">AG84/AF84-1</f>
        <v>0.19304070711012078</v>
      </c>
    </row>
    <row r="85" spans="1:35" s="39" customFormat="1" ht="18" outlineLevel="1" x14ac:dyDescent="0.25">
      <c r="A85" s="81"/>
      <c r="B85" s="11" t="s">
        <v>83</v>
      </c>
      <c r="C85" s="11" t="s">
        <v>290</v>
      </c>
      <c r="D85" s="42"/>
      <c r="E85" s="43">
        <v>35713</v>
      </c>
      <c r="F85" s="43">
        <v>56063.5</v>
      </c>
      <c r="G85" s="43">
        <v>160367.5</v>
      </c>
      <c r="H85" s="43">
        <f>V85</f>
        <v>645577.5</v>
      </c>
      <c r="I85" s="43">
        <v>1259979.5</v>
      </c>
      <c r="J85" s="43">
        <v>1490293</v>
      </c>
      <c r="K85" s="88">
        <f t="shared" si="57"/>
        <v>0.95170912864838075</v>
      </c>
      <c r="L85" s="88">
        <f t="shared" si="57"/>
        <v>0.1827914660516301</v>
      </c>
      <c r="M85" s="60"/>
      <c r="O85" s="43">
        <v>65625.401610000001</v>
      </c>
      <c r="P85" s="43">
        <v>81127.147220000013</v>
      </c>
      <c r="Q85" s="43">
        <v>125643.21699</v>
      </c>
      <c r="R85" s="43">
        <v>152907.42561000001</v>
      </c>
      <c r="S85" s="43">
        <v>225434</v>
      </c>
      <c r="T85" s="43">
        <v>321181.5</v>
      </c>
      <c r="U85" s="43">
        <v>467171</v>
      </c>
      <c r="V85" s="43">
        <v>645577.5</v>
      </c>
      <c r="W85" s="43">
        <v>748978.5</v>
      </c>
      <c r="X85" s="43">
        <v>857712.5</v>
      </c>
      <c r="Y85" s="43">
        <v>1107173.311375</v>
      </c>
      <c r="Z85" s="43">
        <v>1259979.5</v>
      </c>
      <c r="AA85" s="43">
        <v>1304546.5</v>
      </c>
      <c r="AB85" s="43">
        <v>1360913.5</v>
      </c>
      <c r="AC85" s="43">
        <v>1444916.5</v>
      </c>
      <c r="AD85" s="43">
        <v>1490293</v>
      </c>
      <c r="AE85" s="43">
        <v>1526542.5</v>
      </c>
      <c r="AF85" s="43">
        <v>1672694.5</v>
      </c>
      <c r="AG85" s="43">
        <v>1735689</v>
      </c>
      <c r="AH85" s="88">
        <f t="shared" si="58"/>
        <v>0.20123827224618163</v>
      </c>
      <c r="AI85" s="88">
        <f t="shared" si="59"/>
        <v>3.7660493293903974E-2</v>
      </c>
    </row>
    <row r="86" spans="1:35" s="39" customFormat="1" ht="18" outlineLevel="1" x14ac:dyDescent="0.25">
      <c r="A86" s="81"/>
      <c r="B86" s="5" t="s">
        <v>84</v>
      </c>
      <c r="C86" s="5" t="s">
        <v>291</v>
      </c>
      <c r="D86" s="46"/>
      <c r="E86" s="37">
        <f t="shared" ref="E86:J86" si="60">SUM(E84:E85)</f>
        <v>39485</v>
      </c>
      <c r="F86" s="37">
        <f t="shared" si="60"/>
        <v>58246.5</v>
      </c>
      <c r="G86" s="37">
        <f t="shared" si="60"/>
        <v>181153.5</v>
      </c>
      <c r="H86" s="37">
        <f t="shared" si="60"/>
        <v>805501.17042006901</v>
      </c>
      <c r="I86" s="37">
        <f t="shared" si="60"/>
        <v>1299577.2283300001</v>
      </c>
      <c r="J86" s="37">
        <f t="shared" si="60"/>
        <v>1518455.7283300001</v>
      </c>
      <c r="K86" s="36">
        <f t="shared" si="57"/>
        <v>0.61337720670507556</v>
      </c>
      <c r="L86" s="36">
        <f t="shared" si="57"/>
        <v>0.16842284954566811</v>
      </c>
      <c r="M86" s="60"/>
      <c r="O86" s="37">
        <f t="shared" ref="O86:W86" si="61">SUM(O84:O85)</f>
        <v>73860.571330000006</v>
      </c>
      <c r="P86" s="37">
        <f t="shared" si="61"/>
        <v>77115.147220000013</v>
      </c>
      <c r="Q86" s="37">
        <f t="shared" si="61"/>
        <v>134406.72699</v>
      </c>
      <c r="R86" s="37">
        <f t="shared" si="61"/>
        <v>173693.42561000001</v>
      </c>
      <c r="S86" s="37">
        <f t="shared" si="61"/>
        <v>268258</v>
      </c>
      <c r="T86" s="37">
        <f t="shared" si="61"/>
        <v>379939.5</v>
      </c>
      <c r="U86" s="37">
        <f t="shared" si="61"/>
        <v>546255</v>
      </c>
      <c r="V86" s="37">
        <f t="shared" si="61"/>
        <v>805501.17042006901</v>
      </c>
      <c r="W86" s="37">
        <f t="shared" si="61"/>
        <v>908706.22833000007</v>
      </c>
      <c r="X86" s="37">
        <v>1069143.2283300001</v>
      </c>
      <c r="Y86" s="37">
        <f t="shared" ref="Y86:AG86" si="62">SUM(Y84:Y85)</f>
        <v>1142816.0397050001</v>
      </c>
      <c r="Z86" s="37">
        <f t="shared" si="62"/>
        <v>1299577.2283300001</v>
      </c>
      <c r="AA86" s="37">
        <f t="shared" si="62"/>
        <v>1413080.2283300001</v>
      </c>
      <c r="AB86" s="37">
        <f t="shared" si="62"/>
        <v>1480370.2283300001</v>
      </c>
      <c r="AC86" s="37">
        <f t="shared" si="62"/>
        <v>1536212.6283300004</v>
      </c>
      <c r="AD86" s="37">
        <f t="shared" si="62"/>
        <v>1524640.7283300001</v>
      </c>
      <c r="AE86" s="37">
        <f t="shared" si="62"/>
        <v>1728978.8696849914</v>
      </c>
      <c r="AF86" s="37">
        <f t="shared" si="62"/>
        <v>1772881.18233</v>
      </c>
      <c r="AG86" s="37">
        <f t="shared" si="62"/>
        <v>1855215.7903300002</v>
      </c>
      <c r="AH86" s="36">
        <f t="shared" si="58"/>
        <v>0.20765560451536236</v>
      </c>
      <c r="AI86" s="36">
        <f t="shared" si="59"/>
        <v>4.6441131430924543E-2</v>
      </c>
    </row>
    <row r="87" spans="1:35" s="68" customFormat="1" ht="18" customHeight="1" outlineLevel="1" x14ac:dyDescent="0.25">
      <c r="A87" s="91"/>
      <c r="B87" s="50" t="s">
        <v>327</v>
      </c>
      <c r="C87" s="98" t="s">
        <v>328</v>
      </c>
      <c r="E87" s="49">
        <v>31613.990933076922</v>
      </c>
      <c r="F87" s="49">
        <v>48371.876859999997</v>
      </c>
      <c r="G87" s="49">
        <v>106834.94424307691</v>
      </c>
      <c r="H87" s="49">
        <v>435298.5149902</v>
      </c>
      <c r="I87" s="49">
        <v>1045148.779023014</v>
      </c>
      <c r="J87" s="49">
        <v>1450776.2083300003</v>
      </c>
      <c r="K87" s="10">
        <f t="shared" si="57"/>
        <v>1.4009932104788909</v>
      </c>
      <c r="L87" s="10">
        <f t="shared" si="57"/>
        <v>0.38810496404747208</v>
      </c>
      <c r="M87" s="69"/>
      <c r="O87" s="49">
        <v>65696.143102499991</v>
      </c>
      <c r="P87" s="49">
        <v>83088.170089999985</v>
      </c>
      <c r="Q87" s="49">
        <v>114465.75064750001</v>
      </c>
      <c r="R87" s="49">
        <v>162328.00276749997</v>
      </c>
      <c r="S87" s="49">
        <v>221230.94528124999</v>
      </c>
      <c r="T87" s="49">
        <v>327542.48431000003</v>
      </c>
      <c r="U87" s="49">
        <f>AVERAGE(T86:U86)</f>
        <v>463097.25</v>
      </c>
      <c r="V87" s="49">
        <f>AVERAGE(U86:V86)</f>
        <v>675878.08521003451</v>
      </c>
      <c r="W87" s="49">
        <f>AVERAGE(V86:W86)</f>
        <v>857103.69937503454</v>
      </c>
      <c r="X87" s="49">
        <v>988924.72833000007</v>
      </c>
      <c r="Y87" s="49">
        <f t="shared" ref="Y87:AG87" si="63">AVERAGE(X86:Y86)</f>
        <v>1105979.6340175001</v>
      </c>
      <c r="Z87" s="49">
        <f t="shared" si="63"/>
        <v>1221196.6340175001</v>
      </c>
      <c r="AA87" s="49">
        <f t="shared" si="63"/>
        <v>1356328.7283300001</v>
      </c>
      <c r="AB87" s="49">
        <f t="shared" si="63"/>
        <v>1446725.2283300001</v>
      </c>
      <c r="AC87" s="49">
        <f t="shared" si="63"/>
        <v>1508291.4283300003</v>
      </c>
      <c r="AD87" s="49">
        <f t="shared" si="63"/>
        <v>1530426.6783300003</v>
      </c>
      <c r="AE87" s="49">
        <f t="shared" si="63"/>
        <v>1626809.7990074959</v>
      </c>
      <c r="AF87" s="49">
        <f t="shared" si="63"/>
        <v>1750930.0260074958</v>
      </c>
      <c r="AG87" s="49">
        <f t="shared" si="63"/>
        <v>1814048.4863300002</v>
      </c>
      <c r="AH87" s="66">
        <f t="shared" si="58"/>
        <v>0.20271749362027336</v>
      </c>
      <c r="AI87" s="66">
        <f t="shared" si="59"/>
        <v>3.6048533856277709E-2</v>
      </c>
    </row>
    <row r="88" spans="1:35" s="39" customFormat="1" ht="18" outlineLevel="1" x14ac:dyDescent="0.25">
      <c r="A88" s="81"/>
      <c r="B88" s="11"/>
      <c r="C88" s="11"/>
      <c r="D88" s="42"/>
      <c r="E88" s="43"/>
      <c r="F88" s="43"/>
      <c r="G88" s="43"/>
      <c r="H88" s="43"/>
      <c r="I88" s="43"/>
      <c r="J88" s="43"/>
      <c r="K88" s="45"/>
      <c r="L88" s="45"/>
      <c r="M88" s="60"/>
      <c r="O88" s="43"/>
      <c r="P88" s="43"/>
      <c r="Q88" s="43"/>
      <c r="R88" s="43"/>
      <c r="S88" s="43"/>
      <c r="T88" s="43"/>
      <c r="U88" s="43"/>
      <c r="V88" s="43"/>
      <c r="W88" s="43"/>
      <c r="X88" s="43"/>
      <c r="Y88" s="43"/>
      <c r="Z88" s="43"/>
      <c r="AA88" s="43"/>
      <c r="AB88" s="43"/>
      <c r="AC88" s="43"/>
      <c r="AD88" s="43"/>
      <c r="AE88" s="43"/>
      <c r="AF88" s="43"/>
      <c r="AG88" s="43"/>
      <c r="AH88" s="45"/>
      <c r="AI88" s="45"/>
    </row>
    <row r="89" spans="1:35" s="39" customFormat="1" ht="18" outlineLevel="1" x14ac:dyDescent="0.25">
      <c r="A89" s="81"/>
      <c r="B89" s="5" t="s">
        <v>6</v>
      </c>
      <c r="C89" s="5" t="s">
        <v>288</v>
      </c>
      <c r="D89" s="46"/>
      <c r="E89" s="36">
        <f t="shared" ref="E89:J89" si="64">E82/E87</f>
        <v>0.47276536618356452</v>
      </c>
      <c r="F89" s="36">
        <f t="shared" si="64"/>
        <v>0.47420115755252096</v>
      </c>
      <c r="G89" s="36">
        <f t="shared" si="64"/>
        <v>0.37876183945892966</v>
      </c>
      <c r="H89" s="36">
        <f t="shared" si="64"/>
        <v>0.7386149709406622</v>
      </c>
      <c r="I89" s="36">
        <f t="shared" si="64"/>
        <v>0.27862444643738871</v>
      </c>
      <c r="J89" s="36">
        <f t="shared" si="64"/>
        <v>0.28967320913247824</v>
      </c>
      <c r="K89" s="84">
        <f>100*(I89-H89)</f>
        <v>-45.999052450327348</v>
      </c>
      <c r="L89" s="84">
        <f>100*(J89-I89)</f>
        <v>1.1048762695089531</v>
      </c>
      <c r="M89" s="60"/>
      <c r="O89" s="36">
        <f t="shared" ref="O89:V89" si="65">4*O82/O87</f>
        <v>0.44440965057032367</v>
      </c>
      <c r="P89" s="36">
        <f t="shared" si="65"/>
        <v>0.39885341034834682</v>
      </c>
      <c r="Q89" s="36">
        <f t="shared" si="65"/>
        <v>0.37222791759965251</v>
      </c>
      <c r="R89" s="36">
        <f t="shared" si="65"/>
        <v>0.35062743968778387</v>
      </c>
      <c r="S89" s="36">
        <f t="shared" si="65"/>
        <v>0.34176050689418636</v>
      </c>
      <c r="T89" s="36">
        <f t="shared" si="65"/>
        <v>0.32613784506469473</v>
      </c>
      <c r="U89" s="36">
        <f t="shared" si="65"/>
        <v>0.35608935272234937</v>
      </c>
      <c r="V89" s="36">
        <f t="shared" si="65"/>
        <v>0.29821946355512269</v>
      </c>
      <c r="W89" s="36">
        <f>4*W82/W87</f>
        <v>0.27453387515603328</v>
      </c>
      <c r="X89" s="36">
        <v>0.28310344759280387</v>
      </c>
      <c r="Y89" s="36">
        <f t="shared" ref="Y89:AG89" si="66">4*Y82/Y87</f>
        <v>0.28688774208927198</v>
      </c>
      <c r="Z89" s="36">
        <f t="shared" si="66"/>
        <v>0.2720708448949416</v>
      </c>
      <c r="AA89" s="36">
        <f t="shared" si="66"/>
        <v>0.23048394793267277</v>
      </c>
      <c r="AB89" s="36">
        <f t="shared" si="66"/>
        <v>0.29514104796035495</v>
      </c>
      <c r="AC89" s="36">
        <f t="shared" si="66"/>
        <v>0.32056404413525169</v>
      </c>
      <c r="AD89" s="36">
        <f t="shared" si="66"/>
        <v>0.29919760710108628</v>
      </c>
      <c r="AE89" s="36">
        <f t="shared" si="66"/>
        <v>0.31728601605111284</v>
      </c>
      <c r="AF89" s="36">
        <f t="shared" si="66"/>
        <v>0.30407914986984047</v>
      </c>
      <c r="AG89" s="36">
        <f t="shared" si="66"/>
        <v>0.30600560513907843</v>
      </c>
      <c r="AH89" s="84">
        <f>100*(AG89-AC89)</f>
        <v>-1.4558438996173262</v>
      </c>
      <c r="AI89" s="84">
        <f>100*(AG89-AF89)</f>
        <v>0.19264552692379588</v>
      </c>
    </row>
    <row r="90" spans="1:35" s="39" customFormat="1" x14ac:dyDescent="0.25">
      <c r="A90" s="82" t="s">
        <v>148</v>
      </c>
      <c r="E90" s="61"/>
      <c r="F90" s="61"/>
      <c r="G90" s="61"/>
      <c r="H90" s="61"/>
      <c r="I90" s="61"/>
      <c r="J90" s="61"/>
      <c r="M90" s="60"/>
      <c r="O90" s="61"/>
      <c r="P90" s="61"/>
      <c r="Q90" s="61"/>
      <c r="R90" s="61"/>
      <c r="S90" s="61"/>
      <c r="T90" s="61"/>
      <c r="U90" s="61"/>
      <c r="V90" s="61"/>
      <c r="W90" s="61"/>
      <c r="X90" s="61"/>
      <c r="Y90" s="61"/>
      <c r="Z90" s="61"/>
      <c r="AA90" s="61"/>
      <c r="AB90" s="61"/>
      <c r="AC90" s="61"/>
      <c r="AD90" s="61"/>
      <c r="AE90" s="61"/>
      <c r="AF90" s="61"/>
      <c r="AG90" s="61"/>
    </row>
    <row r="91" spans="1:35" s="39" customFormat="1" ht="18" x14ac:dyDescent="0.25">
      <c r="A91" s="81"/>
      <c r="B91" s="8" t="s">
        <v>388</v>
      </c>
      <c r="C91" s="8" t="s">
        <v>288</v>
      </c>
      <c r="D91" s="47"/>
      <c r="E91" s="47"/>
      <c r="F91" s="47"/>
      <c r="G91" s="47"/>
      <c r="H91" s="47"/>
      <c r="I91" s="47"/>
      <c r="J91" s="47"/>
      <c r="K91" s="47"/>
      <c r="L91" s="47"/>
      <c r="M91" s="60"/>
      <c r="O91" s="47"/>
      <c r="P91" s="47"/>
      <c r="Q91" s="47"/>
      <c r="R91" s="47"/>
      <c r="S91" s="47"/>
      <c r="T91" s="47"/>
      <c r="U91" s="47"/>
      <c r="V91" s="47"/>
      <c r="W91" s="47"/>
      <c r="X91" s="47"/>
      <c r="Y91" s="47"/>
      <c r="Z91" s="47"/>
      <c r="AA91" s="47"/>
      <c r="AB91" s="47"/>
      <c r="AC91" s="47"/>
      <c r="AD91" s="47"/>
      <c r="AE91" s="47"/>
      <c r="AF91" s="47"/>
      <c r="AG91" s="47"/>
      <c r="AH91" s="47"/>
      <c r="AI91" s="47"/>
    </row>
    <row r="92" spans="1:35" s="39" customFormat="1" ht="6.75" customHeight="1" outlineLevel="1" x14ac:dyDescent="0.25">
      <c r="A92" s="81"/>
      <c r="M92" s="60"/>
    </row>
    <row r="93" spans="1:35" s="39" customFormat="1" ht="18" outlineLevel="1" x14ac:dyDescent="0.25">
      <c r="A93" s="81"/>
      <c r="B93" s="7" t="s">
        <v>389</v>
      </c>
      <c r="C93" s="7" t="s">
        <v>389</v>
      </c>
      <c r="E93" s="35">
        <v>14564</v>
      </c>
      <c r="F93" s="35">
        <v>22605</v>
      </c>
      <c r="G93" s="35">
        <v>39820</v>
      </c>
      <c r="H93" s="35">
        <v>142403</v>
      </c>
      <c r="I93" s="35">
        <v>320313</v>
      </c>
      <c r="J93" s="35">
        <v>455087</v>
      </c>
      <c r="K93" s="10"/>
      <c r="L93" s="10"/>
      <c r="M93" s="60"/>
      <c r="O93" s="35">
        <v>7299</v>
      </c>
      <c r="P93" s="35">
        <v>8186</v>
      </c>
      <c r="Q93" s="35">
        <v>10489.837000000001</v>
      </c>
      <c r="R93" s="35">
        <v>13845.163000000002</v>
      </c>
      <c r="S93" s="35">
        <v>18974</v>
      </c>
      <c r="T93" s="35">
        <v>27357</v>
      </c>
      <c r="U93" s="35">
        <v>41343</v>
      </c>
      <c r="V93" s="35">
        <v>54729</v>
      </c>
      <c r="W93" s="35">
        <v>62690</v>
      </c>
      <c r="X93" s="35">
        <v>74922</v>
      </c>
      <c r="Y93" s="35">
        <v>89642</v>
      </c>
      <c r="Z93" s="35">
        <v>93059</v>
      </c>
      <c r="AA93" s="35">
        <v>93645</v>
      </c>
      <c r="AB93" s="35">
        <v>111516</v>
      </c>
      <c r="AC93" s="35">
        <v>126840</v>
      </c>
      <c r="AD93" s="35">
        <v>123086</v>
      </c>
      <c r="AE93" s="35">
        <v>133951</v>
      </c>
      <c r="AF93" s="35">
        <v>137066.32844748424</v>
      </c>
      <c r="AG93" s="35">
        <v>153648.29693668551</v>
      </c>
      <c r="AH93" s="10"/>
      <c r="AI93" s="10"/>
    </row>
    <row r="94" spans="1:35" s="39" customFormat="1" ht="18" outlineLevel="1" x14ac:dyDescent="0.25">
      <c r="A94" s="81"/>
      <c r="B94" s="11" t="s">
        <v>80</v>
      </c>
      <c r="C94" s="11" t="s">
        <v>344</v>
      </c>
      <c r="D94" s="42"/>
      <c r="E94" s="43">
        <v>0</v>
      </c>
      <c r="F94" s="43">
        <v>-106</v>
      </c>
      <c r="G94" s="43">
        <v>0</v>
      </c>
      <c r="H94" s="43">
        <v>-3500</v>
      </c>
      <c r="I94" s="43">
        <v>-6080</v>
      </c>
      <c r="J94" s="43">
        <v>0</v>
      </c>
      <c r="K94" s="45"/>
      <c r="L94" s="45"/>
      <c r="M94" s="60"/>
      <c r="O94" s="43">
        <v>0</v>
      </c>
      <c r="P94" s="43">
        <v>0</v>
      </c>
      <c r="Q94" s="43">
        <f>MIN('DRE - Income Statement'!Q52,0)</f>
        <v>0</v>
      </c>
      <c r="R94" s="43">
        <f>MIN('DRE - Income Statement'!R52,0)</f>
        <v>0</v>
      </c>
      <c r="S94" s="43">
        <v>-134</v>
      </c>
      <c r="T94" s="43">
        <v>-481</v>
      </c>
      <c r="U94" s="43">
        <v>0</v>
      </c>
      <c r="V94" s="43">
        <v>-3124</v>
      </c>
      <c r="W94" s="43">
        <v>-1800</v>
      </c>
      <c r="X94" s="43">
        <v>-1748</v>
      </c>
      <c r="Y94" s="43">
        <v>-2532</v>
      </c>
      <c r="Z94" s="43">
        <v>0</v>
      </c>
      <c r="AA94" s="43">
        <v>0</v>
      </c>
      <c r="AB94" s="43">
        <v>0</v>
      </c>
      <c r="AC94" s="43">
        <v>0</v>
      </c>
      <c r="AD94" s="43">
        <v>0</v>
      </c>
      <c r="AE94" s="43" t="s">
        <v>358</v>
      </c>
      <c r="AF94" s="43" t="s">
        <v>358</v>
      </c>
      <c r="AG94" s="43">
        <v>-4528.0360000000001</v>
      </c>
      <c r="AH94" s="44"/>
      <c r="AI94" s="45"/>
    </row>
    <row r="95" spans="1:35" s="39" customFormat="1" ht="18" outlineLevel="1" x14ac:dyDescent="0.25">
      <c r="A95" s="81"/>
      <c r="B95" s="5" t="s">
        <v>390</v>
      </c>
      <c r="C95" s="5" t="s">
        <v>81</v>
      </c>
      <c r="D95" s="46"/>
      <c r="E95" s="37">
        <f t="shared" ref="E95:J95" si="67">SUM(E93:E94)</f>
        <v>14564</v>
      </c>
      <c r="F95" s="37">
        <f t="shared" si="67"/>
        <v>22499</v>
      </c>
      <c r="G95" s="37">
        <f t="shared" si="67"/>
        <v>39820</v>
      </c>
      <c r="H95" s="37">
        <f t="shared" si="67"/>
        <v>138903</v>
      </c>
      <c r="I95" s="37">
        <f t="shared" si="67"/>
        <v>314233</v>
      </c>
      <c r="J95" s="37">
        <f t="shared" si="67"/>
        <v>455087</v>
      </c>
      <c r="K95" s="36">
        <f>I95/H95-1</f>
        <v>1.262247755628028</v>
      </c>
      <c r="L95" s="36">
        <f>J95/I95-1</f>
        <v>0.44824700142887597</v>
      </c>
      <c r="M95" s="60"/>
      <c r="O95" s="37">
        <f t="shared" ref="O95:V95" si="68">SUM(O93:O94)</f>
        <v>7299</v>
      </c>
      <c r="P95" s="37">
        <f t="shared" si="68"/>
        <v>8186</v>
      </c>
      <c r="Q95" s="37">
        <f t="shared" si="68"/>
        <v>10489.837000000001</v>
      </c>
      <c r="R95" s="37">
        <f t="shared" si="68"/>
        <v>13845.163000000002</v>
      </c>
      <c r="S95" s="37">
        <f t="shared" si="68"/>
        <v>18840</v>
      </c>
      <c r="T95" s="37">
        <f t="shared" si="68"/>
        <v>26876</v>
      </c>
      <c r="U95" s="37">
        <f t="shared" si="68"/>
        <v>41343</v>
      </c>
      <c r="V95" s="37">
        <f t="shared" si="68"/>
        <v>51605</v>
      </c>
      <c r="W95" s="37">
        <f>SUM(W93:W94)</f>
        <v>60890</v>
      </c>
      <c r="X95" s="37">
        <v>69992</v>
      </c>
      <c r="Y95" s="37">
        <f t="shared" ref="Y95:AE95" si="69">SUM(Y93:Y94)</f>
        <v>87110</v>
      </c>
      <c r="Z95" s="37">
        <f t="shared" si="69"/>
        <v>93059</v>
      </c>
      <c r="AA95" s="37">
        <f t="shared" si="69"/>
        <v>93645</v>
      </c>
      <c r="AB95" s="37">
        <f t="shared" si="69"/>
        <v>111516</v>
      </c>
      <c r="AC95" s="37">
        <f t="shared" si="69"/>
        <v>126840</v>
      </c>
      <c r="AD95" s="37">
        <f t="shared" si="69"/>
        <v>123086</v>
      </c>
      <c r="AE95" s="37">
        <f t="shared" si="69"/>
        <v>133951</v>
      </c>
      <c r="AF95" s="37">
        <f t="shared" ref="AF95:AG95" si="70">SUM(AF93:AF94)</f>
        <v>137066.32844748424</v>
      </c>
      <c r="AG95" s="37">
        <f t="shared" si="70"/>
        <v>149120.26093668552</v>
      </c>
      <c r="AH95" s="36">
        <f t="shared" ref="AH95" si="71">AG95/AC95-1</f>
        <v>0.17565642491868116</v>
      </c>
      <c r="AI95" s="36">
        <f t="shared" ref="AI95" si="72">AG95/AF95-1</f>
        <v>8.794233146632835E-2</v>
      </c>
    </row>
    <row r="96" spans="1:35" s="39" customFormat="1" ht="18" outlineLevel="1" x14ac:dyDescent="0.25">
      <c r="A96" s="81"/>
      <c r="M96" s="60"/>
    </row>
    <row r="97" spans="1:35" s="39" customFormat="1" ht="18" outlineLevel="1" x14ac:dyDescent="0.25">
      <c r="A97" s="81"/>
      <c r="B97" s="7" t="s">
        <v>391</v>
      </c>
      <c r="C97" s="7" t="s">
        <v>289</v>
      </c>
      <c r="E97" s="35">
        <v>16632</v>
      </c>
      <c r="F97" s="35">
        <v>23109</v>
      </c>
      <c r="G97" s="35">
        <v>85060</v>
      </c>
      <c r="H97" s="35">
        <v>1112696.2112683957</v>
      </c>
      <c r="I97" s="35">
        <v>1158521</v>
      </c>
      <c r="J97" s="35">
        <v>1229942</v>
      </c>
      <c r="K97" s="10">
        <f t="shared" ref="K97:L100" si="73">I97/H97-1</f>
        <v>4.1183557800891002E-2</v>
      </c>
      <c r="L97" s="10">
        <f t="shared" si="73"/>
        <v>6.1648429333607258E-2</v>
      </c>
      <c r="M97" s="60"/>
      <c r="O97" s="35">
        <v>26157</v>
      </c>
      <c r="P97" s="35">
        <v>34671</v>
      </c>
      <c r="Q97" s="35">
        <v>54444.514159999999</v>
      </c>
      <c r="R97" s="35">
        <v>85060</v>
      </c>
      <c r="S97" s="35">
        <v>142160</v>
      </c>
      <c r="T97" s="35">
        <v>132536</v>
      </c>
      <c r="U97" s="35">
        <v>1108480</v>
      </c>
      <c r="V97" s="35">
        <v>1112696.2112683957</v>
      </c>
      <c r="W97" s="35">
        <v>1135235</v>
      </c>
      <c r="X97" s="35">
        <v>1119421</v>
      </c>
      <c r="Y97" s="35">
        <v>1139267</v>
      </c>
      <c r="Z97" s="35">
        <v>1158521</v>
      </c>
      <c r="AA97" s="35">
        <v>1139732</v>
      </c>
      <c r="AB97" s="35">
        <v>1175248</v>
      </c>
      <c r="AC97" s="35">
        <v>1213294.8</v>
      </c>
      <c r="AD97" s="35">
        <v>1229942</v>
      </c>
      <c r="AE97" s="35">
        <v>1270841.5</v>
      </c>
      <c r="AF97" s="35">
        <v>1288619.9169999999</v>
      </c>
      <c r="AG97" s="35">
        <v>1238584.51</v>
      </c>
      <c r="AH97" s="10">
        <f t="shared" ref="AH97:AH100" si="74">AG97/AC97-1</f>
        <v>2.0843829545795334E-2</v>
      </c>
      <c r="AI97" s="10">
        <f t="shared" ref="AI97:AI100" si="75">AG97/AF97-1</f>
        <v>-3.8828677362434338E-2</v>
      </c>
    </row>
    <row r="98" spans="1:35" s="39" customFormat="1" ht="18" outlineLevel="1" x14ac:dyDescent="0.25">
      <c r="A98" s="81"/>
      <c r="B98" s="11" t="s">
        <v>78</v>
      </c>
      <c r="C98" s="11" t="s">
        <v>290</v>
      </c>
      <c r="D98" s="42"/>
      <c r="E98" s="43">
        <v>46330</v>
      </c>
      <c r="F98" s="43">
        <v>66031</v>
      </c>
      <c r="G98" s="43">
        <v>203788</v>
      </c>
      <c r="H98" s="43">
        <v>205703</v>
      </c>
      <c r="I98" s="43">
        <v>1126315</v>
      </c>
      <c r="J98" s="43">
        <v>1320492</v>
      </c>
      <c r="K98" s="88">
        <f t="shared" si="73"/>
        <v>4.4754427499842002</v>
      </c>
      <c r="L98" s="88">
        <f t="shared" si="73"/>
        <v>0.17240026102822026</v>
      </c>
      <c r="M98" s="60"/>
      <c r="O98" s="43">
        <v>90529</v>
      </c>
      <c r="P98" s="43">
        <v>96819</v>
      </c>
      <c r="Q98" s="43">
        <v>172924.90779</v>
      </c>
      <c r="R98" s="43">
        <v>203788</v>
      </c>
      <c r="S98" s="43">
        <v>292415</v>
      </c>
      <c r="T98" s="43">
        <v>473826</v>
      </c>
      <c r="U98" s="43">
        <v>-169672.2876618756</v>
      </c>
      <c r="V98" s="43">
        <v>205703</v>
      </c>
      <c r="W98" s="43">
        <v>438031</v>
      </c>
      <c r="X98" s="43">
        <v>685985</v>
      </c>
      <c r="Y98" s="43">
        <v>952423</v>
      </c>
      <c r="Z98" s="43">
        <v>1126315</v>
      </c>
      <c r="AA98" s="43">
        <v>1258829</v>
      </c>
      <c r="AB98" s="43">
        <v>1294070</v>
      </c>
      <c r="AC98" s="43">
        <v>1329883</v>
      </c>
      <c r="AD98" s="43">
        <v>1320492</v>
      </c>
      <c r="AE98" s="43">
        <v>1455091</v>
      </c>
      <c r="AF98" s="43">
        <v>1591725.227</v>
      </c>
      <c r="AG98" s="43">
        <v>1681806.0220000003</v>
      </c>
      <c r="AH98" s="88">
        <f t="shared" si="74"/>
        <v>0.26462705516199581</v>
      </c>
      <c r="AI98" s="88">
        <f t="shared" si="75"/>
        <v>5.6593181707486062E-2</v>
      </c>
    </row>
    <row r="99" spans="1:35" s="39" customFormat="1" ht="18" outlineLevel="1" x14ac:dyDescent="0.25">
      <c r="A99" s="81"/>
      <c r="B99" s="5" t="s">
        <v>392</v>
      </c>
      <c r="C99" s="5" t="s">
        <v>291</v>
      </c>
      <c r="D99" s="46"/>
      <c r="E99" s="37">
        <f t="shared" ref="E99:J99" si="76">SUM(E97:E98)</f>
        <v>62962</v>
      </c>
      <c r="F99" s="37">
        <f t="shared" si="76"/>
        <v>89140</v>
      </c>
      <c r="G99" s="37">
        <f t="shared" si="76"/>
        <v>288848</v>
      </c>
      <c r="H99" s="37">
        <f t="shared" si="76"/>
        <v>1318399.2112683957</v>
      </c>
      <c r="I99" s="37">
        <f t="shared" si="76"/>
        <v>2284836</v>
      </c>
      <c r="J99" s="37">
        <f t="shared" si="76"/>
        <v>2550434</v>
      </c>
      <c r="K99" s="36">
        <f t="shared" si="73"/>
        <v>0.73303805135154931</v>
      </c>
      <c r="L99" s="36">
        <f t="shared" si="73"/>
        <v>0.11624379167695187</v>
      </c>
      <c r="M99" s="60"/>
      <c r="O99" s="37">
        <f t="shared" ref="O99:W99" si="77">SUM(O97:O98)</f>
        <v>116686</v>
      </c>
      <c r="P99" s="37">
        <f t="shared" si="77"/>
        <v>131490</v>
      </c>
      <c r="Q99" s="37">
        <f t="shared" si="77"/>
        <v>227369.42194999999</v>
      </c>
      <c r="R99" s="37">
        <f t="shared" si="77"/>
        <v>288848</v>
      </c>
      <c r="S99" s="37">
        <f t="shared" si="77"/>
        <v>434575</v>
      </c>
      <c r="T99" s="37">
        <f t="shared" si="77"/>
        <v>606362</v>
      </c>
      <c r="U99" s="37">
        <f t="shared" si="77"/>
        <v>938807.7123381244</v>
      </c>
      <c r="V99" s="37">
        <f t="shared" si="77"/>
        <v>1318399.2112683957</v>
      </c>
      <c r="W99" s="37">
        <f t="shared" si="77"/>
        <v>1573266</v>
      </c>
      <c r="X99" s="37">
        <v>1069143.2283300001</v>
      </c>
      <c r="Y99" s="37">
        <f t="shared" ref="Y99:AE99" si="78">SUM(Y97:Y98)</f>
        <v>2091690</v>
      </c>
      <c r="Z99" s="37">
        <f t="shared" si="78"/>
        <v>2284836</v>
      </c>
      <c r="AA99" s="37">
        <f t="shared" si="78"/>
        <v>2398561</v>
      </c>
      <c r="AB99" s="37">
        <f t="shared" si="78"/>
        <v>2469318</v>
      </c>
      <c r="AC99" s="37">
        <f t="shared" si="78"/>
        <v>2543177.7999999998</v>
      </c>
      <c r="AD99" s="37">
        <f t="shared" si="78"/>
        <v>2550434</v>
      </c>
      <c r="AE99" s="37">
        <f t="shared" si="78"/>
        <v>2725932.5</v>
      </c>
      <c r="AF99" s="37">
        <f t="shared" ref="AF99:AG99" si="79">SUM(AF97:AF98)</f>
        <v>2880345.1439999999</v>
      </c>
      <c r="AG99" s="37">
        <f t="shared" si="79"/>
        <v>2920390.5320000006</v>
      </c>
      <c r="AH99" s="36">
        <f t="shared" si="74"/>
        <v>0.1483233818728682</v>
      </c>
      <c r="AI99" s="36">
        <f t="shared" si="75"/>
        <v>1.3902982454522483E-2</v>
      </c>
    </row>
    <row r="100" spans="1:35" s="68" customFormat="1" ht="18" customHeight="1" outlineLevel="1" x14ac:dyDescent="0.25">
      <c r="A100" s="91"/>
      <c r="B100" s="50" t="s">
        <v>393</v>
      </c>
      <c r="C100" s="98" t="s">
        <v>328</v>
      </c>
      <c r="E100" s="49">
        <v>62962</v>
      </c>
      <c r="F100" s="49">
        <v>76051</v>
      </c>
      <c r="G100" s="49">
        <v>188994</v>
      </c>
      <c r="H100" s="49">
        <v>803623.60563419783</v>
      </c>
      <c r="I100" s="49">
        <v>1801617.6056341978</v>
      </c>
      <c r="J100" s="49">
        <v>2417635</v>
      </c>
      <c r="K100" s="10">
        <f t="shared" si="73"/>
        <v>1.2418674526271665</v>
      </c>
      <c r="L100" s="10">
        <f t="shared" si="73"/>
        <v>0.34192460844039885</v>
      </c>
      <c r="M100" s="69"/>
      <c r="O100" s="49">
        <v>116686.12119000001</v>
      </c>
      <c r="P100" s="49">
        <v>124088.060595</v>
      </c>
      <c r="Q100" s="49">
        <v>179429.75708000001</v>
      </c>
      <c r="R100" s="49">
        <v>258108.75708000001</v>
      </c>
      <c r="S100" s="49">
        <v>361711.5</v>
      </c>
      <c r="T100" s="49">
        <v>520468.5</v>
      </c>
      <c r="U100" s="49">
        <v>772585</v>
      </c>
      <c r="V100" s="49">
        <v>1128603.6056341978</v>
      </c>
      <c r="W100" s="49">
        <v>1445832.6056341978</v>
      </c>
      <c r="X100" s="49">
        <v>1689336</v>
      </c>
      <c r="Y100" s="49">
        <v>1948548</v>
      </c>
      <c r="Z100" s="49">
        <v>2188263</v>
      </c>
      <c r="AA100" s="49">
        <v>2341698.5</v>
      </c>
      <c r="AB100" s="49">
        <v>2433939.5</v>
      </c>
      <c r="AC100" s="49">
        <v>2506247.9</v>
      </c>
      <c r="AD100" s="49">
        <v>2546805.9</v>
      </c>
      <c r="AE100" s="49">
        <v>2638183.25</v>
      </c>
      <c r="AF100" s="49">
        <v>2803138.8219999997</v>
      </c>
      <c r="AG100" s="49">
        <v>2899127.6345000002</v>
      </c>
      <c r="AH100" s="66">
        <f t="shared" si="74"/>
        <v>0.15676012516559124</v>
      </c>
      <c r="AI100" s="66">
        <f t="shared" si="75"/>
        <v>3.4243331706102831E-2</v>
      </c>
    </row>
    <row r="101" spans="1:35" s="39" customFormat="1" ht="18" outlineLevel="1" x14ac:dyDescent="0.25">
      <c r="A101" s="81"/>
      <c r="B101" s="11"/>
      <c r="C101" s="11"/>
      <c r="D101" s="42"/>
      <c r="E101" s="43"/>
      <c r="F101" s="43"/>
      <c r="G101" s="43"/>
      <c r="H101" s="43"/>
      <c r="I101" s="43"/>
      <c r="J101" s="43"/>
      <c r="K101" s="45"/>
      <c r="L101" s="45"/>
      <c r="M101" s="60"/>
      <c r="O101" s="43"/>
      <c r="P101" s="43"/>
      <c r="Q101" s="43"/>
      <c r="R101" s="43"/>
      <c r="S101" s="43"/>
      <c r="T101" s="43"/>
      <c r="U101" s="43"/>
      <c r="V101" s="43"/>
      <c r="W101" s="43"/>
      <c r="X101" s="43"/>
      <c r="Y101" s="43"/>
      <c r="Z101" s="43"/>
      <c r="AA101" s="43"/>
      <c r="AB101" s="43"/>
      <c r="AC101" s="43"/>
      <c r="AD101" s="43"/>
      <c r="AE101" s="43"/>
      <c r="AF101" s="43"/>
      <c r="AG101" s="43"/>
      <c r="AH101" s="45"/>
      <c r="AI101" s="45"/>
    </row>
    <row r="102" spans="1:35" s="39" customFormat="1" ht="18" outlineLevel="1" x14ac:dyDescent="0.25">
      <c r="A102" s="81"/>
      <c r="B102" s="5" t="s">
        <v>388</v>
      </c>
      <c r="C102" s="5" t="s">
        <v>407</v>
      </c>
      <c r="D102" s="46"/>
      <c r="E102" s="36">
        <f t="shared" ref="E102:J102" si="80">E95/E100</f>
        <v>0.2313141259807503</v>
      </c>
      <c r="F102" s="36">
        <f t="shared" si="80"/>
        <v>0.29584094883696466</v>
      </c>
      <c r="G102" s="36">
        <f t="shared" si="80"/>
        <v>0.21069451940273237</v>
      </c>
      <c r="H102" s="36">
        <f t="shared" si="80"/>
        <v>0.17284584353440133</v>
      </c>
      <c r="I102" s="36">
        <f t="shared" si="80"/>
        <v>0.17441714546821663</v>
      </c>
      <c r="J102" s="36">
        <f t="shared" si="80"/>
        <v>0.18823643767566237</v>
      </c>
      <c r="K102" s="84">
        <f>100*(I102-H102)</f>
        <v>0.15713019338153</v>
      </c>
      <c r="L102" s="84">
        <f>100*(J102-I102)</f>
        <v>1.3819292207445737</v>
      </c>
      <c r="M102" s="60"/>
      <c r="O102" s="36">
        <f t="shared" ref="O102:V102" si="81">4*O95/O100</f>
        <v>0.25020970533813663</v>
      </c>
      <c r="P102" s="36">
        <f t="shared" si="81"/>
        <v>0.26387711954714349</v>
      </c>
      <c r="Q102" s="36">
        <f t="shared" si="81"/>
        <v>0.23384832417340976</v>
      </c>
      <c r="R102" s="36">
        <f t="shared" si="81"/>
        <v>0.21456324313256425</v>
      </c>
      <c r="S102" s="36">
        <f t="shared" si="81"/>
        <v>0.20834283676355328</v>
      </c>
      <c r="T102" s="36">
        <f t="shared" si="81"/>
        <v>0.20655236580119643</v>
      </c>
      <c r="U102" s="36">
        <f t="shared" si="81"/>
        <v>0.21405023395483991</v>
      </c>
      <c r="V102" s="36">
        <f t="shared" si="81"/>
        <v>0.18289858278806945</v>
      </c>
      <c r="W102" s="36">
        <f>4*W95/W100</f>
        <v>0.16845656893535418</v>
      </c>
      <c r="X102" s="36">
        <v>0.28310344759280387</v>
      </c>
      <c r="Y102" s="36">
        <f t="shared" ref="Y102:AG102" si="82">4*Y95/Y100</f>
        <v>0.17882033185736251</v>
      </c>
      <c r="Z102" s="36">
        <f t="shared" si="82"/>
        <v>0.17010569570476675</v>
      </c>
      <c r="AA102" s="36">
        <f t="shared" si="82"/>
        <v>0.15996081476757149</v>
      </c>
      <c r="AB102" s="36">
        <f t="shared" si="82"/>
        <v>0.18326831870718233</v>
      </c>
      <c r="AC102" s="36">
        <f t="shared" si="82"/>
        <v>0.20243807486083082</v>
      </c>
      <c r="AD102" s="36">
        <f t="shared" si="82"/>
        <v>0.19331822656763911</v>
      </c>
      <c r="AE102" s="36">
        <f t="shared" si="82"/>
        <v>0.20309582361270773</v>
      </c>
      <c r="AF102" s="36">
        <f t="shared" si="82"/>
        <v>0.19558978295579291</v>
      </c>
      <c r="AG102" s="36">
        <f t="shared" si="82"/>
        <v>0.2057450098603936</v>
      </c>
      <c r="AH102" s="84">
        <f>100*(AG102-AC102)</f>
        <v>0.33069349995627773</v>
      </c>
      <c r="AI102" s="84">
        <f>100*(AG102-AF102)</f>
        <v>1.0155226904600689</v>
      </c>
    </row>
    <row r="103" spans="1:35" s="39" customFormat="1" x14ac:dyDescent="0.25">
      <c r="A103" s="82" t="s">
        <v>148</v>
      </c>
      <c r="E103" s="61"/>
      <c r="F103" s="61"/>
      <c r="G103" s="61"/>
      <c r="H103" s="61"/>
      <c r="I103" s="61"/>
      <c r="J103" s="61"/>
      <c r="M103" s="60"/>
      <c r="O103" s="61"/>
      <c r="P103" s="61"/>
      <c r="Q103" s="61"/>
      <c r="R103" s="61"/>
      <c r="S103" s="61"/>
      <c r="T103" s="61"/>
      <c r="U103" s="61"/>
      <c r="V103" s="61"/>
      <c r="W103" s="61"/>
      <c r="X103" s="61"/>
      <c r="Y103" s="61"/>
      <c r="Z103" s="61"/>
      <c r="AA103" s="61"/>
      <c r="AB103" s="61"/>
      <c r="AC103" s="61"/>
      <c r="AD103" s="61"/>
      <c r="AE103" s="61"/>
      <c r="AF103" s="61"/>
      <c r="AG103" s="61"/>
    </row>
    <row r="104" spans="1:35" s="39" customFormat="1" ht="18" x14ac:dyDescent="0.25">
      <c r="A104" s="81"/>
      <c r="B104" s="8" t="s">
        <v>387</v>
      </c>
      <c r="C104" s="8" t="s">
        <v>410</v>
      </c>
      <c r="D104" s="47"/>
      <c r="E104" s="47"/>
      <c r="F104" s="47"/>
      <c r="G104" s="47"/>
      <c r="H104" s="47"/>
      <c r="I104" s="47"/>
      <c r="J104" s="47"/>
      <c r="K104" s="47"/>
      <c r="L104" s="47"/>
      <c r="M104" s="60"/>
      <c r="O104" s="47"/>
      <c r="P104" s="47"/>
      <c r="Q104" s="47"/>
      <c r="R104" s="47"/>
      <c r="S104" s="47"/>
      <c r="T104" s="47"/>
      <c r="U104" s="47"/>
      <c r="V104" s="47"/>
      <c r="W104" s="47"/>
      <c r="X104" s="47"/>
      <c r="Y104" s="47"/>
      <c r="Z104" s="47"/>
      <c r="AA104" s="47"/>
      <c r="AB104" s="47"/>
      <c r="AC104" s="47"/>
      <c r="AD104" s="47"/>
      <c r="AE104" s="47"/>
      <c r="AF104" s="47"/>
      <c r="AG104" s="47"/>
      <c r="AH104" s="47"/>
      <c r="AI104" s="47"/>
    </row>
    <row r="105" spans="1:35" s="39" customFormat="1" ht="6.75" customHeight="1" outlineLevel="1" x14ac:dyDescent="0.25">
      <c r="A105" s="81"/>
      <c r="M105" s="60"/>
    </row>
    <row r="106" spans="1:35" s="39" customFormat="1" ht="18" outlineLevel="1" x14ac:dyDescent="0.25">
      <c r="A106" s="81"/>
      <c r="B106" s="7" t="s">
        <v>128</v>
      </c>
      <c r="C106" s="7" t="s">
        <v>408</v>
      </c>
      <c r="E106" s="35"/>
      <c r="F106" s="35"/>
      <c r="G106" s="35"/>
      <c r="H106" s="35">
        <v>66619.145367912381</v>
      </c>
      <c r="I106" s="35">
        <v>130917.1</v>
      </c>
      <c r="J106" s="35">
        <v>163283.19999999995</v>
      </c>
      <c r="K106" s="10">
        <f>I106/H106-1</f>
        <v>0.96515730240900433</v>
      </c>
      <c r="L106" s="10">
        <f>J106/I106-1</f>
        <v>0.24722591624776258</v>
      </c>
      <c r="M106" s="60"/>
      <c r="O106" s="35">
        <v>3048</v>
      </c>
      <c r="P106" s="35">
        <v>3421.9999999999982</v>
      </c>
      <c r="Q106" s="35">
        <v>3933.8117800000005</v>
      </c>
      <c r="R106" s="35">
        <v>7129.1882200000036</v>
      </c>
      <c r="S106" s="35">
        <v>7665</v>
      </c>
      <c r="T106" s="35">
        <v>10804</v>
      </c>
      <c r="U106" s="35">
        <v>22230.92</v>
      </c>
      <c r="V106" s="35">
        <v>25919.225367912379</v>
      </c>
      <c r="W106" s="35">
        <v>27965</v>
      </c>
      <c r="X106" s="35">
        <v>30837</v>
      </c>
      <c r="Y106" s="35">
        <v>38835</v>
      </c>
      <c r="Z106" s="35">
        <v>33280.1</v>
      </c>
      <c r="AA106" s="35">
        <v>26222</v>
      </c>
      <c r="AB106" s="35">
        <v>43435</v>
      </c>
      <c r="AC106" s="35">
        <v>47873.599999999977</v>
      </c>
      <c r="AD106" s="35">
        <v>45752.599999999977</v>
      </c>
      <c r="AE106" s="35">
        <v>53114</v>
      </c>
      <c r="AF106" s="35">
        <v>50394.917447484244</v>
      </c>
      <c r="AG106" s="35">
        <v>60839.093936685531</v>
      </c>
      <c r="AH106" s="10">
        <f t="shared" ref="AH106" si="83">AG106/AC106-1</f>
        <v>0.2708276364569524</v>
      </c>
      <c r="AI106" s="10">
        <f t="shared" ref="AI106" si="84">AG106/AF106-1</f>
        <v>0.2072466236319368</v>
      </c>
    </row>
    <row r="107" spans="1:35" s="39" customFormat="1" ht="18" outlineLevel="1" x14ac:dyDescent="0.25">
      <c r="A107" s="81"/>
      <c r="B107" s="64" t="s">
        <v>398</v>
      </c>
      <c r="C107" s="64" t="s">
        <v>343</v>
      </c>
      <c r="D107" s="42"/>
      <c r="E107" s="43"/>
      <c r="F107" s="43"/>
      <c r="G107" s="43"/>
      <c r="H107" s="43">
        <v>1112696.2112683957</v>
      </c>
      <c r="I107" s="43">
        <v>1158521</v>
      </c>
      <c r="J107" s="43">
        <v>1229942</v>
      </c>
      <c r="K107" s="88">
        <v>4.1183557800891002E-2</v>
      </c>
      <c r="L107" s="88">
        <v>6.1648429333607258E-2</v>
      </c>
      <c r="M107" s="60"/>
      <c r="O107" s="43">
        <v>26157</v>
      </c>
      <c r="P107" s="43">
        <f>AVERAGE(O97:P97)</f>
        <v>30414</v>
      </c>
      <c r="Q107" s="43">
        <f>AVERAGE(P97:Q97)</f>
        <v>44557.757079999996</v>
      </c>
      <c r="R107" s="43">
        <f t="shared" ref="R107:AE107" si="85">AVERAGE(Q97:R97)</f>
        <v>69752.257079999996</v>
      </c>
      <c r="S107" s="43">
        <f t="shared" si="85"/>
        <v>113610</v>
      </c>
      <c r="T107" s="43">
        <f t="shared" si="85"/>
        <v>137348</v>
      </c>
      <c r="U107" s="43">
        <f t="shared" si="85"/>
        <v>620508</v>
      </c>
      <c r="V107" s="43">
        <f t="shared" si="85"/>
        <v>1110588.1056341978</v>
      </c>
      <c r="W107" s="43">
        <f t="shared" si="85"/>
        <v>1123965.6056341978</v>
      </c>
      <c r="X107" s="43">
        <f t="shared" si="85"/>
        <v>1127328</v>
      </c>
      <c r="Y107" s="43">
        <f t="shared" si="85"/>
        <v>1129344</v>
      </c>
      <c r="Z107" s="43">
        <f t="shared" si="85"/>
        <v>1148894</v>
      </c>
      <c r="AA107" s="43">
        <f t="shared" si="85"/>
        <v>1149126.5</v>
      </c>
      <c r="AB107" s="43">
        <f t="shared" si="85"/>
        <v>1157490</v>
      </c>
      <c r="AC107" s="43">
        <f t="shared" si="85"/>
        <v>1194271.3999999999</v>
      </c>
      <c r="AD107" s="43">
        <f t="shared" si="85"/>
        <v>1221618.3999999999</v>
      </c>
      <c r="AE107" s="43">
        <f t="shared" si="85"/>
        <v>1250391.75</v>
      </c>
      <c r="AF107" s="43">
        <v>1279730.7084999999</v>
      </c>
      <c r="AG107" s="43">
        <v>1288137.5904999999</v>
      </c>
      <c r="AH107" s="45"/>
      <c r="AI107" s="45"/>
    </row>
    <row r="108" spans="1:35" s="39" customFormat="1" ht="18" outlineLevel="1" x14ac:dyDescent="0.25">
      <c r="A108" s="81"/>
      <c r="B108" s="5" t="s">
        <v>387</v>
      </c>
      <c r="C108" s="5" t="s">
        <v>409</v>
      </c>
      <c r="D108" s="46"/>
      <c r="E108" s="36"/>
      <c r="F108" s="36"/>
      <c r="G108" s="36"/>
      <c r="H108" s="36">
        <f>H106/H107</f>
        <v>5.9871818285398157E-2</v>
      </c>
      <c r="I108" s="36">
        <f t="shared" ref="I108:J108" si="86">I106/I107</f>
        <v>0.11300364861750456</v>
      </c>
      <c r="J108" s="36">
        <f t="shared" si="86"/>
        <v>0.13275682918381512</v>
      </c>
      <c r="K108" s="84">
        <f>100*(I108-H108)</f>
        <v>5.31318303321064</v>
      </c>
      <c r="L108" s="84">
        <f>100*(J108-I108)</f>
        <v>1.9753180566310564</v>
      </c>
      <c r="M108" s="60"/>
      <c r="O108" s="36">
        <f>4*O106/O107</f>
        <v>0.46610849868104143</v>
      </c>
      <c r="P108" s="36">
        <f t="shared" ref="P108:AG108" si="87">4*P106/P107</f>
        <v>0.45005589531136952</v>
      </c>
      <c r="Q108" s="36">
        <f t="shared" si="87"/>
        <v>0.35314271074615777</v>
      </c>
      <c r="R108" s="36">
        <f t="shared" si="87"/>
        <v>0.40882910566311409</v>
      </c>
      <c r="S108" s="36">
        <f t="shared" si="87"/>
        <v>0.26987060998151569</v>
      </c>
      <c r="T108" s="36">
        <f t="shared" si="87"/>
        <v>0.31464600867868481</v>
      </c>
      <c r="U108" s="36">
        <f t="shared" si="87"/>
        <v>0.14330787032560416</v>
      </c>
      <c r="V108" s="36">
        <f t="shared" si="87"/>
        <v>9.3353153113813647E-2</v>
      </c>
      <c r="W108" s="36">
        <f t="shared" si="87"/>
        <v>9.9522618342829952E-2</v>
      </c>
      <c r="X108" s="36">
        <f t="shared" si="87"/>
        <v>0.10941624797751852</v>
      </c>
      <c r="Y108" s="36">
        <f t="shared" si="87"/>
        <v>0.13754887793267595</v>
      </c>
      <c r="Z108" s="36">
        <f t="shared" si="87"/>
        <v>0.11586830464777428</v>
      </c>
      <c r="AA108" s="36">
        <f t="shared" si="87"/>
        <v>9.1276286814375968E-2</v>
      </c>
      <c r="AB108" s="36">
        <f t="shared" si="87"/>
        <v>0.15010064881770036</v>
      </c>
      <c r="AC108" s="36">
        <f t="shared" si="87"/>
        <v>0.16034412278482088</v>
      </c>
      <c r="AD108" s="36">
        <f t="shared" si="87"/>
        <v>0.14980979330370264</v>
      </c>
      <c r="AE108" s="36">
        <f t="shared" si="87"/>
        <v>0.16991154972031766</v>
      </c>
      <c r="AF108" s="36">
        <f t="shared" si="87"/>
        <v>0.15751725613134099</v>
      </c>
      <c r="AG108" s="36">
        <f t="shared" si="87"/>
        <v>0.18892110403538614</v>
      </c>
      <c r="AH108" s="84">
        <f>100*(AG108-AC108)</f>
        <v>2.8576981250565265</v>
      </c>
      <c r="AI108" s="84">
        <f>100*(AG108-AF108)</f>
        <v>3.1403847904045157</v>
      </c>
    </row>
    <row r="109" spans="1:35" s="39" customFormat="1" x14ac:dyDescent="0.25">
      <c r="A109" s="82" t="s">
        <v>148</v>
      </c>
      <c r="M109" s="60"/>
    </row>
    <row r="110" spans="1:35" s="39" customFormat="1" ht="18" x14ac:dyDescent="0.25">
      <c r="A110" s="81" t="s">
        <v>85</v>
      </c>
      <c r="B110" s="8" t="s">
        <v>112</v>
      </c>
      <c r="C110" s="8" t="s">
        <v>292</v>
      </c>
      <c r="D110" s="47"/>
      <c r="E110" s="47"/>
      <c r="F110" s="47"/>
      <c r="G110" s="47"/>
      <c r="H110" s="47"/>
      <c r="I110" s="47"/>
      <c r="J110" s="47"/>
      <c r="K110" s="47"/>
      <c r="L110" s="47"/>
      <c r="M110" s="60"/>
      <c r="O110" s="47"/>
      <c r="P110" s="47"/>
      <c r="Q110" s="47"/>
      <c r="R110" s="47"/>
      <c r="S110" s="47"/>
      <c r="T110" s="47"/>
      <c r="U110" s="47"/>
      <c r="V110" s="47"/>
      <c r="W110" s="47"/>
      <c r="X110" s="47"/>
      <c r="Y110" s="47"/>
      <c r="Z110" s="47"/>
      <c r="AA110" s="47"/>
      <c r="AB110" s="47"/>
      <c r="AC110" s="47"/>
      <c r="AD110" s="47"/>
      <c r="AE110" s="47"/>
      <c r="AF110" s="47"/>
      <c r="AG110" s="47"/>
      <c r="AH110" s="47"/>
      <c r="AI110" s="47"/>
    </row>
    <row r="111" spans="1:35" s="39" customFormat="1" ht="6.75" customHeight="1" outlineLevel="1" x14ac:dyDescent="0.25">
      <c r="A111" s="81"/>
      <c r="M111" s="60"/>
    </row>
    <row r="112" spans="1:35" s="39" customFormat="1" ht="18" outlineLevel="1" x14ac:dyDescent="0.25">
      <c r="A112" s="81"/>
      <c r="B112" s="7" t="s">
        <v>139</v>
      </c>
      <c r="C112" s="7" t="s">
        <v>227</v>
      </c>
      <c r="E112" s="35">
        <v>4553</v>
      </c>
      <c r="F112" s="35">
        <v>6943</v>
      </c>
      <c r="G112" s="35">
        <v>16015</v>
      </c>
      <c r="H112" s="35">
        <v>51044</v>
      </c>
      <c r="I112" s="35">
        <v>127856</v>
      </c>
      <c r="J112" s="35">
        <v>174405</v>
      </c>
      <c r="K112" s="35"/>
      <c r="L112" s="35"/>
      <c r="M112" s="60"/>
      <c r="N112" s="35"/>
      <c r="O112" s="35">
        <v>2370</v>
      </c>
      <c r="P112" s="35">
        <v>2803</v>
      </c>
      <c r="Q112" s="35">
        <v>4023</v>
      </c>
      <c r="R112" s="35">
        <v>6819</v>
      </c>
      <c r="S112" s="35">
        <v>8181</v>
      </c>
      <c r="T112" s="35">
        <v>10847</v>
      </c>
      <c r="U112" s="35">
        <v>11578</v>
      </c>
      <c r="V112" s="35">
        <v>20438</v>
      </c>
      <c r="W112" s="35">
        <v>24101</v>
      </c>
      <c r="X112" s="35">
        <v>29715</v>
      </c>
      <c r="Y112" s="35">
        <v>33432</v>
      </c>
      <c r="Z112" s="35">
        <v>40608</v>
      </c>
      <c r="AA112" s="35">
        <v>39188</v>
      </c>
      <c r="AB112" s="35">
        <v>41332</v>
      </c>
      <c r="AC112" s="35">
        <v>44976</v>
      </c>
      <c r="AD112" s="35">
        <v>48909</v>
      </c>
      <c r="AE112" s="35">
        <v>38377</v>
      </c>
      <c r="AF112" s="35">
        <v>30519</v>
      </c>
      <c r="AG112" s="35">
        <v>35061</v>
      </c>
      <c r="AH112" s="99"/>
      <c r="AI112" s="99"/>
    </row>
    <row r="113" spans="1:37" s="39" customFormat="1" ht="18" outlineLevel="1" x14ac:dyDescent="0.25">
      <c r="A113" s="81"/>
      <c r="B113" s="7" t="s">
        <v>140</v>
      </c>
      <c r="C113" s="7" t="s">
        <v>293</v>
      </c>
      <c r="E113" s="35">
        <v>7988</v>
      </c>
      <c r="F113" s="35">
        <v>13766</v>
      </c>
      <c r="G113" s="35">
        <v>26975</v>
      </c>
      <c r="H113" s="35">
        <v>94950</v>
      </c>
      <c r="I113" s="35">
        <v>228450</v>
      </c>
      <c r="J113" s="35">
        <v>349091</v>
      </c>
      <c r="K113" s="35"/>
      <c r="L113" s="35"/>
      <c r="M113" s="60"/>
      <c r="N113" s="35"/>
      <c r="O113" s="35">
        <v>5217</v>
      </c>
      <c r="P113" s="35">
        <v>4489</v>
      </c>
      <c r="Q113" s="35">
        <v>7480</v>
      </c>
      <c r="R113" s="35">
        <v>9789</v>
      </c>
      <c r="S113" s="35">
        <v>11013</v>
      </c>
      <c r="T113" s="35">
        <v>14854</v>
      </c>
      <c r="U113" s="35">
        <v>20302</v>
      </c>
      <c r="V113" s="35">
        <v>48781</v>
      </c>
      <c r="W113" s="35">
        <v>51224</v>
      </c>
      <c r="X113" s="35">
        <v>58306</v>
      </c>
      <c r="Y113" s="35">
        <v>54376</v>
      </c>
      <c r="Z113" s="35">
        <v>64544</v>
      </c>
      <c r="AA113" s="35">
        <v>66146</v>
      </c>
      <c r="AB113" s="35">
        <v>69526</v>
      </c>
      <c r="AC113" s="35">
        <v>90874</v>
      </c>
      <c r="AD113" s="35">
        <v>122545</v>
      </c>
      <c r="AE113" s="35">
        <v>117030</v>
      </c>
      <c r="AF113" s="35">
        <v>136041</v>
      </c>
      <c r="AG113" s="35">
        <v>156213</v>
      </c>
      <c r="AH113" s="99"/>
      <c r="AI113" s="99"/>
      <c r="AJ113" s="99"/>
    </row>
    <row r="114" spans="1:37" s="39" customFormat="1" ht="18" outlineLevel="1" x14ac:dyDescent="0.25">
      <c r="A114" s="81"/>
      <c r="B114" s="7" t="s">
        <v>107</v>
      </c>
      <c r="C114" s="7" t="s">
        <v>294</v>
      </c>
      <c r="E114" s="35">
        <v>4117</v>
      </c>
      <c r="F114" s="35">
        <v>6152</v>
      </c>
      <c r="G114" s="35">
        <v>11451</v>
      </c>
      <c r="H114" s="35">
        <v>36873</v>
      </c>
      <c r="I114" s="35">
        <v>69124</v>
      </c>
      <c r="J114" s="35">
        <v>89864</v>
      </c>
      <c r="K114" s="35"/>
      <c r="L114" s="35"/>
      <c r="M114" s="60"/>
      <c r="N114" s="35"/>
      <c r="O114" s="35">
        <v>2053</v>
      </c>
      <c r="P114" s="35">
        <v>2184</v>
      </c>
      <c r="Q114" s="35">
        <v>3314</v>
      </c>
      <c r="R114" s="35">
        <v>3900</v>
      </c>
      <c r="S114" s="35">
        <v>4594</v>
      </c>
      <c r="T114" s="35">
        <v>6740</v>
      </c>
      <c r="U114" s="35">
        <v>9816</v>
      </c>
      <c r="V114" s="35">
        <v>15723</v>
      </c>
      <c r="W114" s="35">
        <v>16465</v>
      </c>
      <c r="X114" s="35">
        <v>18912</v>
      </c>
      <c r="Y114" s="35">
        <v>19509</v>
      </c>
      <c r="Z114" s="35">
        <v>14238</v>
      </c>
      <c r="AA114" s="35">
        <v>20403</v>
      </c>
      <c r="AB114" s="35">
        <v>22374</v>
      </c>
      <c r="AC114" s="35">
        <v>24664</v>
      </c>
      <c r="AD114" s="35">
        <v>22423</v>
      </c>
      <c r="AE114" s="35">
        <v>20561</v>
      </c>
      <c r="AF114" s="35">
        <v>26954</v>
      </c>
      <c r="AG114" s="35">
        <v>32640.603058375302</v>
      </c>
      <c r="AH114" s="99"/>
      <c r="AI114" s="99"/>
      <c r="AJ114" s="99"/>
    </row>
    <row r="115" spans="1:37" s="39" customFormat="1" ht="18" outlineLevel="1" x14ac:dyDescent="0.25">
      <c r="A115" s="81"/>
      <c r="B115" s="7" t="s">
        <v>108</v>
      </c>
      <c r="C115" s="7" t="s">
        <v>345</v>
      </c>
      <c r="E115" s="35">
        <v>5377</v>
      </c>
      <c r="F115" s="35">
        <v>5963</v>
      </c>
      <c r="G115" s="35">
        <v>6095</v>
      </c>
      <c r="H115" s="35">
        <v>14770</v>
      </c>
      <c r="I115" s="35">
        <v>32697</v>
      </c>
      <c r="J115" s="35">
        <v>36208</v>
      </c>
      <c r="K115" s="35"/>
      <c r="L115" s="35"/>
      <c r="M115" s="60"/>
      <c r="N115" s="35"/>
      <c r="O115" s="35">
        <v>1413</v>
      </c>
      <c r="P115" s="35">
        <v>1060</v>
      </c>
      <c r="Q115" s="35">
        <v>1478</v>
      </c>
      <c r="R115" s="35">
        <v>2144</v>
      </c>
      <c r="S115" s="35">
        <v>1807</v>
      </c>
      <c r="T115" s="35">
        <v>2891</v>
      </c>
      <c r="U115" s="35">
        <v>4356</v>
      </c>
      <c r="V115" s="35">
        <v>5716</v>
      </c>
      <c r="W115" s="35">
        <v>5987</v>
      </c>
      <c r="X115" s="35">
        <v>8165</v>
      </c>
      <c r="Y115" s="35">
        <v>9449</v>
      </c>
      <c r="Z115" s="35">
        <v>9096</v>
      </c>
      <c r="AA115" s="35">
        <v>9784</v>
      </c>
      <c r="AB115" s="35">
        <v>8163</v>
      </c>
      <c r="AC115" s="35">
        <v>9036</v>
      </c>
      <c r="AD115" s="35">
        <v>9225</v>
      </c>
      <c r="AE115" s="35">
        <v>8684</v>
      </c>
      <c r="AF115" s="35">
        <v>8989</v>
      </c>
      <c r="AG115" s="35">
        <v>14396</v>
      </c>
      <c r="AH115" s="99"/>
      <c r="AI115" s="99"/>
    </row>
    <row r="116" spans="1:37" s="39" customFormat="1" ht="18" outlineLevel="1" x14ac:dyDescent="0.25">
      <c r="A116" s="81"/>
      <c r="B116" s="7" t="s">
        <v>141</v>
      </c>
      <c r="C116" s="7" t="s">
        <v>295</v>
      </c>
      <c r="E116" s="35">
        <v>2091</v>
      </c>
      <c r="F116" s="35">
        <v>1017</v>
      </c>
      <c r="G116" s="35">
        <v>1135</v>
      </c>
      <c r="H116" s="35">
        <v>3572</v>
      </c>
      <c r="I116" s="35">
        <v>37613</v>
      </c>
      <c r="J116" s="35">
        <v>76258</v>
      </c>
      <c r="K116" s="35"/>
      <c r="L116" s="35"/>
      <c r="M116" s="60"/>
      <c r="N116" s="35"/>
      <c r="O116" s="35">
        <v>5</v>
      </c>
      <c r="P116" s="35">
        <v>329</v>
      </c>
      <c r="Q116" s="35">
        <v>304</v>
      </c>
      <c r="R116" s="35">
        <v>497</v>
      </c>
      <c r="S116" s="35">
        <v>1960</v>
      </c>
      <c r="T116" s="35">
        <v>586</v>
      </c>
      <c r="U116" s="35">
        <v>322</v>
      </c>
      <c r="V116" s="35">
        <v>704</v>
      </c>
      <c r="W116" s="35">
        <v>7453</v>
      </c>
      <c r="X116" s="35">
        <v>8923</v>
      </c>
      <c r="Y116" s="35">
        <v>12625</v>
      </c>
      <c r="Z116" s="35">
        <v>8612</v>
      </c>
      <c r="AA116" s="35">
        <v>20023</v>
      </c>
      <c r="AB116" s="35">
        <v>13879</v>
      </c>
      <c r="AC116" s="35">
        <v>16257</v>
      </c>
      <c r="AD116" s="35">
        <v>26099</v>
      </c>
      <c r="AE116" s="35">
        <v>20325</v>
      </c>
      <c r="AF116" s="35">
        <v>16054</v>
      </c>
      <c r="AG116" s="35">
        <v>39499</v>
      </c>
      <c r="AH116" s="99"/>
      <c r="AI116" s="99"/>
    </row>
    <row r="117" spans="1:37" s="39" customFormat="1" ht="18" outlineLevel="1" x14ac:dyDescent="0.25">
      <c r="A117" s="81"/>
      <c r="B117" s="7" t="s">
        <v>109</v>
      </c>
      <c r="C117" s="7" t="s">
        <v>346</v>
      </c>
      <c r="E117" s="35">
        <v>0</v>
      </c>
      <c r="F117" s="35">
        <v>0</v>
      </c>
      <c r="G117" s="35">
        <v>89</v>
      </c>
      <c r="H117" s="35">
        <v>239</v>
      </c>
      <c r="I117" s="35">
        <v>0</v>
      </c>
      <c r="J117" s="35">
        <v>0</v>
      </c>
      <c r="K117" s="35"/>
      <c r="L117" s="35"/>
      <c r="M117" s="60"/>
      <c r="N117" s="35"/>
      <c r="O117" s="35">
        <v>0</v>
      </c>
      <c r="P117" s="35">
        <v>0</v>
      </c>
      <c r="Q117" s="35">
        <v>0</v>
      </c>
      <c r="R117" s="35">
        <v>89</v>
      </c>
      <c r="S117" s="35">
        <v>0</v>
      </c>
      <c r="T117" s="35">
        <v>0</v>
      </c>
      <c r="U117" s="35">
        <v>239</v>
      </c>
      <c r="V117" s="35">
        <v>0</v>
      </c>
      <c r="W117" s="35">
        <v>997</v>
      </c>
      <c r="X117" s="35">
        <v>997</v>
      </c>
      <c r="Y117" s="35">
        <v>-1994</v>
      </c>
      <c r="Z117" s="35">
        <v>0</v>
      </c>
      <c r="AA117" s="35">
        <v>0</v>
      </c>
      <c r="AB117" s="35">
        <v>0</v>
      </c>
      <c r="AC117" s="35">
        <v>0</v>
      </c>
      <c r="AD117" s="35">
        <v>0</v>
      </c>
      <c r="AE117" s="35">
        <v>0</v>
      </c>
      <c r="AF117" s="35">
        <v>0</v>
      </c>
      <c r="AG117" s="35">
        <v>0</v>
      </c>
      <c r="AH117" s="99"/>
      <c r="AI117" s="99"/>
    </row>
    <row r="118" spans="1:37" s="39" customFormat="1" ht="18" outlineLevel="1" x14ac:dyDescent="0.25">
      <c r="A118" s="81"/>
      <c r="B118" s="11" t="s">
        <v>142</v>
      </c>
      <c r="C118" s="11" t="s">
        <v>296</v>
      </c>
      <c r="D118" s="42"/>
      <c r="E118" s="43">
        <v>1719</v>
      </c>
      <c r="F118" s="43">
        <v>640</v>
      </c>
      <c r="G118" s="43">
        <v>-720</v>
      </c>
      <c r="H118" s="43">
        <v>455</v>
      </c>
      <c r="I118" s="43">
        <v>8394</v>
      </c>
      <c r="J118" s="43">
        <v>8311</v>
      </c>
      <c r="K118" s="45"/>
      <c r="L118" s="45"/>
      <c r="M118" s="60"/>
      <c r="O118" s="43">
        <v>-474</v>
      </c>
      <c r="P118" s="43">
        <v>1767</v>
      </c>
      <c r="Q118" s="43">
        <v>-362</v>
      </c>
      <c r="R118" s="43">
        <v>-1651</v>
      </c>
      <c r="S118" s="43">
        <v>888</v>
      </c>
      <c r="T118" s="43">
        <v>1415</v>
      </c>
      <c r="U118" s="43">
        <v>928</v>
      </c>
      <c r="V118" s="43">
        <v>-2776</v>
      </c>
      <c r="W118" s="43">
        <v>1944</v>
      </c>
      <c r="X118" s="43">
        <v>1175</v>
      </c>
      <c r="Y118" s="43">
        <v>2910</v>
      </c>
      <c r="Z118" s="43">
        <v>2365</v>
      </c>
      <c r="AA118" s="43">
        <v>2263</v>
      </c>
      <c r="AB118" s="43">
        <v>1672</v>
      </c>
      <c r="AC118" s="43">
        <v>4888</v>
      </c>
      <c r="AD118" s="43">
        <v>-512</v>
      </c>
      <c r="AE118" s="43">
        <v>9253</v>
      </c>
      <c r="AF118" s="43">
        <v>18576</v>
      </c>
      <c r="AG118" s="43">
        <v>14342</v>
      </c>
      <c r="AH118" s="45"/>
      <c r="AI118" s="45"/>
    </row>
    <row r="119" spans="1:37" s="39" customFormat="1" ht="18" outlineLevel="1" x14ac:dyDescent="0.25">
      <c r="A119" s="81"/>
      <c r="B119" s="5" t="s">
        <v>110</v>
      </c>
      <c r="C119" s="5" t="s">
        <v>297</v>
      </c>
      <c r="D119" s="46"/>
      <c r="E119" s="37">
        <v>25845</v>
      </c>
      <c r="F119" s="37">
        <v>34481</v>
      </c>
      <c r="G119" s="37">
        <v>61040</v>
      </c>
      <c r="H119" s="37">
        <f>SUM(H112:H118)</f>
        <v>201903</v>
      </c>
      <c r="I119" s="37">
        <f>SUM(I112:I118)</f>
        <v>504134</v>
      </c>
      <c r="J119" s="37">
        <f>SUM(J112:J118)</f>
        <v>734137</v>
      </c>
      <c r="K119" s="36">
        <f>I119/H119-1</f>
        <v>1.4969118834291715</v>
      </c>
      <c r="L119" s="36">
        <f>J119/I119-1</f>
        <v>0.45623385845826703</v>
      </c>
      <c r="M119" s="60"/>
      <c r="O119" s="37">
        <f t="shared" ref="O119:W119" si="88">SUM(O112:O118)</f>
        <v>10584</v>
      </c>
      <c r="P119" s="37">
        <f t="shared" si="88"/>
        <v>12632</v>
      </c>
      <c r="Q119" s="37">
        <f t="shared" si="88"/>
        <v>16237</v>
      </c>
      <c r="R119" s="37">
        <f t="shared" si="88"/>
        <v>21587</v>
      </c>
      <c r="S119" s="37">
        <f t="shared" si="88"/>
        <v>28443</v>
      </c>
      <c r="T119" s="37">
        <f t="shared" si="88"/>
        <v>37333</v>
      </c>
      <c r="U119" s="37">
        <f t="shared" si="88"/>
        <v>47541</v>
      </c>
      <c r="V119" s="37">
        <f t="shared" si="88"/>
        <v>88586</v>
      </c>
      <c r="W119" s="37">
        <f t="shared" si="88"/>
        <v>108171</v>
      </c>
      <c r="X119" s="37">
        <f t="shared" ref="X119:AG119" si="89">SUM(X112:X118)</f>
        <v>126193</v>
      </c>
      <c r="Y119" s="37">
        <f t="shared" si="89"/>
        <v>130307</v>
      </c>
      <c r="Z119" s="37">
        <f t="shared" si="89"/>
        <v>139463</v>
      </c>
      <c r="AA119" s="37">
        <f t="shared" si="89"/>
        <v>157807</v>
      </c>
      <c r="AB119" s="37">
        <f t="shared" si="89"/>
        <v>156946</v>
      </c>
      <c r="AC119" s="37">
        <f t="shared" si="89"/>
        <v>190695</v>
      </c>
      <c r="AD119" s="37">
        <f t="shared" si="89"/>
        <v>228689</v>
      </c>
      <c r="AE119" s="37">
        <f t="shared" si="89"/>
        <v>214230</v>
      </c>
      <c r="AF119" s="37">
        <f t="shared" si="89"/>
        <v>237133</v>
      </c>
      <c r="AG119" s="37">
        <f t="shared" si="89"/>
        <v>292151.6030583753</v>
      </c>
      <c r="AH119" s="36">
        <f t="shared" ref="AH119" si="90">AG119/AC119-1</f>
        <v>0.53203598971328714</v>
      </c>
      <c r="AI119" s="36">
        <f t="shared" ref="AI119" si="91">AG119/AF119-1</f>
        <v>0.23201580150538015</v>
      </c>
    </row>
    <row r="120" spans="1:37" s="39" customFormat="1" ht="18" outlineLevel="1" x14ac:dyDescent="0.25">
      <c r="A120" s="81"/>
      <c r="M120" s="60"/>
      <c r="O120" s="104"/>
      <c r="P120" s="104"/>
      <c r="Q120" s="104"/>
      <c r="R120" s="104"/>
      <c r="S120" s="104"/>
      <c r="T120" s="104"/>
      <c r="U120" s="104"/>
      <c r="V120" s="104"/>
      <c r="W120" s="104"/>
      <c r="X120" s="104"/>
      <c r="Y120" s="104"/>
      <c r="Z120" s="104"/>
      <c r="AA120" s="104"/>
      <c r="AB120" s="104"/>
      <c r="AC120" s="104"/>
      <c r="AD120" s="104"/>
      <c r="AE120" s="104"/>
      <c r="AF120" s="104"/>
      <c r="AG120" s="104"/>
    </row>
    <row r="121" spans="1:37" s="39" customFormat="1" ht="18" outlineLevel="1" x14ac:dyDescent="0.25">
      <c r="A121" s="81"/>
      <c r="B121" s="7" t="s">
        <v>44</v>
      </c>
      <c r="C121" s="7" t="s">
        <v>227</v>
      </c>
      <c r="E121" s="35">
        <v>4</v>
      </c>
      <c r="F121" s="35">
        <v>58</v>
      </c>
      <c r="G121" s="35">
        <v>113</v>
      </c>
      <c r="H121" s="35">
        <v>3570</v>
      </c>
      <c r="I121" s="35">
        <v>9311</v>
      </c>
      <c r="J121" s="35">
        <v>11247</v>
      </c>
      <c r="K121" s="35"/>
      <c r="L121" s="35"/>
      <c r="M121" s="60"/>
      <c r="N121" s="35"/>
      <c r="O121" s="35">
        <v>6</v>
      </c>
      <c r="P121" s="35">
        <v>34</v>
      </c>
      <c r="Q121" s="35">
        <v>28</v>
      </c>
      <c r="R121" s="35">
        <v>45</v>
      </c>
      <c r="S121" s="35">
        <v>53</v>
      </c>
      <c r="T121" s="35">
        <v>86</v>
      </c>
      <c r="U121" s="35">
        <v>173</v>
      </c>
      <c r="V121" s="35">
        <v>3258</v>
      </c>
      <c r="W121" s="35">
        <v>2926</v>
      </c>
      <c r="X121" s="35">
        <v>1299</v>
      </c>
      <c r="Y121" s="35">
        <v>2636</v>
      </c>
      <c r="Z121" s="35">
        <v>2450</v>
      </c>
      <c r="AA121" s="35">
        <v>2530</v>
      </c>
      <c r="AB121" s="35">
        <v>2657</v>
      </c>
      <c r="AC121" s="35">
        <v>2903</v>
      </c>
      <c r="AD121" s="35">
        <v>3157</v>
      </c>
      <c r="AE121" s="35">
        <v>5873</v>
      </c>
      <c r="AF121" s="35">
        <v>4729</v>
      </c>
      <c r="AG121" s="35">
        <v>7451</v>
      </c>
      <c r="AH121" s="99"/>
      <c r="AI121" s="99"/>
      <c r="AJ121" s="62"/>
      <c r="AK121" s="62"/>
    </row>
    <row r="122" spans="1:37" s="39" customFormat="1" ht="18" outlineLevel="1" x14ac:dyDescent="0.25">
      <c r="A122" s="81"/>
      <c r="B122" s="7" t="s">
        <v>134</v>
      </c>
      <c r="C122" s="7" t="s">
        <v>293</v>
      </c>
      <c r="E122" s="35">
        <v>1951</v>
      </c>
      <c r="F122" s="35">
        <v>1959</v>
      </c>
      <c r="G122" s="35">
        <v>4616</v>
      </c>
      <c r="H122" s="35">
        <v>28261</v>
      </c>
      <c r="I122" s="35">
        <v>69135</v>
      </c>
      <c r="J122" s="35">
        <v>95496</v>
      </c>
      <c r="K122" s="35"/>
      <c r="L122" s="35"/>
      <c r="M122" s="60"/>
      <c r="N122" s="35"/>
      <c r="O122" s="35">
        <v>597</v>
      </c>
      <c r="P122" s="35">
        <v>850</v>
      </c>
      <c r="Q122" s="35">
        <v>1557</v>
      </c>
      <c r="R122" s="35">
        <v>1612</v>
      </c>
      <c r="S122" s="35">
        <v>2708</v>
      </c>
      <c r="T122" s="35">
        <v>4082</v>
      </c>
      <c r="U122" s="35">
        <v>7709</v>
      </c>
      <c r="V122" s="35">
        <v>13762</v>
      </c>
      <c r="W122" s="35">
        <v>13432</v>
      </c>
      <c r="X122" s="35">
        <v>15453</v>
      </c>
      <c r="Y122" s="35">
        <v>16311</v>
      </c>
      <c r="Z122" s="35">
        <v>23939</v>
      </c>
      <c r="AA122" s="35">
        <v>23815</v>
      </c>
      <c r="AB122" s="35">
        <v>23464</v>
      </c>
      <c r="AC122" s="35">
        <v>23250</v>
      </c>
      <c r="AD122" s="35">
        <v>24967</v>
      </c>
      <c r="AE122" s="35">
        <v>18660</v>
      </c>
      <c r="AF122" s="35">
        <v>12978</v>
      </c>
      <c r="AG122" s="35">
        <v>23186</v>
      </c>
      <c r="AH122" s="99"/>
      <c r="AI122" s="99"/>
      <c r="AJ122" s="62"/>
      <c r="AK122" s="62"/>
    </row>
    <row r="123" spans="1:37" s="39" customFormat="1" ht="18" outlineLevel="1" x14ac:dyDescent="0.25">
      <c r="A123" s="81"/>
      <c r="B123" s="7" t="s">
        <v>135</v>
      </c>
      <c r="C123" s="7" t="s">
        <v>347</v>
      </c>
      <c r="E123" s="35">
        <v>0</v>
      </c>
      <c r="F123" s="35">
        <v>242</v>
      </c>
      <c r="G123" s="35">
        <v>915</v>
      </c>
      <c r="H123" s="35">
        <v>3938</v>
      </c>
      <c r="I123" s="35">
        <v>6302</v>
      </c>
      <c r="J123" s="35">
        <v>7639</v>
      </c>
      <c r="K123" s="35"/>
      <c r="L123" s="35"/>
      <c r="M123" s="60"/>
      <c r="N123" s="35"/>
      <c r="O123" s="35">
        <v>202</v>
      </c>
      <c r="P123" s="35">
        <v>183</v>
      </c>
      <c r="Q123" s="35">
        <v>270</v>
      </c>
      <c r="R123" s="35">
        <v>260</v>
      </c>
      <c r="S123" s="35">
        <v>158</v>
      </c>
      <c r="T123" s="35">
        <v>664</v>
      </c>
      <c r="U123" s="35">
        <v>2240</v>
      </c>
      <c r="V123" s="35">
        <v>876</v>
      </c>
      <c r="W123" s="35">
        <v>1277</v>
      </c>
      <c r="X123" s="35">
        <v>1584</v>
      </c>
      <c r="Y123" s="35">
        <v>1343</v>
      </c>
      <c r="Z123" s="35">
        <v>2098</v>
      </c>
      <c r="AA123" s="35">
        <v>1902</v>
      </c>
      <c r="AB123" s="35">
        <v>2667</v>
      </c>
      <c r="AC123" s="35">
        <v>1626</v>
      </c>
      <c r="AD123" s="35">
        <v>1444</v>
      </c>
      <c r="AE123" s="35">
        <v>1567</v>
      </c>
      <c r="AF123" s="35">
        <v>1776</v>
      </c>
      <c r="AG123" s="35">
        <v>3659</v>
      </c>
      <c r="AH123" s="99"/>
      <c r="AI123" s="99"/>
      <c r="AJ123" s="62"/>
      <c r="AK123" s="62"/>
    </row>
    <row r="124" spans="1:37" s="39" customFormat="1" ht="18" outlineLevel="1" x14ac:dyDescent="0.25">
      <c r="A124" s="81"/>
      <c r="B124" s="7" t="s">
        <v>136</v>
      </c>
      <c r="C124" s="7" t="s">
        <v>348</v>
      </c>
      <c r="E124" s="35">
        <v>305</v>
      </c>
      <c r="F124" s="35">
        <v>1164</v>
      </c>
      <c r="G124" s="35">
        <v>3448</v>
      </c>
      <c r="H124" s="35">
        <v>8294</v>
      </c>
      <c r="I124" s="35">
        <v>26379</v>
      </c>
      <c r="J124" s="35">
        <v>26562</v>
      </c>
      <c r="K124" s="35"/>
      <c r="L124" s="35"/>
      <c r="M124" s="60"/>
      <c r="N124" s="35"/>
      <c r="O124" s="35">
        <v>730</v>
      </c>
      <c r="P124" s="35">
        <v>659</v>
      </c>
      <c r="Q124" s="35">
        <v>932</v>
      </c>
      <c r="R124" s="35">
        <v>1127</v>
      </c>
      <c r="S124" s="35">
        <v>858</v>
      </c>
      <c r="T124" s="35">
        <v>1597</v>
      </c>
      <c r="U124" s="35">
        <v>2315</v>
      </c>
      <c r="V124" s="35">
        <v>3524</v>
      </c>
      <c r="W124" s="35">
        <v>3564</v>
      </c>
      <c r="X124" s="35">
        <v>5591</v>
      </c>
      <c r="Y124" s="35">
        <v>7394</v>
      </c>
      <c r="Z124" s="35">
        <v>9830</v>
      </c>
      <c r="AA124" s="35">
        <v>4975</v>
      </c>
      <c r="AB124" s="35">
        <v>7630</v>
      </c>
      <c r="AC124" s="35">
        <v>6326</v>
      </c>
      <c r="AD124" s="35">
        <v>7631</v>
      </c>
      <c r="AE124" s="35">
        <v>6425</v>
      </c>
      <c r="AF124" s="35">
        <v>6847</v>
      </c>
      <c r="AG124" s="35">
        <v>10319</v>
      </c>
      <c r="AH124" s="99"/>
      <c r="AI124" s="99"/>
      <c r="AJ124" s="62"/>
      <c r="AK124" s="62"/>
    </row>
    <row r="125" spans="1:37" s="39" customFormat="1" ht="18" outlineLevel="1" x14ac:dyDescent="0.25">
      <c r="A125" s="81"/>
      <c r="B125" s="7" t="s">
        <v>137</v>
      </c>
      <c r="C125" s="7" t="s">
        <v>232</v>
      </c>
      <c r="E125" s="35">
        <v>0</v>
      </c>
      <c r="F125" s="35">
        <v>397</v>
      </c>
      <c r="G125" s="35">
        <v>280</v>
      </c>
      <c r="H125" s="35">
        <v>666</v>
      </c>
      <c r="I125" s="35">
        <v>5452</v>
      </c>
      <c r="J125" s="35">
        <v>9270</v>
      </c>
      <c r="K125" s="35"/>
      <c r="L125" s="35"/>
      <c r="M125" s="60"/>
      <c r="N125" s="35"/>
      <c r="O125" s="35">
        <v>368</v>
      </c>
      <c r="P125" s="35">
        <v>76</v>
      </c>
      <c r="Q125" s="35">
        <v>-80</v>
      </c>
      <c r="R125" s="35">
        <v>-84</v>
      </c>
      <c r="S125" s="35">
        <v>140</v>
      </c>
      <c r="T125" s="35">
        <v>871</v>
      </c>
      <c r="U125" s="35">
        <v>368</v>
      </c>
      <c r="V125" s="35">
        <v>-713</v>
      </c>
      <c r="W125" s="35">
        <v>1154</v>
      </c>
      <c r="X125" s="35">
        <v>2240</v>
      </c>
      <c r="Y125" s="35">
        <v>970</v>
      </c>
      <c r="Z125" s="35">
        <v>1088</v>
      </c>
      <c r="AA125" s="35">
        <v>1881</v>
      </c>
      <c r="AB125" s="35">
        <v>1667</v>
      </c>
      <c r="AC125" s="35">
        <v>3050</v>
      </c>
      <c r="AD125" s="35">
        <v>2672</v>
      </c>
      <c r="AE125" s="35">
        <v>2788</v>
      </c>
      <c r="AF125" s="35">
        <v>2907</v>
      </c>
      <c r="AG125" s="35">
        <v>2334</v>
      </c>
      <c r="AH125" s="99"/>
      <c r="AI125" s="99"/>
      <c r="AJ125" s="62"/>
      <c r="AK125" s="62"/>
    </row>
    <row r="126" spans="1:37" s="39" customFormat="1" ht="18" outlineLevel="1" x14ac:dyDescent="0.25">
      <c r="A126" s="81"/>
      <c r="B126" s="7" t="s">
        <v>48</v>
      </c>
      <c r="C126" s="7" t="s">
        <v>231</v>
      </c>
      <c r="E126" s="35">
        <v>70</v>
      </c>
      <c r="F126" s="35">
        <v>49</v>
      </c>
      <c r="G126" s="35">
        <v>227</v>
      </c>
      <c r="H126" s="35">
        <v>459</v>
      </c>
      <c r="I126" s="35">
        <v>0</v>
      </c>
      <c r="J126" s="35">
        <v>0</v>
      </c>
      <c r="K126" s="35"/>
      <c r="L126" s="35"/>
      <c r="M126" s="60"/>
      <c r="N126" s="35"/>
      <c r="O126" s="35">
        <v>39</v>
      </c>
      <c r="P126" s="35">
        <v>0</v>
      </c>
      <c r="Q126" s="35">
        <v>24</v>
      </c>
      <c r="R126" s="35">
        <v>164</v>
      </c>
      <c r="S126" s="35">
        <v>29</v>
      </c>
      <c r="T126" s="35">
        <v>79</v>
      </c>
      <c r="U126" s="35">
        <v>-161</v>
      </c>
      <c r="V126" s="35">
        <v>512</v>
      </c>
      <c r="W126" s="35">
        <v>0</v>
      </c>
      <c r="X126" s="35">
        <v>253</v>
      </c>
      <c r="Y126" s="35">
        <v>-253</v>
      </c>
      <c r="Z126" s="35">
        <v>0</v>
      </c>
      <c r="AA126" s="35">
        <v>0</v>
      </c>
      <c r="AB126" s="35">
        <v>0</v>
      </c>
      <c r="AC126" s="35">
        <v>0</v>
      </c>
      <c r="AD126" s="35">
        <v>0</v>
      </c>
      <c r="AE126" s="35">
        <v>0</v>
      </c>
      <c r="AF126" s="35">
        <v>0</v>
      </c>
      <c r="AG126" s="35">
        <v>0</v>
      </c>
      <c r="AH126" s="99"/>
      <c r="AI126" s="99"/>
      <c r="AJ126" s="62"/>
      <c r="AK126" s="62"/>
    </row>
    <row r="127" spans="1:37" s="39" customFormat="1" ht="18" outlineLevel="1" x14ac:dyDescent="0.25">
      <c r="A127" s="81"/>
      <c r="B127" s="7" t="s">
        <v>109</v>
      </c>
      <c r="C127" s="7" t="s">
        <v>346</v>
      </c>
      <c r="E127" s="35">
        <v>0</v>
      </c>
      <c r="F127" s="35">
        <v>0</v>
      </c>
      <c r="G127" s="35">
        <v>0</v>
      </c>
      <c r="H127" s="35">
        <v>11207</v>
      </c>
      <c r="I127" s="35">
        <v>0</v>
      </c>
      <c r="J127" s="35">
        <v>0</v>
      </c>
      <c r="K127" s="35"/>
      <c r="L127" s="35"/>
      <c r="M127" s="60"/>
      <c r="N127" s="35"/>
      <c r="O127" s="35">
        <v>0</v>
      </c>
      <c r="P127" s="35">
        <v>0</v>
      </c>
      <c r="Q127" s="35">
        <v>0</v>
      </c>
      <c r="R127" s="35">
        <v>0</v>
      </c>
      <c r="S127" s="35">
        <v>0</v>
      </c>
      <c r="T127" s="35">
        <v>0</v>
      </c>
      <c r="U127" s="35">
        <v>11151</v>
      </c>
      <c r="V127" s="35">
        <v>56</v>
      </c>
      <c r="W127" s="35">
        <v>485</v>
      </c>
      <c r="X127" s="35">
        <v>83</v>
      </c>
      <c r="Y127" s="35">
        <v>-568</v>
      </c>
      <c r="Z127" s="35">
        <v>0</v>
      </c>
      <c r="AA127" s="35"/>
      <c r="AB127" s="35"/>
      <c r="AC127" s="35">
        <v>0</v>
      </c>
      <c r="AD127" s="35">
        <v>0</v>
      </c>
      <c r="AE127" s="35">
        <v>0</v>
      </c>
      <c r="AF127" s="35">
        <v>0</v>
      </c>
      <c r="AG127" s="35">
        <v>0</v>
      </c>
      <c r="AH127" s="99"/>
      <c r="AI127" s="99"/>
      <c r="AJ127" s="62"/>
      <c r="AK127" s="62"/>
    </row>
    <row r="128" spans="1:37" s="39" customFormat="1" ht="18" outlineLevel="1" x14ac:dyDescent="0.25">
      <c r="A128" s="81"/>
      <c r="B128" s="7" t="s">
        <v>138</v>
      </c>
      <c r="C128" s="7" t="s">
        <v>329</v>
      </c>
      <c r="E128" s="35">
        <v>0</v>
      </c>
      <c r="F128" s="35">
        <v>419</v>
      </c>
      <c r="G128" s="35">
        <v>835</v>
      </c>
      <c r="H128" s="35">
        <v>2015</v>
      </c>
      <c r="I128" s="35">
        <v>302</v>
      </c>
      <c r="J128" s="35">
        <v>1382</v>
      </c>
      <c r="K128" s="35"/>
      <c r="L128" s="35"/>
      <c r="M128" s="60"/>
      <c r="N128" s="35"/>
      <c r="O128" s="35">
        <v>2</v>
      </c>
      <c r="P128" s="35">
        <v>-482</v>
      </c>
      <c r="Q128" s="35">
        <v>-114</v>
      </c>
      <c r="R128" s="35">
        <v>1429</v>
      </c>
      <c r="S128" s="35">
        <v>392</v>
      </c>
      <c r="T128" s="35">
        <v>-478</v>
      </c>
      <c r="U128" s="35">
        <v>-371</v>
      </c>
      <c r="V128" s="35">
        <v>2472</v>
      </c>
      <c r="W128" s="35">
        <v>1717</v>
      </c>
      <c r="X128" s="35">
        <v>-1755</v>
      </c>
      <c r="Y128" s="35">
        <v>2815</v>
      </c>
      <c r="Z128" s="35">
        <v>7951</v>
      </c>
      <c r="AA128" s="35">
        <v>1149.1896400000001</v>
      </c>
      <c r="AB128" s="35">
        <v>233.98574000000008</v>
      </c>
      <c r="AC128" s="35">
        <v>-33.175380000000132</v>
      </c>
      <c r="AD128" s="35">
        <v>32</v>
      </c>
      <c r="AE128" s="35">
        <v>97</v>
      </c>
      <c r="AF128" s="35">
        <v>668.68899999999849</v>
      </c>
      <c r="AG128" s="35">
        <v>250.14500000000407</v>
      </c>
      <c r="AH128" s="99"/>
      <c r="AI128" s="99"/>
      <c r="AJ128" s="62"/>
      <c r="AK128" s="62"/>
    </row>
    <row r="129" spans="1:37" s="39" customFormat="1" ht="18" customHeight="1" outlineLevel="1" x14ac:dyDescent="0.25">
      <c r="A129" s="81"/>
      <c r="B129" s="11" t="s">
        <v>377</v>
      </c>
      <c r="C129" s="64" t="s">
        <v>378</v>
      </c>
      <c r="D129" s="42"/>
      <c r="E129" s="43">
        <v>0</v>
      </c>
      <c r="F129" s="43">
        <v>0</v>
      </c>
      <c r="G129" s="43">
        <v>0</v>
      </c>
      <c r="H129" s="43">
        <v>0</v>
      </c>
      <c r="I129" s="43">
        <v>10426</v>
      </c>
      <c r="J129" s="43">
        <v>20147</v>
      </c>
      <c r="K129" s="43"/>
      <c r="L129" s="43"/>
      <c r="M129" s="60"/>
      <c r="N129" s="62"/>
      <c r="O129" s="43">
        <v>0</v>
      </c>
      <c r="P129" s="43">
        <v>0</v>
      </c>
      <c r="Q129" s="43">
        <v>0</v>
      </c>
      <c r="R129" s="43">
        <v>0</v>
      </c>
      <c r="S129" s="43">
        <v>0</v>
      </c>
      <c r="T129" s="43">
        <v>0</v>
      </c>
      <c r="U129" s="43">
        <v>0</v>
      </c>
      <c r="V129" s="43">
        <v>0</v>
      </c>
      <c r="W129" s="43">
        <v>0</v>
      </c>
      <c r="X129" s="43">
        <v>0</v>
      </c>
      <c r="Y129" s="43">
        <v>0</v>
      </c>
      <c r="Z129" s="43">
        <v>0</v>
      </c>
      <c r="AA129" s="43">
        <v>3786.8103599999999</v>
      </c>
      <c r="AB129" s="43">
        <v>4157.0142599999999</v>
      </c>
      <c r="AC129" s="43">
        <v>4882.3517599999996</v>
      </c>
      <c r="AD129" s="43">
        <v>7320.823620000001</v>
      </c>
      <c r="AE129" s="43">
        <v>4196</v>
      </c>
      <c r="AF129" s="43">
        <v>3598</v>
      </c>
      <c r="AG129" s="43">
        <v>3986</v>
      </c>
      <c r="AH129" s="45"/>
      <c r="AI129" s="45"/>
      <c r="AJ129" s="62"/>
      <c r="AK129" s="62"/>
    </row>
    <row r="130" spans="1:37" s="39" customFormat="1" ht="18" outlineLevel="1" x14ac:dyDescent="0.25">
      <c r="A130" s="81"/>
      <c r="B130" s="5" t="s">
        <v>111</v>
      </c>
      <c r="C130" s="5" t="s">
        <v>298</v>
      </c>
      <c r="D130" s="46"/>
      <c r="E130" s="37">
        <f t="shared" ref="E130:J130" si="92">SUM(E121:E129)</f>
        <v>2330</v>
      </c>
      <c r="F130" s="37">
        <f t="shared" si="92"/>
        <v>4288</v>
      </c>
      <c r="G130" s="37">
        <f t="shared" si="92"/>
        <v>10434</v>
      </c>
      <c r="H130" s="37">
        <f t="shared" si="92"/>
        <v>58410</v>
      </c>
      <c r="I130" s="37">
        <f t="shared" si="92"/>
        <v>127307</v>
      </c>
      <c r="J130" s="37">
        <f t="shared" si="92"/>
        <v>171743</v>
      </c>
      <c r="K130" s="36">
        <f>I130/H130-1</f>
        <v>1.1795411744564288</v>
      </c>
      <c r="L130" s="36">
        <f>J130/I130-1</f>
        <v>0.34904600689671428</v>
      </c>
      <c r="M130" s="60"/>
      <c r="O130" s="37">
        <f>SUM(O121:O129)</f>
        <v>1944</v>
      </c>
      <c r="P130" s="37">
        <f t="shared" ref="P130:AG130" si="93">SUM(P121:P129)</f>
        <v>1320</v>
      </c>
      <c r="Q130" s="37">
        <f t="shared" si="93"/>
        <v>2617</v>
      </c>
      <c r="R130" s="37">
        <f t="shared" si="93"/>
        <v>4553</v>
      </c>
      <c r="S130" s="37">
        <f t="shared" si="93"/>
        <v>4338</v>
      </c>
      <c r="T130" s="37">
        <f t="shared" si="93"/>
        <v>6901</v>
      </c>
      <c r="U130" s="37">
        <f t="shared" si="93"/>
        <v>23424</v>
      </c>
      <c r="V130" s="37">
        <f t="shared" si="93"/>
        <v>23747</v>
      </c>
      <c r="W130" s="37">
        <f t="shared" si="93"/>
        <v>24555</v>
      </c>
      <c r="X130" s="37">
        <f t="shared" si="93"/>
        <v>24748</v>
      </c>
      <c r="Y130" s="37">
        <f t="shared" si="93"/>
        <v>30648</v>
      </c>
      <c r="Z130" s="37">
        <f t="shared" si="93"/>
        <v>47356</v>
      </c>
      <c r="AA130" s="37">
        <f t="shared" si="93"/>
        <v>40039</v>
      </c>
      <c r="AB130" s="37">
        <f t="shared" si="93"/>
        <v>42476</v>
      </c>
      <c r="AC130" s="37">
        <f t="shared" si="93"/>
        <v>42004.176379999997</v>
      </c>
      <c r="AD130" s="37">
        <f t="shared" si="93"/>
        <v>47223.823620000003</v>
      </c>
      <c r="AE130" s="37">
        <f t="shared" si="93"/>
        <v>39606</v>
      </c>
      <c r="AF130" s="37">
        <f t="shared" si="93"/>
        <v>33503.688999999998</v>
      </c>
      <c r="AG130" s="37">
        <f t="shared" si="93"/>
        <v>51185.145000000004</v>
      </c>
      <c r="AH130" s="36">
        <f t="shared" ref="AH130" si="94">AG130/AC130-1</f>
        <v>0.21857275659787634</v>
      </c>
      <c r="AI130" s="36">
        <f t="shared" ref="AI130" si="95">AG130/AF130-1</f>
        <v>0.5277465415823317</v>
      </c>
    </row>
    <row r="131" spans="1:37" s="39" customFormat="1" ht="9.75" customHeight="1" outlineLevel="1" x14ac:dyDescent="0.25">
      <c r="A131" s="81"/>
      <c r="O131" s="95"/>
      <c r="P131" s="95"/>
      <c r="Q131" s="95"/>
      <c r="R131" s="95"/>
      <c r="S131" s="95"/>
      <c r="T131" s="95"/>
      <c r="U131" s="95"/>
      <c r="V131" s="95"/>
      <c r="W131" s="95"/>
      <c r="X131" s="95"/>
    </row>
    <row r="132" spans="1:37" s="39" customFormat="1" ht="18" outlineLevel="1" x14ac:dyDescent="0.25">
      <c r="A132" s="81"/>
      <c r="B132" s="50" t="s">
        <v>160</v>
      </c>
      <c r="O132" s="95"/>
      <c r="P132" s="95"/>
      <c r="Q132" s="95"/>
      <c r="R132" s="95"/>
      <c r="S132" s="95"/>
      <c r="T132" s="95"/>
      <c r="U132" s="95"/>
      <c r="V132" s="95"/>
      <c r="W132" s="95"/>
      <c r="X132" s="95"/>
      <c r="Y132" s="95"/>
      <c r="Z132" s="95"/>
      <c r="AA132" s="95"/>
      <c r="AB132" s="95"/>
      <c r="AC132" s="95"/>
      <c r="AD132" s="95"/>
      <c r="AE132" s="95"/>
      <c r="AF132" s="95"/>
      <c r="AG132" s="95"/>
    </row>
    <row r="133" spans="1:37" s="39" customFormat="1" ht="18" outlineLevel="1" x14ac:dyDescent="0.25">
      <c r="A133" s="81"/>
      <c r="B133" s="50" t="s">
        <v>299</v>
      </c>
      <c r="U133" s="95"/>
      <c r="V133" s="95"/>
      <c r="W133" s="95"/>
      <c r="X133" s="95"/>
      <c r="Y133" s="95"/>
      <c r="Z133" s="95"/>
      <c r="AA133" s="95"/>
      <c r="AB133" s="95"/>
      <c r="AC133" s="95"/>
      <c r="AD133" s="95"/>
      <c r="AE133" s="95"/>
      <c r="AF133" s="95"/>
      <c r="AG133" s="95"/>
    </row>
    <row r="134" spans="1:37" x14ac:dyDescent="0.25">
      <c r="A134" s="63" t="s">
        <v>148</v>
      </c>
      <c r="U134" s="97"/>
      <c r="V134" s="97"/>
      <c r="W134" s="97"/>
      <c r="X134" s="97"/>
      <c r="Y134" s="97"/>
      <c r="Z134" s="97"/>
      <c r="AA134" s="97"/>
      <c r="AB134" s="97"/>
      <c r="AC134" s="97"/>
      <c r="AD134" s="97"/>
      <c r="AE134" s="97"/>
      <c r="AF134" s="97"/>
      <c r="AG134" s="97"/>
    </row>
    <row r="135" spans="1:37" ht="18" x14ac:dyDescent="0.25">
      <c r="A135" s="38"/>
      <c r="U135" s="97"/>
      <c r="V135" s="97"/>
      <c r="W135" s="97"/>
      <c r="X135" s="97"/>
      <c r="Y135" s="97"/>
      <c r="Z135" s="97"/>
      <c r="AA135" s="97"/>
      <c r="AB135" s="97"/>
      <c r="AC135" s="97"/>
      <c r="AD135" s="97"/>
      <c r="AE135" s="97"/>
      <c r="AF135" s="97"/>
      <c r="AG135" s="97"/>
    </row>
    <row r="136" spans="1:37" ht="18" x14ac:dyDescent="0.25">
      <c r="A136" s="38"/>
      <c r="Y136" t="s">
        <v>85</v>
      </c>
      <c r="AI136" t="s">
        <v>85</v>
      </c>
    </row>
    <row r="137" spans="1:37" ht="18" x14ac:dyDescent="0.25">
      <c r="A137" s="38"/>
    </row>
    <row r="138" spans="1:37" ht="18" x14ac:dyDescent="0.25">
      <c r="A138" s="38"/>
    </row>
  </sheetData>
  <pageMargins left="0.7" right="0.7" top="0.75" bottom="0.75" header="0.3" footer="0.3"/>
  <pageSetup paperSize="9" orientation="portrait" r:id="rId1"/>
  <ignoredErrors>
    <ignoredError sqref="H76:H79 H64:H72 H83:H85 I24:J24 G19:G21 H52:H54 I19:J21 H37:J37 H42:H50 H74:H75 H56:H62 O107:AE107 H40:J40 J30:J34 I31:I34 H19:H34" formulaRange="1"/>
    <ignoredError sqref="H38" formula="1"/>
    <ignoredError sqref="I38:J38" formula="1" formulaRange="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2504c0e6-f008-4d44-9eb4-af0fd9b81d62">
      <Terms xmlns="http://schemas.microsoft.com/office/infopath/2007/PartnerControls"/>
    </lcf76f155ced4ddcb4097134ff3c332f>
    <TaxCatchAll xmlns="3d1dbeaf-a16b-42bf-a133-7db7f4863986"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FEBF19CDB1F84046ABE0E817948D7133" ma:contentTypeVersion="18" ma:contentTypeDescription="Crie um novo documento." ma:contentTypeScope="" ma:versionID="3918ffec130994d85d6a5969e083efb3">
  <xsd:schema xmlns:xsd="http://www.w3.org/2001/XMLSchema" xmlns:xs="http://www.w3.org/2001/XMLSchema" xmlns:p="http://schemas.microsoft.com/office/2006/metadata/properties" xmlns:ns2="2504c0e6-f008-4d44-9eb4-af0fd9b81d62" xmlns:ns3="1527e372-19af-48ec-bae7-7cb9ff820328" xmlns:ns4="3d1dbeaf-a16b-42bf-a133-7db7f4863986" targetNamespace="http://schemas.microsoft.com/office/2006/metadata/properties" ma:root="true" ma:fieldsID="6ba65e6493c59cec1a131afc2895c1ae" ns2:_="" ns3:_="" ns4:_="">
    <xsd:import namespace="2504c0e6-f008-4d44-9eb4-af0fd9b81d62"/>
    <xsd:import namespace="1527e372-19af-48ec-bae7-7cb9ff820328"/>
    <xsd:import namespace="3d1dbeaf-a16b-42bf-a133-7db7f4863986"/>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LengthInSeconds" minOccurs="0"/>
                <xsd:element ref="ns2:MediaServiceDateTaken" minOccurs="0"/>
                <xsd:element ref="ns2:MediaServiceAutoKeyPoints" minOccurs="0"/>
                <xsd:element ref="ns2:MediaServiceKeyPoints" minOccurs="0"/>
                <xsd:element ref="ns2:MediaServiceLocation" minOccurs="0"/>
                <xsd:element ref="ns2:lcf76f155ced4ddcb4097134ff3c332f" minOccurs="0"/>
                <xsd:element ref="ns4: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504c0e6-f008-4d44-9eb4-af0fd9b81d6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DateTaken" ma:index="17" nillable="true" ma:displayName="MediaServiceDateTaken" ma:hidden="true" ma:internalName="MediaServiceDateTake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Marcações de imagem" ma:readOnly="false" ma:fieldId="{5cf76f15-5ced-4ddc-b409-7134ff3c332f}" ma:taxonomyMulti="true" ma:sspId="112923e3-8128-43d8-835b-173141a7eab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527e372-19af-48ec-bae7-7cb9ff820328" elementFormDefault="qualified">
    <xsd:import namespace="http://schemas.microsoft.com/office/2006/documentManagement/types"/>
    <xsd:import namespace="http://schemas.microsoft.com/office/infopath/2007/PartnerControls"/>
    <xsd:element name="SharedWithUsers" ma:index="14"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Detalhes de Compartilhado Com"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d1dbeaf-a16b-42bf-a133-7db7f4863986"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b6812d27-0aea-4758-a21a-bb1f728c077c}" ma:internalName="TaxCatchAll" ma:showField="CatchAllData" ma:web="3d1dbeaf-a16b-42bf-a133-7db7f486398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F2BE38E-E487-47A4-9616-57CD9B95780B}">
  <ds:schemaRefs>
    <ds:schemaRef ds:uri="http://schemas.microsoft.com/sharepoint/v3/contenttype/forms"/>
  </ds:schemaRefs>
</ds:datastoreItem>
</file>

<file path=customXml/itemProps2.xml><?xml version="1.0" encoding="utf-8"?>
<ds:datastoreItem xmlns:ds="http://schemas.openxmlformats.org/officeDocument/2006/customXml" ds:itemID="{E8DBFA34-B1E1-41DE-9691-DD99F3DFCDE3}">
  <ds:schemaRefs>
    <ds:schemaRef ds:uri="http://schemas.microsoft.com/office/2006/metadata/properties"/>
    <ds:schemaRef ds:uri="http://purl.org/dc/dcmitype/"/>
    <ds:schemaRef ds:uri="http://purl.org/dc/elements/1.1/"/>
    <ds:schemaRef ds:uri="http://schemas.microsoft.com/office/2006/documentManagement/types"/>
    <ds:schemaRef ds:uri="3d1dbeaf-a16b-42bf-a133-7db7f4863986"/>
    <ds:schemaRef ds:uri="1527e372-19af-48ec-bae7-7cb9ff820328"/>
    <ds:schemaRef ds:uri="http://schemas.microsoft.com/office/infopath/2007/PartnerControls"/>
    <ds:schemaRef ds:uri="http://schemas.openxmlformats.org/package/2006/metadata/core-properties"/>
    <ds:schemaRef ds:uri="2504c0e6-f008-4d44-9eb4-af0fd9b81d62"/>
    <ds:schemaRef ds:uri="http://www.w3.org/XML/1998/namespace"/>
    <ds:schemaRef ds:uri="http://purl.org/dc/terms/"/>
  </ds:schemaRefs>
</ds:datastoreItem>
</file>

<file path=customXml/itemProps3.xml><?xml version="1.0" encoding="utf-8"?>
<ds:datastoreItem xmlns:ds="http://schemas.openxmlformats.org/officeDocument/2006/customXml" ds:itemID="{EB135902-F23E-49EC-9F22-4D5BC80C35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504c0e6-f008-4d44-9eb4-af0fd9b81d62"/>
    <ds:schemaRef ds:uri="1527e372-19af-48ec-bae7-7cb9ff820328"/>
    <ds:schemaRef ds:uri="3d1dbeaf-a16b-42bf-a133-7db7f486398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5</vt:i4>
      </vt:variant>
    </vt:vector>
  </HeadingPairs>
  <TitlesOfParts>
    <vt:vector size="5" baseType="lpstr">
      <vt:lpstr>Armac 3T-3Q 2024</vt:lpstr>
      <vt:lpstr>DRE - Income Statement</vt:lpstr>
      <vt:lpstr>BP - Balance Sheet</vt:lpstr>
      <vt:lpstr>DFC - Cash Flow Statement</vt:lpstr>
      <vt:lpstr>KPIs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Guilherme Fregulia</dc:creator>
  <cp:lastModifiedBy>Julio Molina de Moraes</cp:lastModifiedBy>
  <cp:lastPrinted>2023-11-07T18:45:51Z</cp:lastPrinted>
  <dcterms:created xsi:type="dcterms:W3CDTF">2021-08-16T17:53:49Z</dcterms:created>
  <dcterms:modified xsi:type="dcterms:W3CDTF">2024-11-08T03:01:45Z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0x010100FEBF19CDB1F84046ABE0E817948D7133</vt:lpwstr>
  </property>
  <property fmtid="{D5CDD505-2E9C-101B-9397-08002B2CF9AE}" pid="3" name="Order">
    <vt:r8>8500</vt:r8>
  </property>
  <property fmtid="{D5CDD505-2E9C-101B-9397-08002B2CF9AE}" pid="4" name="MediaServiceImageTags">
    <vt:lpwstr/>
  </property>
</Properties>
</file>