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defaultThemeVersion="166925"/>
  <mc:AlternateContent xmlns:mc="http://schemas.openxmlformats.org/markup-compatibility/2006">
    <mc:Choice Requires="x15">
      <x15ac:absPath xmlns:x15ac="http://schemas.microsoft.com/office/spreadsheetml/2010/11/ac" url="https://armac.sharepoint.com/sites/armaclocacao/finan/Documentos Compartilhados/08. Demonstrações Financeiras/3. Suporte aos Relatórios/2025.12/"/>
    </mc:Choice>
  </mc:AlternateContent>
  <xr:revisionPtr revIDLastSave="47" documentId="8_{93AE7249-4760-40BD-9389-518F08515DF9}" xr6:coauthVersionLast="47" xr6:coauthVersionMax="47" xr10:uidLastSave="{C3B843FE-193C-43DA-B7D9-E720DE4FCC7C}"/>
  <bookViews>
    <workbookView xWindow="-110" yWindow="-110" windowWidth="19420" windowHeight="10300" tabRatio="885" xr2:uid="{34E0900B-2D8A-4106-9989-9E9B61E3572E}"/>
  </bookViews>
  <sheets>
    <sheet name="Armac 4T-4Q 2025" sheetId="7" r:id="rId1"/>
    <sheet name="DRE - Income Statement" sheetId="3" r:id="rId2"/>
    <sheet name="BP - Balance Sheet" sheetId="4" r:id="rId3"/>
    <sheet name="DFC - Cash Flow Statement" sheetId="5" r:id="rId4"/>
    <sheet name="KPIs" sheetId="9" r:id="rId5"/>
  </sheets>
  <definedNames>
    <definedName name="_xlnm._FilterDatabase" localSheetId="4" hidden="1">KPIs!$N$9:$N$156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6" i="9" l="1"/>
  <c r="AN47" i="9"/>
  <c r="AN48" i="9"/>
  <c r="AN16" i="9" l="1"/>
  <c r="L36" i="9"/>
  <c r="AM40" i="9"/>
  <c r="AM30" i="9"/>
  <c r="L37" i="9"/>
  <c r="AL40" i="9"/>
  <c r="AK40" i="9"/>
  <c r="L39" i="9"/>
  <c r="L38" i="9"/>
  <c r="L11" i="9"/>
  <c r="L10" i="9"/>
  <c r="L9" i="9"/>
  <c r="AL80" i="5"/>
  <c r="AN40" i="9" l="1"/>
  <c r="L40" i="9"/>
  <c r="AL66" i="5"/>
  <c r="AL57" i="5"/>
  <c r="AP17" i="9"/>
  <c r="AO17" i="9"/>
  <c r="AL82" i="5" l="1"/>
  <c r="K170" i="9"/>
  <c r="L155" i="9"/>
  <c r="L154" i="9"/>
  <c r="L143" i="9"/>
  <c r="L89" i="9"/>
  <c r="L88" i="9"/>
  <c r="L87" i="9"/>
  <c r="L86" i="9"/>
  <c r="L85" i="9"/>
  <c r="N22" i="9"/>
  <c r="M22" i="9"/>
  <c r="N21" i="9"/>
  <c r="M21" i="9"/>
  <c r="N17" i="9"/>
  <c r="M17" i="9"/>
  <c r="M11" i="9"/>
  <c r="M10" i="9"/>
  <c r="L182" i="9"/>
  <c r="L180" i="9"/>
  <c r="L62" i="9" l="1"/>
  <c r="K62" i="9"/>
  <c r="J62" i="9"/>
  <c r="K61" i="9"/>
  <c r="J61" i="9"/>
  <c r="K60" i="9"/>
  <c r="J60" i="9"/>
  <c r="L31" i="9"/>
  <c r="N10" i="9"/>
  <c r="N11" i="9" l="1"/>
  <c r="N9" i="9"/>
  <c r="AP11" i="9"/>
  <c r="AP10" i="9"/>
  <c r="AO10" i="9"/>
  <c r="AP9" i="9"/>
  <c r="AO9" i="9"/>
  <c r="J25" i="4" l="1"/>
  <c r="I25" i="4"/>
  <c r="H25" i="4"/>
  <c r="G25" i="4"/>
  <c r="F25" i="4"/>
  <c r="E25" i="4"/>
  <c r="K31" i="4" l="1"/>
  <c r="AH18" i="9"/>
  <c r="AK80" i="5" l="1"/>
  <c r="AI80" i="5"/>
  <c r="AH84" i="5"/>
  <c r="AL48" i="9"/>
  <c r="AL80" i="9"/>
  <c r="AK80" i="9"/>
  <c r="AM80" i="9"/>
  <c r="AL79" i="9"/>
  <c r="AK79" i="9"/>
  <c r="AM79" i="9"/>
  <c r="AL76" i="9"/>
  <c r="AM76" i="9"/>
  <c r="AL78" i="9"/>
  <c r="AK78" i="9"/>
  <c r="AJ78" i="9"/>
  <c r="AI78" i="9"/>
  <c r="AH78" i="9"/>
  <c r="AG78" i="9"/>
  <c r="AM78" i="9"/>
  <c r="AJ80" i="5"/>
  <c r="AJ66" i="5"/>
  <c r="J61" i="4"/>
  <c r="I61" i="4"/>
  <c r="H61" i="4"/>
  <c r="G61" i="4"/>
  <c r="F61" i="4"/>
  <c r="E61" i="4"/>
  <c r="AL61" i="4"/>
  <c r="AK61" i="4"/>
  <c r="AJ61" i="4"/>
  <c r="AI61" i="4"/>
  <c r="AH61" i="4"/>
  <c r="AG61" i="4"/>
  <c r="AF61" i="4"/>
  <c r="AE61" i="4"/>
  <c r="AD61" i="4"/>
  <c r="AC61" i="4"/>
  <c r="AB61" i="4"/>
  <c r="AA61" i="4"/>
  <c r="Z61" i="4"/>
  <c r="Y61" i="4"/>
  <c r="W61" i="4"/>
  <c r="V61" i="4"/>
  <c r="U61" i="4"/>
  <c r="T61" i="4"/>
  <c r="S61" i="4"/>
  <c r="R61" i="4"/>
  <c r="Q61" i="4"/>
  <c r="AM61" i="4"/>
  <c r="J51" i="4"/>
  <c r="I51" i="4"/>
  <c r="H51" i="4"/>
  <c r="G51" i="4"/>
  <c r="F51" i="4"/>
  <c r="E51" i="4"/>
  <c r="AL51" i="4"/>
  <c r="AK51" i="4"/>
  <c r="AJ51" i="4"/>
  <c r="AI51" i="4"/>
  <c r="AH51" i="4"/>
  <c r="AG51" i="4"/>
  <c r="AF51" i="4"/>
  <c r="AE51" i="4"/>
  <c r="AD51" i="4"/>
  <c r="AC51" i="4"/>
  <c r="AB51" i="4"/>
  <c r="AA51" i="4"/>
  <c r="Z51" i="4"/>
  <c r="Y51" i="4"/>
  <c r="W51" i="4"/>
  <c r="V51" i="4"/>
  <c r="U51" i="4"/>
  <c r="T51" i="4"/>
  <c r="S51" i="4"/>
  <c r="R51" i="4"/>
  <c r="Q51" i="4"/>
  <c r="AM51" i="4"/>
  <c r="J41" i="4"/>
  <c r="I41" i="4"/>
  <c r="H41" i="4"/>
  <c r="G41" i="4"/>
  <c r="F41" i="4"/>
  <c r="E41" i="4"/>
  <c r="AL41" i="4"/>
  <c r="AK41" i="4"/>
  <c r="AJ41" i="4"/>
  <c r="AI41" i="4"/>
  <c r="AH41" i="4"/>
  <c r="AG41" i="4"/>
  <c r="AF41" i="4"/>
  <c r="AE41" i="4"/>
  <c r="AD41" i="4"/>
  <c r="AC41" i="4"/>
  <c r="AB41" i="4"/>
  <c r="AA41" i="4"/>
  <c r="Z41" i="4"/>
  <c r="Y41" i="4"/>
  <c r="W41" i="4"/>
  <c r="V41" i="4"/>
  <c r="U41" i="4"/>
  <c r="T41" i="4"/>
  <c r="S41" i="4"/>
  <c r="R41" i="4"/>
  <c r="Q41" i="4"/>
  <c r="AM41" i="4"/>
  <c r="J12" i="4"/>
  <c r="J14" i="4" s="1"/>
  <c r="I12" i="4"/>
  <c r="I14" i="4" s="1"/>
  <c r="H12" i="4"/>
  <c r="H14" i="4" s="1"/>
  <c r="G12" i="4"/>
  <c r="G14" i="4" s="1"/>
  <c r="F12" i="4"/>
  <c r="F14" i="4" s="1"/>
  <c r="E12" i="4"/>
  <c r="E14" i="4" s="1"/>
  <c r="AL12" i="4"/>
  <c r="AL14" i="4" s="1"/>
  <c r="AK12" i="4"/>
  <c r="AK14" i="4" s="1"/>
  <c r="AJ12" i="4"/>
  <c r="AI12" i="4"/>
  <c r="AI14" i="4" s="1"/>
  <c r="AH12" i="4"/>
  <c r="AH14" i="4" s="1"/>
  <c r="AG12" i="4"/>
  <c r="AG14" i="4" s="1"/>
  <c r="AF12" i="4"/>
  <c r="AF14" i="4" s="1"/>
  <c r="AE12" i="4"/>
  <c r="AE14" i="4" s="1"/>
  <c r="AM12" i="4"/>
  <c r="AM119" i="9"/>
  <c r="AM120" i="9" s="1"/>
  <c r="AL177" i="9"/>
  <c r="AK177" i="9"/>
  <c r="AJ177" i="9"/>
  <c r="AI177" i="9"/>
  <c r="AH177" i="9"/>
  <c r="AG177" i="9"/>
  <c r="AM177" i="9"/>
  <c r="AM176" i="9"/>
  <c r="AM165" i="9"/>
  <c r="AM156" i="9"/>
  <c r="AM145" i="9"/>
  <c r="AM98" i="9"/>
  <c r="AM96" i="9"/>
  <c r="AM95" i="9"/>
  <c r="AM48" i="9"/>
  <c r="AM47" i="9"/>
  <c r="AM46" i="9"/>
  <c r="AM56" i="9"/>
  <c r="AM32" i="9"/>
  <c r="AM168" i="9" l="1"/>
  <c r="AM171" i="9" s="1"/>
  <c r="AM33" i="9"/>
  <c r="AM14" i="4"/>
  <c r="AJ14" i="4"/>
  <c r="AM178" i="9"/>
  <c r="AM166" i="9"/>
  <c r="AM97" i="9"/>
  <c r="AM55" i="9" l="1"/>
  <c r="AM169" i="9"/>
  <c r="AM99" i="9"/>
  <c r="AM172" i="9"/>
  <c r="AM181" i="9"/>
  <c r="AM179" i="9"/>
  <c r="AM57" i="9" l="1"/>
  <c r="AM183" i="9"/>
  <c r="AM58" i="9"/>
  <c r="AM123" i="9"/>
  <c r="AM16" i="9"/>
  <c r="AK66" i="5"/>
  <c r="AM63" i="9" l="1"/>
  <c r="AM68" i="9"/>
  <c r="AM18" i="9"/>
  <c r="AM184" i="9"/>
  <c r="AM122" i="9"/>
  <c r="AM69" i="9" l="1"/>
  <c r="AM124" i="9"/>
  <c r="AL25" i="4" l="1"/>
  <c r="AL27" i="4" s="1"/>
  <c r="AK25" i="4"/>
  <c r="AK27" i="4" s="1"/>
  <c r="AJ25" i="4"/>
  <c r="AI25" i="4"/>
  <c r="AI27" i="4" s="1"/>
  <c r="AH25" i="4"/>
  <c r="AH27" i="4" s="1"/>
  <c r="AG25" i="4"/>
  <c r="AG27" i="4" s="1"/>
  <c r="AF25" i="4"/>
  <c r="AF27" i="4" s="1"/>
  <c r="AE25" i="4"/>
  <c r="AE27" i="4" s="1"/>
  <c r="AD25" i="4"/>
  <c r="AC25" i="4"/>
  <c r="AB25" i="4"/>
  <c r="AA25" i="4"/>
  <c r="Z25" i="4"/>
  <c r="Y25" i="4"/>
  <c r="W25" i="4"/>
  <c r="V25" i="4"/>
  <c r="U25" i="4"/>
  <c r="T25" i="4"/>
  <c r="S25" i="4"/>
  <c r="R25" i="4"/>
  <c r="Q25" i="4"/>
  <c r="AM25" i="4"/>
  <c r="AM6" i="3"/>
  <c r="AM27" i="4" l="1"/>
  <c r="AJ27" i="4"/>
  <c r="AM37" i="3"/>
  <c r="AM45" i="9" s="1"/>
  <c r="AM17" i="3"/>
  <c r="AL10" i="3"/>
  <c r="AL6" i="3"/>
  <c r="K182" i="9" l="1"/>
  <c r="K180" i="9"/>
  <c r="N180" i="9" s="1"/>
  <c r="J177" i="9"/>
  <c r="I177" i="9"/>
  <c r="H177" i="9"/>
  <c r="G177" i="9"/>
  <c r="F177" i="9"/>
  <c r="E177" i="9"/>
  <c r="I176" i="9"/>
  <c r="H176" i="9"/>
  <c r="G176" i="9"/>
  <c r="F176" i="9"/>
  <c r="E176" i="9"/>
  <c r="K167" i="9"/>
  <c r="K164" i="9"/>
  <c r="K163" i="9"/>
  <c r="J167" i="9"/>
  <c r="J164" i="9"/>
  <c r="J163" i="9"/>
  <c r="M164" i="9" l="1"/>
  <c r="M163" i="9"/>
  <c r="M167" i="9"/>
  <c r="E178" i="9"/>
  <c r="E179" i="9" s="1"/>
  <c r="G178" i="9"/>
  <c r="G181" i="9" s="1"/>
  <c r="G183" i="9" s="1"/>
  <c r="F178" i="9"/>
  <c r="F181" i="9" s="1"/>
  <c r="F183" i="9" s="1"/>
  <c r="H178" i="9"/>
  <c r="H179" i="9" s="1"/>
  <c r="I178" i="9"/>
  <c r="I181" i="9" s="1"/>
  <c r="I183" i="9" s="1"/>
  <c r="E181" i="9"/>
  <c r="E183" i="9" s="1"/>
  <c r="E68" i="9"/>
  <c r="F68" i="9"/>
  <c r="AL176" i="9"/>
  <c r="AK176" i="9"/>
  <c r="AK178" i="9" s="1"/>
  <c r="AJ176" i="9"/>
  <c r="AI176" i="9"/>
  <c r="AH176" i="9"/>
  <c r="AH178" i="9" s="1"/>
  <c r="AG176" i="9"/>
  <c r="AF176" i="9"/>
  <c r="AE176" i="9"/>
  <c r="AD176" i="9"/>
  <c r="AC176" i="9"/>
  <c r="AB176" i="9"/>
  <c r="AA176" i="9"/>
  <c r="Z176" i="9"/>
  <c r="Y176" i="9"/>
  <c r="X176" i="9"/>
  <c r="W176" i="9"/>
  <c r="V176" i="9"/>
  <c r="U176" i="9"/>
  <c r="T176" i="9"/>
  <c r="S176" i="9"/>
  <c r="R176" i="9"/>
  <c r="Q176" i="9"/>
  <c r="AB58" i="9"/>
  <c r="AA58" i="9"/>
  <c r="Z58" i="9"/>
  <c r="Y58" i="9"/>
  <c r="X58" i="9"/>
  <c r="W58" i="9"/>
  <c r="V58" i="9"/>
  <c r="U58" i="9"/>
  <c r="T58" i="9"/>
  <c r="S58" i="9"/>
  <c r="R58" i="9"/>
  <c r="Q58" i="9"/>
  <c r="T15" i="9"/>
  <c r="S15" i="9"/>
  <c r="R15" i="9"/>
  <c r="Q15" i="9"/>
  <c r="S128" i="9"/>
  <c r="R128" i="9"/>
  <c r="Q128" i="9"/>
  <c r="AB177" i="9"/>
  <c r="AA177" i="9"/>
  <c r="Z177" i="9"/>
  <c r="Y177" i="9"/>
  <c r="X177" i="9"/>
  <c r="W177" i="9"/>
  <c r="V177" i="9"/>
  <c r="U177" i="9"/>
  <c r="T177" i="9"/>
  <c r="S177" i="9"/>
  <c r="R177" i="9"/>
  <c r="Q177" i="9"/>
  <c r="AB57" i="9"/>
  <c r="AA57" i="9"/>
  <c r="Z57" i="9"/>
  <c r="Y57" i="9"/>
  <c r="X57" i="9"/>
  <c r="W57" i="9"/>
  <c r="V57" i="9"/>
  <c r="U57" i="9"/>
  <c r="T57" i="9"/>
  <c r="S57" i="9"/>
  <c r="R57" i="9"/>
  <c r="Q57" i="9"/>
  <c r="S16" i="9" l="1"/>
  <c r="R16" i="9"/>
  <c r="T16" i="9"/>
  <c r="Q16" i="9"/>
  <c r="W68" i="9"/>
  <c r="Z68" i="9"/>
  <c r="G179" i="9"/>
  <c r="AA68" i="9"/>
  <c r="AB68" i="9"/>
  <c r="S68" i="9"/>
  <c r="X68" i="9"/>
  <c r="R68" i="9"/>
  <c r="T68" i="9"/>
  <c r="V68" i="9"/>
  <c r="AJ178" i="9"/>
  <c r="AI178" i="9"/>
  <c r="AL178" i="9"/>
  <c r="F179" i="9"/>
  <c r="H181" i="9"/>
  <c r="H183" i="9" s="1"/>
  <c r="I179" i="9"/>
  <c r="AA178" i="9"/>
  <c r="AA179" i="9" s="1"/>
  <c r="AB178" i="9"/>
  <c r="AB181" i="9" s="1"/>
  <c r="AB183" i="9" s="1"/>
  <c r="S178" i="9"/>
  <c r="S179" i="9" s="1"/>
  <c r="T178" i="9"/>
  <c r="T181" i="9" s="1"/>
  <c r="T183" i="9" s="1"/>
  <c r="V178" i="9"/>
  <c r="V181" i="9" s="1"/>
  <c r="V183" i="9" s="1"/>
  <c r="V184" i="9" s="1"/>
  <c r="U68" i="9"/>
  <c r="H57" i="9"/>
  <c r="Q68" i="9"/>
  <c r="G57" i="9"/>
  <c r="Y68" i="9"/>
  <c r="I57" i="9"/>
  <c r="R178" i="9"/>
  <c r="R181" i="9" s="1"/>
  <c r="R183" i="9" s="1"/>
  <c r="Z178" i="9"/>
  <c r="Z181" i="9" s="1"/>
  <c r="Z183" i="9" s="1"/>
  <c r="Z184" i="9" s="1"/>
  <c r="Y178" i="9"/>
  <c r="Y179" i="9" s="1"/>
  <c r="Q178" i="9"/>
  <c r="Q179" i="9" s="1"/>
  <c r="W178" i="9"/>
  <c r="W181" i="9" s="1"/>
  <c r="W183" i="9" s="1"/>
  <c r="W60" i="9" s="1"/>
  <c r="X178" i="9"/>
  <c r="X179" i="9" s="1"/>
  <c r="U178" i="9"/>
  <c r="U181" i="9" s="1"/>
  <c r="U183" i="9" s="1"/>
  <c r="G68" i="9" l="1"/>
  <c r="W63" i="9"/>
  <c r="S181" i="9"/>
  <c r="S183" i="9" s="1"/>
  <c r="S184" i="9" s="1"/>
  <c r="AA181" i="9"/>
  <c r="AA183" i="9" s="1"/>
  <c r="AA184" i="9" s="1"/>
  <c r="AB179" i="9"/>
  <c r="T179" i="9"/>
  <c r="V179" i="9"/>
  <c r="Y181" i="9"/>
  <c r="Y183" i="9" s="1"/>
  <c r="Y60" i="9" s="1"/>
  <c r="Q181" i="9"/>
  <c r="Q183" i="9" s="1"/>
  <c r="Q60" i="9" s="1"/>
  <c r="V60" i="9"/>
  <c r="Z60" i="9"/>
  <c r="Z179" i="9"/>
  <c r="X181" i="9"/>
  <c r="X183" i="9" s="1"/>
  <c r="X184" i="9" s="1"/>
  <c r="W184" i="9"/>
  <c r="R179" i="9"/>
  <c r="W179" i="9"/>
  <c r="U179" i="9"/>
  <c r="U184" i="9"/>
  <c r="U60" i="9"/>
  <c r="T184" i="9"/>
  <c r="T60" i="9"/>
  <c r="AB184" i="9"/>
  <c r="AB60" i="9"/>
  <c r="R184" i="9"/>
  <c r="R60" i="9"/>
  <c r="R63" i="9" l="1"/>
  <c r="V63" i="9"/>
  <c r="T63" i="9"/>
  <c r="Q63" i="9"/>
  <c r="Y63" i="9"/>
  <c r="U63" i="9"/>
  <c r="AB63" i="9"/>
  <c r="Z63" i="9"/>
  <c r="AA60" i="9"/>
  <c r="S60" i="9"/>
  <c r="Y184" i="9"/>
  <c r="Q184" i="9"/>
  <c r="X60" i="9"/>
  <c r="AE78" i="9"/>
  <c r="AD78" i="9"/>
  <c r="AC78" i="9"/>
  <c r="AB78" i="9"/>
  <c r="AA78" i="9"/>
  <c r="Z78" i="9"/>
  <c r="Y78" i="9"/>
  <c r="X78" i="9"/>
  <c r="W78" i="9"/>
  <c r="V78" i="9"/>
  <c r="U78" i="9"/>
  <c r="T78" i="9"/>
  <c r="S78" i="9"/>
  <c r="R78" i="9"/>
  <c r="Q78" i="9"/>
  <c r="AF78" i="9"/>
  <c r="Z91" i="9"/>
  <c r="AE177" i="9"/>
  <c r="AD177" i="9"/>
  <c r="AC177" i="9"/>
  <c r="AF177" i="9"/>
  <c r="AF56" i="9"/>
  <c r="AE56" i="9"/>
  <c r="AD56" i="9"/>
  <c r="AC56" i="9"/>
  <c r="J56" i="9" l="1"/>
  <c r="X63" i="9"/>
  <c r="S63" i="9"/>
  <c r="AA63" i="9"/>
  <c r="AF178" i="9"/>
  <c r="AF181" i="9" s="1"/>
  <c r="AF183" i="9" s="1"/>
  <c r="AF184" i="9" s="1"/>
  <c r="AC178" i="9"/>
  <c r="AC181" i="9" s="1"/>
  <c r="AC183" i="9" s="1"/>
  <c r="AC184" i="9" s="1"/>
  <c r="AD178" i="9"/>
  <c r="AD181" i="9" s="1"/>
  <c r="AD183" i="9" s="1"/>
  <c r="AD184" i="9" s="1"/>
  <c r="AE178" i="9"/>
  <c r="AE181" i="9" s="1"/>
  <c r="AE183" i="9" s="1"/>
  <c r="AE184" i="9" s="1"/>
  <c r="AG165" i="9"/>
  <c r="AF165" i="9"/>
  <c r="AF168" i="9" s="1"/>
  <c r="AF55" i="9" s="1"/>
  <c r="AE165" i="9"/>
  <c r="AE166" i="9" s="1"/>
  <c r="AD165" i="9"/>
  <c r="AD168" i="9" s="1"/>
  <c r="AD55" i="9" s="1"/>
  <c r="AC165" i="9"/>
  <c r="AL56" i="9"/>
  <c r="AK56" i="9"/>
  <c r="AJ56" i="9"/>
  <c r="AI56" i="9"/>
  <c r="AH56" i="9"/>
  <c r="AG56" i="9"/>
  <c r="AL66" i="9"/>
  <c r="K56" i="9" l="1"/>
  <c r="AF57" i="9"/>
  <c r="AD57" i="9"/>
  <c r="AC166" i="9"/>
  <c r="J165" i="9"/>
  <c r="J166" i="9" s="1"/>
  <c r="AC179" i="9"/>
  <c r="AF179" i="9"/>
  <c r="AD179" i="9"/>
  <c r="AE179" i="9"/>
  <c r="AF68" i="9"/>
  <c r="AF171" i="9"/>
  <c r="AF172" i="9" s="1"/>
  <c r="AF58" i="9" s="1"/>
  <c r="AF166" i="9"/>
  <c r="AD171" i="9"/>
  <c r="AD172" i="9" s="1"/>
  <c r="AD58" i="9" s="1"/>
  <c r="AC168" i="9"/>
  <c r="AE168" i="9"/>
  <c r="AE55" i="9" s="1"/>
  <c r="AD166" i="9"/>
  <c r="AF169" i="9"/>
  <c r="AD169" i="9"/>
  <c r="AF63" i="9" l="1"/>
  <c r="AE57" i="9"/>
  <c r="AD68" i="9"/>
  <c r="AD63" i="9"/>
  <c r="AC55" i="9"/>
  <c r="J168" i="9"/>
  <c r="J169" i="9" s="1"/>
  <c r="AE63" i="9"/>
  <c r="AE171" i="9"/>
  <c r="AE172" i="9" s="1"/>
  <c r="AE58" i="9" s="1"/>
  <c r="AC171" i="9"/>
  <c r="AE169" i="9"/>
  <c r="AC169" i="9"/>
  <c r="AE68" i="9" l="1"/>
  <c r="AC57" i="9"/>
  <c r="AC63" i="9" s="1"/>
  <c r="J55" i="9"/>
  <c r="AC172" i="9"/>
  <c r="AC58" i="9" s="1"/>
  <c r="J171" i="9"/>
  <c r="J172" i="9" s="1"/>
  <c r="AL181" i="9"/>
  <c r="AL179" i="9"/>
  <c r="AL165" i="9"/>
  <c r="AK165" i="9"/>
  <c r="AJ165" i="9"/>
  <c r="AI165" i="9"/>
  <c r="AH165" i="9"/>
  <c r="AG166" i="9"/>
  <c r="AL11" i="9"/>
  <c r="AC68" i="9" l="1"/>
  <c r="J57" i="9"/>
  <c r="AK168" i="9"/>
  <c r="AK171" i="9" s="1"/>
  <c r="AJ166" i="9"/>
  <c r="AI168" i="9"/>
  <c r="AI171" i="9" s="1"/>
  <c r="AL166" i="9"/>
  <c r="AL183" i="9"/>
  <c r="AH166" i="9"/>
  <c r="K165" i="9"/>
  <c r="M165" i="9" s="1"/>
  <c r="AK166" i="9"/>
  <c r="AL168" i="9"/>
  <c r="AG168" i="9"/>
  <c r="AH168" i="9"/>
  <c r="AH55" i="9" s="1"/>
  <c r="AJ168" i="9"/>
  <c r="AI166" i="9"/>
  <c r="AK169" i="9" l="1"/>
  <c r="AK55" i="9"/>
  <c r="AH57" i="9"/>
  <c r="J58" i="9"/>
  <c r="AK172" i="9"/>
  <c r="AK58" i="9" s="1"/>
  <c r="AL184" i="9"/>
  <c r="AI169" i="9"/>
  <c r="AL169" i="9"/>
  <c r="AL65" i="9"/>
  <c r="AI55" i="9"/>
  <c r="AI172" i="9"/>
  <c r="AG55" i="9"/>
  <c r="K168" i="9"/>
  <c r="M168" i="9" s="1"/>
  <c r="K166" i="9"/>
  <c r="M166" i="9" s="1"/>
  <c r="AH169" i="9"/>
  <c r="AI57" i="9" l="1"/>
  <c r="AG57" i="9"/>
  <c r="AK57" i="9"/>
  <c r="AI58" i="9"/>
  <c r="K169" i="9"/>
  <c r="M169" i="9" s="1"/>
  <c r="AI63" i="9" l="1"/>
  <c r="AI68" i="9"/>
  <c r="AL156" i="9"/>
  <c r="AL145" i="9"/>
  <c r="AL124" i="9"/>
  <c r="AL120" i="9"/>
  <c r="AL97" i="9"/>
  <c r="AL47" i="9"/>
  <c r="AL46" i="9"/>
  <c r="AL30" i="9"/>
  <c r="AL16" i="9"/>
  <c r="AL18" i="9" l="1"/>
  <c r="AL99" i="9"/>
  <c r="AL32" i="9"/>
  <c r="AL33" i="9" l="1"/>
  <c r="AL37" i="3"/>
  <c r="AL45" i="9" s="1"/>
  <c r="AL17" i="3"/>
  <c r="AL16" i="3"/>
  <c r="AL15" i="3"/>
  <c r="AI133" i="9"/>
  <c r="AI134" i="9" s="1"/>
  <c r="AH133" i="9"/>
  <c r="AH134" i="9" s="1"/>
  <c r="AG133" i="9"/>
  <c r="AG134" i="9" s="1"/>
  <c r="AF133" i="9"/>
  <c r="AF134" i="9" s="1"/>
  <c r="AE133" i="9"/>
  <c r="AE134" i="9" s="1"/>
  <c r="AD133" i="9"/>
  <c r="AD134" i="9" s="1"/>
  <c r="AC133" i="9"/>
  <c r="AC134" i="9" s="1"/>
  <c r="AB133" i="9"/>
  <c r="AB134" i="9" s="1"/>
  <c r="AA133" i="9"/>
  <c r="AA134" i="9" s="1"/>
  <c r="Z133" i="9"/>
  <c r="Z134" i="9" s="1"/>
  <c r="Y133" i="9"/>
  <c r="Y134" i="9" s="1"/>
  <c r="X133" i="9"/>
  <c r="X134" i="9" s="1"/>
  <c r="W133" i="9"/>
  <c r="W134" i="9" s="1"/>
  <c r="V133" i="9"/>
  <c r="V134" i="9" s="1"/>
  <c r="U133" i="9"/>
  <c r="U134" i="9" s="1"/>
  <c r="T133" i="9"/>
  <c r="T134" i="9" s="1"/>
  <c r="AK120" i="9"/>
  <c r="AL20" i="3" l="1"/>
  <c r="AL22" i="3"/>
  <c r="AL26" i="3"/>
  <c r="AK125" i="9"/>
  <c r="AK123" i="9"/>
  <c r="AK122" i="9"/>
  <c r="AK156" i="9"/>
  <c r="AK145" i="9"/>
  <c r="AK97" i="9"/>
  <c r="AK66" i="9"/>
  <c r="AK28" i="9"/>
  <c r="L28" i="9" s="1"/>
  <c r="AK27" i="9"/>
  <c r="AK76" i="9" l="1"/>
  <c r="AK124" i="9"/>
  <c r="AK99" i="9"/>
  <c r="AL23" i="3"/>
  <c r="AL28" i="3"/>
  <c r="AK48" i="9"/>
  <c r="AK68" i="9" s="1"/>
  <c r="AK47" i="9"/>
  <c r="AK46" i="9"/>
  <c r="AK30" i="9"/>
  <c r="AK11" i="9"/>
  <c r="AI66" i="5"/>
  <c r="AL34" i="3" l="1"/>
  <c r="AJ6" i="5" s="1"/>
  <c r="AJ57" i="5" s="1"/>
  <c r="AL29" i="3"/>
  <c r="AK32" i="9"/>
  <c r="AK16" i="9"/>
  <c r="AK18" i="9" l="1"/>
  <c r="AL74" i="9"/>
  <c r="AL90" i="9" s="1"/>
  <c r="AJ82" i="5"/>
  <c r="AL41" i="3"/>
  <c r="AL35" i="3"/>
  <c r="AK33" i="9"/>
  <c r="AL42" i="3" l="1"/>
  <c r="AL132" i="9"/>
  <c r="AL44" i="9"/>
  <c r="AL49" i="9" s="1"/>
  <c r="AK17" i="3"/>
  <c r="AK37" i="3"/>
  <c r="AK10" i="3"/>
  <c r="AK16" i="3" s="1"/>
  <c r="AK6" i="3"/>
  <c r="AK45" i="9" l="1"/>
  <c r="AL52" i="9"/>
  <c r="AK15" i="3"/>
  <c r="K53" i="5"/>
  <c r="AK20" i="3" l="1"/>
  <c r="AK22" i="3"/>
  <c r="AK26" i="3"/>
  <c r="AK28" i="3" l="1"/>
  <c r="AK23" i="3"/>
  <c r="I15" i="9"/>
  <c r="H15" i="9"/>
  <c r="G15" i="9"/>
  <c r="F15" i="9"/>
  <c r="E15" i="9"/>
  <c r="K125" i="9"/>
  <c r="M125" i="9" s="1"/>
  <c r="K124" i="9"/>
  <c r="K123" i="9"/>
  <c r="M123" i="9" s="1"/>
  <c r="K122" i="9"/>
  <c r="M122" i="9" s="1"/>
  <c r="G16" i="9" l="1"/>
  <c r="H16" i="9"/>
  <c r="E16" i="9"/>
  <c r="F16" i="9"/>
  <c r="I16" i="9"/>
  <c r="I18" i="9" s="1"/>
  <c r="H18" i="9"/>
  <c r="AK34" i="3"/>
  <c r="AK41" i="3" s="1"/>
  <c r="AK29" i="3"/>
  <c r="K153" i="9"/>
  <c r="K152" i="9"/>
  <c r="K155" i="9"/>
  <c r="K154" i="9"/>
  <c r="K151" i="9"/>
  <c r="K150" i="9"/>
  <c r="K149" i="9"/>
  <c r="K148" i="9"/>
  <c r="K147" i="9"/>
  <c r="K144" i="9"/>
  <c r="K143" i="9"/>
  <c r="K142" i="9"/>
  <c r="K177" i="9" s="1"/>
  <c r="M177" i="9" s="1"/>
  <c r="K141" i="9"/>
  <c r="K140" i="9"/>
  <c r="K139" i="9"/>
  <c r="K138" i="9"/>
  <c r="K89" i="9"/>
  <c r="K84" i="9"/>
  <c r="K88" i="9"/>
  <c r="K87" i="9"/>
  <c r="K83" i="9"/>
  <c r="K85" i="9"/>
  <c r="K82" i="9"/>
  <c r="K81" i="9"/>
  <c r="K86" i="9"/>
  <c r="K80" i="9"/>
  <c r="K79" i="9"/>
  <c r="K77" i="9"/>
  <c r="K76" i="9"/>
  <c r="K75" i="9"/>
  <c r="K31" i="9"/>
  <c r="K29" i="9"/>
  <c r="K45" i="5"/>
  <c r="K83" i="5"/>
  <c r="K78" i="5"/>
  <c r="K77" i="5"/>
  <c r="K73" i="5"/>
  <c r="K71" i="5"/>
  <c r="K72" i="5"/>
  <c r="K70" i="5"/>
  <c r="K74" i="5"/>
  <c r="K76" i="5"/>
  <c r="K75" i="5"/>
  <c r="K69" i="5"/>
  <c r="K64" i="5"/>
  <c r="K63" i="5"/>
  <c r="K62" i="5"/>
  <c r="K61" i="5"/>
  <c r="K60" i="5"/>
  <c r="K56" i="5"/>
  <c r="K55" i="5"/>
  <c r="K54" i="5"/>
  <c r="K51" i="5"/>
  <c r="K52" i="5"/>
  <c r="K50" i="5"/>
  <c r="K49" i="5"/>
  <c r="K46" i="5"/>
  <c r="K47" i="5"/>
  <c r="K43" i="5"/>
  <c r="K42" i="5"/>
  <c r="K41" i="5"/>
  <c r="K40" i="5"/>
  <c r="K37" i="5"/>
  <c r="K39" i="5"/>
  <c r="K38" i="5"/>
  <c r="K36" i="5"/>
  <c r="K33" i="5"/>
  <c r="K23" i="5"/>
  <c r="K24" i="5"/>
  <c r="K19" i="5"/>
  <c r="K20" i="5"/>
  <c r="K14" i="5"/>
  <c r="K31" i="5"/>
  <c r="K15" i="5"/>
  <c r="K13" i="5"/>
  <c r="K30" i="5"/>
  <c r="K12" i="5"/>
  <c r="K29" i="5"/>
  <c r="K28" i="5"/>
  <c r="K27" i="5"/>
  <c r="K11" i="5"/>
  <c r="K32" i="5"/>
  <c r="K26" i="5"/>
  <c r="K9" i="5"/>
  <c r="K6" i="5"/>
  <c r="AJ28" i="9"/>
  <c r="K28" i="9" s="1"/>
  <c r="AJ27" i="9"/>
  <c r="K27" i="9" s="1"/>
  <c r="AJ123" i="9"/>
  <c r="AJ122" i="9"/>
  <c r="AJ119" i="9"/>
  <c r="K119" i="9" s="1"/>
  <c r="AJ118" i="9"/>
  <c r="AJ98" i="9"/>
  <c r="AJ96" i="9"/>
  <c r="AJ95" i="9"/>
  <c r="AJ74" i="9"/>
  <c r="K74" i="9" s="1"/>
  <c r="M112" i="9"/>
  <c r="M110" i="9"/>
  <c r="M109" i="9"/>
  <c r="AJ66" i="9"/>
  <c r="AJ48" i="9"/>
  <c r="AJ47" i="9"/>
  <c r="K47" i="9" s="1"/>
  <c r="AJ46" i="9"/>
  <c r="K46" i="9" s="1"/>
  <c r="AJ11" i="9"/>
  <c r="AI11" i="9"/>
  <c r="AH11" i="9"/>
  <c r="AG11" i="9"/>
  <c r="AF11" i="9"/>
  <c r="AO11" i="9" l="1"/>
  <c r="K30" i="9"/>
  <c r="AK35" i="3"/>
  <c r="AI6" i="5"/>
  <c r="AI57" i="5" s="1"/>
  <c r="AL133" i="9"/>
  <c r="AM133" i="9"/>
  <c r="K118" i="9"/>
  <c r="K120" i="9" s="1"/>
  <c r="K48" i="9"/>
  <c r="AK42" i="3"/>
  <c r="AK132" i="9"/>
  <c r="AK44" i="9"/>
  <c r="AK49" i="9" s="1"/>
  <c r="AJ133" i="9"/>
  <c r="AK133" i="9"/>
  <c r="K95" i="9"/>
  <c r="M95" i="9" s="1"/>
  <c r="K96" i="9"/>
  <c r="M96" i="9" s="1"/>
  <c r="K98" i="9"/>
  <c r="M98" i="9" s="1"/>
  <c r="K156" i="9"/>
  <c r="K145" i="9"/>
  <c r="K80" i="5"/>
  <c r="K66" i="5"/>
  <c r="K57" i="5"/>
  <c r="K127" i="9" l="1"/>
  <c r="K32" i="9"/>
  <c r="AK74" i="9"/>
  <c r="AK90" i="9" s="1"/>
  <c r="AI82" i="5"/>
  <c r="AK52" i="9"/>
  <c r="K82" i="5"/>
  <c r="AJ156" i="9"/>
  <c r="AJ145" i="9"/>
  <c r="AJ124" i="9"/>
  <c r="AJ120" i="9"/>
  <c r="AJ97" i="9"/>
  <c r="AJ90" i="9"/>
  <c r="AJ30" i="9"/>
  <c r="AJ16" i="9"/>
  <c r="K60" i="4"/>
  <c r="K58" i="4"/>
  <c r="K57" i="4"/>
  <c r="K56" i="4"/>
  <c r="K55" i="4"/>
  <c r="K59" i="4"/>
  <c r="K54" i="4"/>
  <c r="K47" i="4"/>
  <c r="K49" i="4"/>
  <c r="K45" i="4"/>
  <c r="K46" i="4"/>
  <c r="K44" i="4"/>
  <c r="K43" i="4"/>
  <c r="K50" i="4"/>
  <c r="K39" i="4"/>
  <c r="K38" i="4"/>
  <c r="K40" i="4"/>
  <c r="K37" i="4"/>
  <c r="K36" i="4"/>
  <c r="K35" i="4"/>
  <c r="K34" i="4"/>
  <c r="K33" i="4"/>
  <c r="K32" i="4"/>
  <c r="K30" i="4"/>
  <c r="K29" i="4"/>
  <c r="K20" i="4"/>
  <c r="K23" i="4"/>
  <c r="K22" i="4"/>
  <c r="K19" i="4"/>
  <c r="K18" i="4"/>
  <c r="K24" i="4"/>
  <c r="K11" i="4"/>
  <c r="K10" i="4"/>
  <c r="K9" i="4"/>
  <c r="K8" i="4"/>
  <c r="K7" i="4"/>
  <c r="K6" i="4"/>
  <c r="AK91" i="9" l="1"/>
  <c r="AJ18" i="9"/>
  <c r="K25" i="4"/>
  <c r="K61" i="4"/>
  <c r="K51" i="4"/>
  <c r="K41" i="4"/>
  <c r="K12" i="4"/>
  <c r="K97" i="9"/>
  <c r="AJ99" i="9"/>
  <c r="AJ32" i="9"/>
  <c r="M51" i="4" l="1"/>
  <c r="M41" i="4"/>
  <c r="M61" i="4"/>
  <c r="K14" i="4"/>
  <c r="M12" i="4"/>
  <c r="M25" i="4"/>
  <c r="K99" i="9"/>
  <c r="AJ33" i="9"/>
  <c r="M14" i="4" l="1"/>
  <c r="K27" i="4"/>
  <c r="K39" i="3"/>
  <c r="K38" i="3"/>
  <c r="K32" i="3"/>
  <c r="K31" i="3"/>
  <c r="K25" i="3"/>
  <c r="K19" i="3"/>
  <c r="K13" i="3"/>
  <c r="K12" i="3"/>
  <c r="K11" i="3"/>
  <c r="K8" i="3"/>
  <c r="K176" i="9" s="1"/>
  <c r="K7" i="3"/>
  <c r="AJ6" i="3"/>
  <c r="AJ17" i="3"/>
  <c r="AJ37" i="3"/>
  <c r="AJ45" i="9" s="1"/>
  <c r="K45" i="9" s="1"/>
  <c r="AJ10" i="3"/>
  <c r="AJ16" i="3" s="1"/>
  <c r="J39" i="3"/>
  <c r="J19" i="3"/>
  <c r="Z49" i="9"/>
  <c r="AB49" i="9"/>
  <c r="AC49" i="9"/>
  <c r="AD49" i="9"/>
  <c r="AE49" i="9"/>
  <c r="AF49" i="9"/>
  <c r="AG49" i="9"/>
  <c r="AH49" i="9"/>
  <c r="AI49" i="9"/>
  <c r="G49" i="9"/>
  <c r="F49" i="9"/>
  <c r="E49" i="9"/>
  <c r="K178" i="9" l="1"/>
  <c r="AD52" i="9"/>
  <c r="AC52" i="9"/>
  <c r="AB52" i="9"/>
  <c r="Z52" i="9"/>
  <c r="E52" i="9"/>
  <c r="F52" i="9"/>
  <c r="AE52" i="9"/>
  <c r="G52" i="9"/>
  <c r="K179" i="9"/>
  <c r="K181" i="9"/>
  <c r="AH52" i="9"/>
  <c r="AG52" i="9"/>
  <c r="AF52" i="9"/>
  <c r="AI52" i="9"/>
  <c r="K10" i="3"/>
  <c r="K6" i="3"/>
  <c r="AJ15" i="3"/>
  <c r="K37" i="3"/>
  <c r="AI10" i="3"/>
  <c r="AI6" i="3"/>
  <c r="X20" i="4"/>
  <c r="F27" i="4"/>
  <c r="G27" i="4"/>
  <c r="H27" i="4"/>
  <c r="I27" i="4"/>
  <c r="J27" i="4"/>
  <c r="M27" i="4" s="1"/>
  <c r="E27" i="4"/>
  <c r="K183" i="9" l="1"/>
  <c r="K15" i="3"/>
  <c r="AJ22" i="3"/>
  <c r="AJ20" i="3"/>
  <c r="AJ26" i="3"/>
  <c r="AI156" i="9"/>
  <c r="AI145" i="9"/>
  <c r="AI124" i="9"/>
  <c r="AI120" i="9"/>
  <c r="AI111" i="9"/>
  <c r="AI107" i="9"/>
  <c r="AI97" i="9"/>
  <c r="AI90" i="9"/>
  <c r="AI30" i="9"/>
  <c r="AI16" i="9"/>
  <c r="AI37" i="3"/>
  <c r="AI17" i="3"/>
  <c r="AH10" i="3"/>
  <c r="AI16" i="3"/>
  <c r="AH6" i="3"/>
  <c r="K22" i="3" l="1"/>
  <c r="K28" i="3" s="1"/>
  <c r="K20" i="3"/>
  <c r="K26" i="3"/>
  <c r="AI18" i="9"/>
  <c r="AM125" i="9"/>
  <c r="AI91" i="9"/>
  <c r="AL127" i="9"/>
  <c r="AL128" i="9"/>
  <c r="AJ23" i="3"/>
  <c r="AJ28" i="3"/>
  <c r="AI32" i="9"/>
  <c r="AI99" i="9"/>
  <c r="AI15" i="3"/>
  <c r="AH156" i="9"/>
  <c r="AH145" i="9"/>
  <c r="AH124" i="9"/>
  <c r="AH120" i="9"/>
  <c r="AK128" i="9" s="1"/>
  <c r="AH111" i="9"/>
  <c r="AI112" i="9" s="1"/>
  <c r="AH107" i="9"/>
  <c r="AH97" i="9"/>
  <c r="AH90" i="9"/>
  <c r="AH30" i="9"/>
  <c r="AH37" i="3"/>
  <c r="AH16" i="3"/>
  <c r="AH17" i="3"/>
  <c r="AH15" i="3"/>
  <c r="AG156" i="9"/>
  <c r="AG145" i="9"/>
  <c r="I134" i="9"/>
  <c r="J134" i="9"/>
  <c r="H134" i="9"/>
  <c r="AG124" i="9"/>
  <c r="AG120" i="9"/>
  <c r="AG111" i="9"/>
  <c r="AG107" i="9"/>
  <c r="AG97" i="9"/>
  <c r="AG90" i="9"/>
  <c r="AG30" i="9"/>
  <c r="K29" i="3" l="1"/>
  <c r="AH91" i="9"/>
  <c r="K34" i="3"/>
  <c r="K41" i="3" s="1"/>
  <c r="K23" i="3"/>
  <c r="AM128" i="9"/>
  <c r="AM127" i="9"/>
  <c r="AG91" i="9"/>
  <c r="AK127" i="9"/>
  <c r="AH99" i="9"/>
  <c r="AI33" i="9"/>
  <c r="AJ29" i="3"/>
  <c r="AJ34" i="3"/>
  <c r="K90" i="9"/>
  <c r="K133" i="9"/>
  <c r="M133" i="9" s="1"/>
  <c r="AH112" i="9"/>
  <c r="AH114" i="9" s="1"/>
  <c r="AI114" i="9"/>
  <c r="AI26" i="3"/>
  <c r="AI20" i="3"/>
  <c r="AI22" i="3"/>
  <c r="AH32" i="9"/>
  <c r="AH22" i="3"/>
  <c r="AH26" i="3"/>
  <c r="AH20" i="3"/>
  <c r="AG99" i="9"/>
  <c r="AG32" i="9"/>
  <c r="K35" i="3" l="1"/>
  <c r="K42" i="3"/>
  <c r="AJ41" i="3"/>
  <c r="AJ35" i="3"/>
  <c r="K33" i="9"/>
  <c r="AH33" i="9"/>
  <c r="AI23" i="3"/>
  <c r="AI28" i="3"/>
  <c r="AH28" i="3"/>
  <c r="AH23" i="3"/>
  <c r="AG33" i="9"/>
  <c r="AH34" i="3" l="1"/>
  <c r="AH35" i="3" s="1"/>
  <c r="AJ44" i="9"/>
  <c r="AJ42" i="3"/>
  <c r="AJ132" i="9"/>
  <c r="AI34" i="3"/>
  <c r="AI29" i="3"/>
  <c r="AH29" i="3"/>
  <c r="AH41" i="3"/>
  <c r="AG15" i="9"/>
  <c r="AL134" i="9" l="1"/>
  <c r="AJ49" i="9"/>
  <c r="K44" i="9"/>
  <c r="K49" i="9" s="1"/>
  <c r="K132" i="9"/>
  <c r="M132" i="9" s="1"/>
  <c r="AK134" i="9"/>
  <c r="AJ134" i="9"/>
  <c r="AG16" i="9"/>
  <c r="K15" i="9"/>
  <c r="AI41" i="3"/>
  <c r="AI35" i="3"/>
  <c r="AH42" i="3"/>
  <c r="AG37" i="3"/>
  <c r="AG17" i="3"/>
  <c r="K17" i="3" s="1"/>
  <c r="AG10" i="3"/>
  <c r="AG16" i="3" s="1"/>
  <c r="K16" i="3" s="1"/>
  <c r="AG6" i="3"/>
  <c r="J156" i="9"/>
  <c r="M156" i="9" s="1"/>
  <c r="I156" i="9"/>
  <c r="J145" i="9"/>
  <c r="M145" i="9" s="1"/>
  <c r="J124" i="9"/>
  <c r="M124" i="9" s="1"/>
  <c r="J120" i="9"/>
  <c r="M120" i="9" s="1"/>
  <c r="J111" i="9"/>
  <c r="J107" i="9"/>
  <c r="J97" i="9"/>
  <c r="M97" i="9" s="1"/>
  <c r="J90" i="9"/>
  <c r="J65" i="9"/>
  <c r="J51" i="9"/>
  <c r="J48" i="9"/>
  <c r="J68" i="9" s="1"/>
  <c r="J69" i="9" s="1"/>
  <c r="J47" i="9"/>
  <c r="J46" i="9"/>
  <c r="J45" i="9"/>
  <c r="J44" i="9"/>
  <c r="J31" i="9"/>
  <c r="J29" i="9"/>
  <c r="J28" i="9"/>
  <c r="J27" i="9"/>
  <c r="J9" i="9"/>
  <c r="AF124" i="9"/>
  <c r="AJ125" i="9" s="1"/>
  <c r="AE124" i="9"/>
  <c r="AD124" i="9"/>
  <c r="AC124" i="9"/>
  <c r="AB124" i="9"/>
  <c r="AA124" i="9"/>
  <c r="Y124" i="9"/>
  <c r="X124" i="9"/>
  <c r="W124" i="9"/>
  <c r="V124" i="9"/>
  <c r="U124" i="9"/>
  <c r="T124" i="9"/>
  <c r="S124" i="9"/>
  <c r="R124" i="9"/>
  <c r="Q124" i="9"/>
  <c r="I124" i="9"/>
  <c r="G124" i="9"/>
  <c r="F124" i="9"/>
  <c r="E124" i="9"/>
  <c r="AF120" i="9"/>
  <c r="AE120" i="9"/>
  <c r="AD120" i="9"/>
  <c r="AC120" i="9"/>
  <c r="AB120" i="9"/>
  <c r="Y120" i="9"/>
  <c r="U120" i="9"/>
  <c r="I120" i="9"/>
  <c r="I127" i="9" s="1"/>
  <c r="G120" i="9"/>
  <c r="G127" i="9" s="1"/>
  <c r="F120" i="9"/>
  <c r="F127" i="9" s="1"/>
  <c r="E120" i="9"/>
  <c r="E127" i="9" s="1"/>
  <c r="T119" i="9"/>
  <c r="T120" i="9" s="1"/>
  <c r="S119" i="9"/>
  <c r="S120" i="9" s="1"/>
  <c r="AA120" i="9"/>
  <c r="X120" i="9"/>
  <c r="W120" i="9"/>
  <c r="V120" i="9"/>
  <c r="R120" i="9"/>
  <c r="Q120" i="9"/>
  <c r="M90" i="9" l="1"/>
  <c r="J91" i="9"/>
  <c r="M9" i="9"/>
  <c r="J30" i="9"/>
  <c r="M30" i="9" s="1"/>
  <c r="K16" i="9"/>
  <c r="K18" i="9"/>
  <c r="AG18" i="9"/>
  <c r="K52" i="9"/>
  <c r="AJ128" i="9"/>
  <c r="AB125" i="9"/>
  <c r="AB128" i="9" s="1"/>
  <c r="AG125" i="9"/>
  <c r="AG127" i="9" s="1"/>
  <c r="AI125" i="9"/>
  <c r="AI127" i="9" s="1"/>
  <c r="AH125" i="9"/>
  <c r="AH127" i="9" s="1"/>
  <c r="X125" i="9"/>
  <c r="X127" i="9" s="1"/>
  <c r="Y125" i="9"/>
  <c r="Y127" i="9" s="1"/>
  <c r="Z125" i="9"/>
  <c r="Z127" i="9" s="1"/>
  <c r="AA125" i="9"/>
  <c r="AA127" i="9" s="1"/>
  <c r="K134" i="9"/>
  <c r="M134" i="9" s="1"/>
  <c r="AJ52" i="9"/>
  <c r="AJ127" i="9"/>
  <c r="U125" i="9"/>
  <c r="U127" i="9" s="1"/>
  <c r="T125" i="9"/>
  <c r="T127" i="9" s="1"/>
  <c r="AC125" i="9"/>
  <c r="AC127" i="9" s="1"/>
  <c r="V125" i="9"/>
  <c r="V127" i="9" s="1"/>
  <c r="AD125" i="9"/>
  <c r="AD127" i="9" s="1"/>
  <c r="AE125" i="9"/>
  <c r="AE127" i="9" s="1"/>
  <c r="W125" i="9"/>
  <c r="W127" i="9" s="1"/>
  <c r="AF125" i="9"/>
  <c r="AF127" i="9" s="1"/>
  <c r="J114" i="9"/>
  <c r="J127" i="9"/>
  <c r="J49" i="9"/>
  <c r="AI42" i="3"/>
  <c r="AG15" i="3"/>
  <c r="J99" i="9"/>
  <c r="H124" i="9"/>
  <c r="M127" i="9" l="1"/>
  <c r="M99" i="9"/>
  <c r="J52" i="9"/>
  <c r="AI128" i="9"/>
  <c r="T128" i="9"/>
  <c r="AB127" i="9"/>
  <c r="AA128" i="9"/>
  <c r="X128" i="9"/>
  <c r="Z128" i="9"/>
  <c r="V128" i="9"/>
  <c r="Y128" i="9"/>
  <c r="U128" i="9"/>
  <c r="W128" i="9"/>
  <c r="AH128" i="9"/>
  <c r="AC128" i="9"/>
  <c r="AD128" i="9"/>
  <c r="AG128" i="9"/>
  <c r="AF128" i="9"/>
  <c r="AE128" i="9"/>
  <c r="J101" i="9"/>
  <c r="AG22" i="3"/>
  <c r="AG20" i="3"/>
  <c r="AG26" i="3"/>
  <c r="J32" i="9"/>
  <c r="M32" i="9" l="1"/>
  <c r="AG23" i="3"/>
  <c r="J33" i="9"/>
  <c r="M33" i="9" s="1"/>
  <c r="AG28" i="3"/>
  <c r="AF90" i="9"/>
  <c r="AF156" i="9"/>
  <c r="AF145" i="9"/>
  <c r="AF111" i="9"/>
  <c r="AF107" i="9"/>
  <c r="AF97" i="9"/>
  <c r="AF30" i="9"/>
  <c r="AF91" i="9" l="1"/>
  <c r="AG34" i="3"/>
  <c r="AG29" i="3"/>
  <c r="AG112" i="9"/>
  <c r="AF99" i="9"/>
  <c r="AF32" i="9"/>
  <c r="AF15" i="9"/>
  <c r="J80" i="5"/>
  <c r="J66" i="5"/>
  <c r="J57" i="5"/>
  <c r="AF16" i="9" l="1"/>
  <c r="AG41" i="3"/>
  <c r="AG35" i="3"/>
  <c r="J82" i="5"/>
  <c r="AG114" i="9"/>
  <c r="AF33" i="9"/>
  <c r="J38" i="3"/>
  <c r="J32" i="3"/>
  <c r="J31" i="3"/>
  <c r="J25" i="3"/>
  <c r="AF37" i="3"/>
  <c r="AF17" i="3"/>
  <c r="AE17" i="3"/>
  <c r="J13" i="3"/>
  <c r="J12" i="3"/>
  <c r="J11" i="3"/>
  <c r="J8" i="3"/>
  <c r="J176" i="9" s="1"/>
  <c r="J7" i="3"/>
  <c r="J15" i="9" s="1"/>
  <c r="M15" i="9" s="1"/>
  <c r="AF6" i="3"/>
  <c r="J178" i="9" l="1"/>
  <c r="M178" i="9" s="1"/>
  <c r="M176" i="9"/>
  <c r="J16" i="9"/>
  <c r="M16" i="9" s="1"/>
  <c r="J179" i="9"/>
  <c r="M179" i="9" s="1"/>
  <c r="J181" i="9"/>
  <c r="AG42" i="3"/>
  <c r="J6" i="3"/>
  <c r="M6" i="3" s="1"/>
  <c r="J183" i="9" l="1"/>
  <c r="M183" i="9" s="1"/>
  <c r="M181" i="9"/>
  <c r="J18" i="9"/>
  <c r="AF10" i="3"/>
  <c r="J37" i="3"/>
  <c r="J17" i="3"/>
  <c r="J10" i="3"/>
  <c r="J15" i="3" l="1"/>
  <c r="J16" i="3"/>
  <c r="AF16" i="3"/>
  <c r="AF15" i="3"/>
  <c r="G27" i="9"/>
  <c r="G29" i="9"/>
  <c r="G28" i="9"/>
  <c r="H156" i="9"/>
  <c r="G156" i="9"/>
  <c r="F156" i="9"/>
  <c r="E156" i="9"/>
  <c r="R156" i="9"/>
  <c r="S156" i="9"/>
  <c r="T156" i="9"/>
  <c r="U156" i="9"/>
  <c r="V156" i="9"/>
  <c r="W156" i="9"/>
  <c r="X156" i="9"/>
  <c r="Y156" i="9"/>
  <c r="Z156" i="9"/>
  <c r="AA156" i="9"/>
  <c r="AB156" i="9"/>
  <c r="AC156" i="9"/>
  <c r="AD156" i="9"/>
  <c r="AE156" i="9"/>
  <c r="Q156" i="9"/>
  <c r="AE145" i="9"/>
  <c r="AE111" i="9"/>
  <c r="AE107" i="9"/>
  <c r="AE97" i="9"/>
  <c r="AE90" i="9"/>
  <c r="AE30" i="9"/>
  <c r="J26" i="3" l="1"/>
  <c r="M15" i="3"/>
  <c r="J20" i="3"/>
  <c r="AE91" i="9"/>
  <c r="J22" i="3"/>
  <c r="M22" i="3" s="1"/>
  <c r="AF26" i="3"/>
  <c r="AF22" i="3"/>
  <c r="AF20" i="3"/>
  <c r="AF69" i="9"/>
  <c r="AF112" i="9"/>
  <c r="AE32" i="9"/>
  <c r="AE99" i="9"/>
  <c r="AE15" i="9"/>
  <c r="AE37" i="3"/>
  <c r="AE10" i="3"/>
  <c r="AE16" i="3" s="1"/>
  <c r="AE6" i="3"/>
  <c r="X15" i="9"/>
  <c r="W15" i="9"/>
  <c r="V15" i="9"/>
  <c r="U15" i="9"/>
  <c r="Z15" i="9"/>
  <c r="AA15" i="9"/>
  <c r="AB15" i="9"/>
  <c r="AC15" i="9"/>
  <c r="AD15" i="9"/>
  <c r="Y15" i="9"/>
  <c r="AB16" i="9" l="1"/>
  <c r="U16" i="9"/>
  <c r="X16" i="9"/>
  <c r="V16" i="9"/>
  <c r="AA16" i="9"/>
  <c r="Y16" i="9"/>
  <c r="AD16" i="9"/>
  <c r="AE16" i="9"/>
  <c r="Z16" i="9"/>
  <c r="W16" i="9"/>
  <c r="AC16" i="9"/>
  <c r="J23" i="3"/>
  <c r="J28" i="3"/>
  <c r="M28" i="3" s="1"/>
  <c r="AE15" i="3"/>
  <c r="AF23" i="3"/>
  <c r="AF28" i="3"/>
  <c r="AE69" i="9"/>
  <c r="AF114" i="9"/>
  <c r="AE33" i="9"/>
  <c r="J34" i="3" l="1"/>
  <c r="M34" i="3" s="1"/>
  <c r="J29" i="3"/>
  <c r="AF29" i="3"/>
  <c r="AF34" i="3"/>
  <c r="AE20" i="3"/>
  <c r="AE26" i="3"/>
  <c r="AE22" i="3"/>
  <c r="AD145" i="9"/>
  <c r="AD111" i="9"/>
  <c r="AD107" i="9"/>
  <c r="AD97" i="9"/>
  <c r="AD90" i="9"/>
  <c r="AD30" i="9"/>
  <c r="AD12" i="4"/>
  <c r="AD14" i="4" s="1"/>
  <c r="AD27" i="4" s="1"/>
  <c r="AD10" i="3"/>
  <c r="AD16" i="3" s="1"/>
  <c r="AD6" i="3"/>
  <c r="AD17" i="3"/>
  <c r="AD37" i="3"/>
  <c r="H28" i="9"/>
  <c r="I28" i="9"/>
  <c r="H29" i="9"/>
  <c r="I29" i="9"/>
  <c r="X9" i="4"/>
  <c r="AC145" i="9"/>
  <c r="AC111" i="9"/>
  <c r="Z99" i="9"/>
  <c r="AC97" i="9"/>
  <c r="AC90" i="9"/>
  <c r="J35" i="3" l="1"/>
  <c r="J41" i="3"/>
  <c r="M41" i="3" s="1"/>
  <c r="AD91" i="9"/>
  <c r="AC91" i="9"/>
  <c r="AC99" i="9"/>
  <c r="AF35" i="3"/>
  <c r="AF41" i="3"/>
  <c r="AE23" i="3"/>
  <c r="J42" i="3"/>
  <c r="AE112" i="9"/>
  <c r="AE28" i="3"/>
  <c r="AD112" i="9"/>
  <c r="AD99" i="9"/>
  <c r="AD32" i="9"/>
  <c r="AD15" i="3"/>
  <c r="AC12" i="4"/>
  <c r="AC14" i="4" s="1"/>
  <c r="AC27" i="4" s="1"/>
  <c r="AC37" i="3"/>
  <c r="AC17" i="3"/>
  <c r="AC10" i="3"/>
  <c r="AC16" i="3" s="1"/>
  <c r="AC6" i="3"/>
  <c r="AC30" i="9"/>
  <c r="AF42" i="3" l="1"/>
  <c r="AD26" i="3"/>
  <c r="AE34" i="3"/>
  <c r="AE29" i="3"/>
  <c r="AE114" i="9"/>
  <c r="AD114" i="9"/>
  <c r="AD69" i="9"/>
  <c r="AD33" i="9"/>
  <c r="AC32" i="9"/>
  <c r="AD20" i="3"/>
  <c r="AD22" i="3"/>
  <c r="AC15" i="3"/>
  <c r="AC69" i="9" l="1"/>
  <c r="AE41" i="3"/>
  <c r="AE35" i="3"/>
  <c r="AC33" i="9"/>
  <c r="AD28" i="3"/>
  <c r="AD23" i="3"/>
  <c r="AC26" i="3"/>
  <c r="AC22" i="3"/>
  <c r="AC20" i="3"/>
  <c r="AC105" i="9" l="1"/>
  <c r="AC107" i="9" s="1"/>
  <c r="AE42" i="3"/>
  <c r="AD34" i="3"/>
  <c r="AD29" i="3"/>
  <c r="AC28" i="3"/>
  <c r="AC23" i="3"/>
  <c r="Z63" i="4"/>
  <c r="Z145" i="9"/>
  <c r="Z33" i="9"/>
  <c r="Z12" i="4"/>
  <c r="Z14" i="4" s="1"/>
  <c r="Z27" i="4" s="1"/>
  <c r="AD35" i="3" l="1"/>
  <c r="AD41" i="3"/>
  <c r="AC29" i="3"/>
  <c r="AC34" i="3"/>
  <c r="I31" i="9"/>
  <c r="I27" i="9"/>
  <c r="I30" i="9" s="1"/>
  <c r="I65" i="9"/>
  <c r="I51" i="9"/>
  <c r="I48" i="9"/>
  <c r="I68" i="9" s="1"/>
  <c r="I47" i="9"/>
  <c r="I46" i="9"/>
  <c r="I45" i="9"/>
  <c r="I90" i="9"/>
  <c r="I9" i="9"/>
  <c r="I97" i="9"/>
  <c r="I107" i="9"/>
  <c r="M107" i="9" s="1"/>
  <c r="I111" i="9"/>
  <c r="M111" i="9" s="1"/>
  <c r="I145" i="9"/>
  <c r="AB145" i="9"/>
  <c r="AB111" i="9"/>
  <c r="AB97" i="9"/>
  <c r="AB90" i="9"/>
  <c r="AB30" i="9"/>
  <c r="I91" i="9" l="1"/>
  <c r="AB91" i="9"/>
  <c r="I114" i="9"/>
  <c r="AD42" i="3"/>
  <c r="AC41" i="3"/>
  <c r="AC35" i="3"/>
  <c r="AB99" i="9"/>
  <c r="AC112" i="9"/>
  <c r="AB32" i="9"/>
  <c r="I99" i="9"/>
  <c r="I32" i="9"/>
  <c r="I80" i="5"/>
  <c r="I66" i="5"/>
  <c r="I57" i="5"/>
  <c r="E57" i="5"/>
  <c r="F57" i="5"/>
  <c r="G57" i="5"/>
  <c r="H57" i="5"/>
  <c r="AB12" i="4"/>
  <c r="AB14" i="4" s="1"/>
  <c r="AB27" i="4" s="1"/>
  <c r="I33" i="9" l="1"/>
  <c r="AC42" i="3"/>
  <c r="AC114" i="9"/>
  <c r="AB105" i="9"/>
  <c r="AB107" i="9" s="1"/>
  <c r="AB33" i="9"/>
  <c r="I82" i="5"/>
  <c r="AB37" i="3" l="1"/>
  <c r="AB17" i="3"/>
  <c r="AB10" i="3"/>
  <c r="AB16" i="3" s="1"/>
  <c r="AB6" i="3"/>
  <c r="I37" i="3"/>
  <c r="I17" i="3"/>
  <c r="I10" i="3"/>
  <c r="I16" i="3" s="1"/>
  <c r="I6" i="3"/>
  <c r="I15" i="3" l="1"/>
  <c r="AB15" i="3"/>
  <c r="AB69" i="9"/>
  <c r="I22" i="3" l="1"/>
  <c r="I20" i="3"/>
  <c r="I26" i="3"/>
  <c r="AB20" i="3"/>
  <c r="AB26" i="3"/>
  <c r="AB22" i="3"/>
  <c r="AA145" i="9"/>
  <c r="AA111" i="9"/>
  <c r="X106" i="9"/>
  <c r="H106" i="9"/>
  <c r="G107" i="9"/>
  <c r="Y107" i="9"/>
  <c r="Q106" i="9"/>
  <c r="H66" i="5"/>
  <c r="G66" i="5"/>
  <c r="F66" i="5"/>
  <c r="E66" i="5"/>
  <c r="I23" i="3" l="1"/>
  <c r="I28" i="3"/>
  <c r="I34" i="3" s="1"/>
  <c r="AB28" i="3"/>
  <c r="AB34" i="3" s="1"/>
  <c r="AB23" i="3"/>
  <c r="AB112" i="9"/>
  <c r="AA112" i="9"/>
  <c r="I29" i="3" l="1"/>
  <c r="AB29" i="3"/>
  <c r="AB114" i="9"/>
  <c r="I35" i="3"/>
  <c r="I41" i="3"/>
  <c r="AB35" i="3"/>
  <c r="AB41" i="3"/>
  <c r="I42" i="3" l="1"/>
  <c r="AB42" i="3"/>
  <c r="AA97" i="9"/>
  <c r="AA99" i="9" l="1"/>
  <c r="AA90" i="9"/>
  <c r="AA30" i="9"/>
  <c r="AA91" i="9" l="1"/>
  <c r="AA32" i="9"/>
  <c r="AA33" i="9" l="1"/>
  <c r="AA12" i="4"/>
  <c r="AA14" i="4" s="1"/>
  <c r="AA27" i="4" s="1"/>
  <c r="AA37" i="3" l="1"/>
  <c r="AA17" i="3"/>
  <c r="AA10" i="3"/>
  <c r="AA16" i="3" s="1"/>
  <c r="AA6" i="3"/>
  <c r="AA15" i="3" l="1"/>
  <c r="AA26" i="3" l="1"/>
  <c r="AA22" i="3"/>
  <c r="AA20" i="3"/>
  <c r="AA23" i="3" l="1"/>
  <c r="AA28" i="3"/>
  <c r="AA34" i="3" l="1"/>
  <c r="AA29" i="3"/>
  <c r="Y17" i="3"/>
  <c r="Y145" i="9"/>
  <c r="X145" i="9"/>
  <c r="Y111" i="9"/>
  <c r="Y97" i="9"/>
  <c r="Y90" i="9"/>
  <c r="G17" i="3"/>
  <c r="F17" i="3"/>
  <c r="E17" i="3"/>
  <c r="H17" i="3"/>
  <c r="X17" i="3"/>
  <c r="W17" i="3"/>
  <c r="V17" i="3"/>
  <c r="U17" i="3"/>
  <c r="T17" i="3"/>
  <c r="S17" i="3"/>
  <c r="R17" i="3"/>
  <c r="Q17" i="3"/>
  <c r="Y91" i="9" l="1"/>
  <c r="AA41" i="3"/>
  <c r="AA35" i="3"/>
  <c r="Y99" i="9"/>
  <c r="Y37" i="3"/>
  <c r="Y6" i="3"/>
  <c r="AA42" i="3" l="1"/>
  <c r="AA44" i="9"/>
  <c r="AA49" i="9" s="1"/>
  <c r="Y30" i="9"/>
  <c r="Y12" i="4"/>
  <c r="Y14" i="4" s="1"/>
  <c r="Y27" i="4" s="1"/>
  <c r="Y10" i="3"/>
  <c r="Y16" i="3" s="1"/>
  <c r="AA52" i="9" l="1"/>
  <c r="Y15" i="3"/>
  <c r="Y32" i="9"/>
  <c r="Y33" i="9" l="1"/>
  <c r="Y20" i="3"/>
  <c r="Y22" i="3"/>
  <c r="Y26" i="3"/>
  <c r="Y23" i="3" l="1"/>
  <c r="Y28" i="3"/>
  <c r="AA69" i="9" l="1"/>
  <c r="AA105" i="9"/>
  <c r="AA107" i="9" s="1"/>
  <c r="Y34" i="3"/>
  <c r="Y29" i="3"/>
  <c r="AA114" i="9" l="1"/>
  <c r="Y41" i="3"/>
  <c r="Y35" i="3"/>
  <c r="E107" i="9"/>
  <c r="E114" i="9" s="1"/>
  <c r="F107" i="9"/>
  <c r="H9" i="9"/>
  <c r="H27" i="9"/>
  <c r="E30" i="9"/>
  <c r="F30" i="9"/>
  <c r="F32" i="9" s="1"/>
  <c r="G30" i="9"/>
  <c r="Q30" i="9"/>
  <c r="R30" i="9"/>
  <c r="R32" i="9" s="1"/>
  <c r="S30" i="9"/>
  <c r="S32" i="9" s="1"/>
  <c r="T30" i="9"/>
  <c r="T32" i="9" s="1"/>
  <c r="U30" i="9"/>
  <c r="V30" i="9"/>
  <c r="W30" i="9"/>
  <c r="X30" i="9"/>
  <c r="H31" i="9"/>
  <c r="H45" i="9"/>
  <c r="H46" i="9"/>
  <c r="H47" i="9"/>
  <c r="H48" i="9"/>
  <c r="H68" i="9" s="1"/>
  <c r="H65" i="9"/>
  <c r="H51" i="9"/>
  <c r="H74" i="9"/>
  <c r="H76" i="9"/>
  <c r="H77" i="9"/>
  <c r="H79" i="9"/>
  <c r="H86" i="9"/>
  <c r="H81" i="9"/>
  <c r="H82" i="9"/>
  <c r="H85" i="9"/>
  <c r="H120" i="9" s="1"/>
  <c r="H83" i="9"/>
  <c r="H87" i="9"/>
  <c r="H88" i="9"/>
  <c r="H89" i="9"/>
  <c r="E90" i="9"/>
  <c r="E91" i="9" s="1"/>
  <c r="F90" i="9"/>
  <c r="F91" i="9" s="1"/>
  <c r="G90" i="9"/>
  <c r="G91" i="9" s="1"/>
  <c r="Q90" i="9"/>
  <c r="R90" i="9"/>
  <c r="S90" i="9"/>
  <c r="T90" i="9"/>
  <c r="U90" i="9"/>
  <c r="V90" i="9"/>
  <c r="W90" i="9"/>
  <c r="X90" i="9"/>
  <c r="H95" i="9"/>
  <c r="Q95" i="9"/>
  <c r="R95" i="9"/>
  <c r="S95" i="9"/>
  <c r="T95" i="9"/>
  <c r="U95" i="9"/>
  <c r="V95" i="9"/>
  <c r="W95" i="9"/>
  <c r="H96" i="9"/>
  <c r="Q96" i="9"/>
  <c r="R96" i="9"/>
  <c r="S96" i="9"/>
  <c r="T96" i="9"/>
  <c r="U96" i="9"/>
  <c r="V96" i="9"/>
  <c r="W96" i="9"/>
  <c r="E97" i="9"/>
  <c r="E99" i="9" s="1"/>
  <c r="F97" i="9"/>
  <c r="G97" i="9"/>
  <c r="G99" i="9" s="1"/>
  <c r="R106" i="9"/>
  <c r="S106" i="9"/>
  <c r="T106" i="9"/>
  <c r="U106" i="9"/>
  <c r="V106" i="9"/>
  <c r="W106" i="9"/>
  <c r="H109" i="9"/>
  <c r="H110" i="9"/>
  <c r="E111" i="9"/>
  <c r="F111" i="9"/>
  <c r="G111" i="9"/>
  <c r="Q111" i="9"/>
  <c r="R111" i="9"/>
  <c r="S111" i="9"/>
  <c r="T111" i="9"/>
  <c r="U111" i="9"/>
  <c r="V111" i="9"/>
  <c r="W111" i="9"/>
  <c r="X111" i="9"/>
  <c r="H145" i="9"/>
  <c r="Q145" i="9"/>
  <c r="R145" i="9"/>
  <c r="S145" i="9"/>
  <c r="T145" i="9"/>
  <c r="U145" i="9"/>
  <c r="V145" i="9"/>
  <c r="W145" i="9"/>
  <c r="F33" i="9" l="1"/>
  <c r="G101" i="9"/>
  <c r="R33" i="9"/>
  <c r="T33" i="9"/>
  <c r="E101" i="9"/>
  <c r="S33" i="9"/>
  <c r="U91" i="9"/>
  <c r="X91" i="9"/>
  <c r="W91" i="9"/>
  <c r="T91" i="9"/>
  <c r="S91" i="9"/>
  <c r="R91" i="9"/>
  <c r="V91" i="9"/>
  <c r="Q91" i="9"/>
  <c r="H127" i="9"/>
  <c r="Y112" i="9"/>
  <c r="W32" i="9"/>
  <c r="F114" i="9"/>
  <c r="V32" i="9"/>
  <c r="H111" i="9"/>
  <c r="Q97" i="9"/>
  <c r="Q99" i="9" s="1"/>
  <c r="Y44" i="9"/>
  <c r="Y42" i="3"/>
  <c r="T97" i="9"/>
  <c r="T99" i="9" s="1"/>
  <c r="S97" i="9"/>
  <c r="S99" i="9" s="1"/>
  <c r="G32" i="9"/>
  <c r="R97" i="9"/>
  <c r="R99" i="9" s="1"/>
  <c r="V97" i="9"/>
  <c r="H30" i="9"/>
  <c r="H97" i="9"/>
  <c r="U97" i="9"/>
  <c r="X32" i="9"/>
  <c r="W97" i="9"/>
  <c r="Q32" i="9"/>
  <c r="E32" i="9"/>
  <c r="U32" i="9"/>
  <c r="W112" i="9"/>
  <c r="H90" i="9"/>
  <c r="H91" i="9" s="1"/>
  <c r="G114" i="9"/>
  <c r="F99" i="9"/>
  <c r="X112" i="9"/>
  <c r="E33" i="9" l="1"/>
  <c r="G33" i="9"/>
  <c r="Q33" i="9"/>
  <c r="F101" i="9"/>
  <c r="I44" i="9"/>
  <c r="Y49" i="9"/>
  <c r="W99" i="9"/>
  <c r="W33" i="9"/>
  <c r="V99" i="9"/>
  <c r="V33" i="9"/>
  <c r="Y114" i="9"/>
  <c r="U99" i="9"/>
  <c r="X33" i="9"/>
  <c r="U33" i="9"/>
  <c r="H99" i="9"/>
  <c r="H32" i="9"/>
  <c r="Y52" i="9" l="1"/>
  <c r="I49" i="9"/>
  <c r="H33" i="9"/>
  <c r="I101" i="9" l="1"/>
  <c r="I52" i="9"/>
  <c r="Y69" i="9"/>
  <c r="X56" i="4"/>
  <c r="X54" i="4"/>
  <c r="X47" i="4"/>
  <c r="X49" i="4"/>
  <c r="X45" i="4"/>
  <c r="X46" i="4"/>
  <c r="X44" i="4"/>
  <c r="X43" i="4"/>
  <c r="X39" i="4"/>
  <c r="X38" i="4"/>
  <c r="X40" i="4"/>
  <c r="X36" i="4"/>
  <c r="X35" i="4"/>
  <c r="X34" i="4"/>
  <c r="X33" i="4"/>
  <c r="X32" i="4"/>
  <c r="X31" i="4"/>
  <c r="X95" i="9" s="1"/>
  <c r="X29" i="4"/>
  <c r="X23" i="4"/>
  <c r="X22" i="4"/>
  <c r="X19" i="4"/>
  <c r="X24" i="4"/>
  <c r="X11" i="4"/>
  <c r="X10" i="4"/>
  <c r="X8" i="4"/>
  <c r="H80" i="5"/>
  <c r="X61" i="4" l="1"/>
  <c r="X51" i="4"/>
  <c r="X41" i="4"/>
  <c r="X25" i="4"/>
  <c r="I69" i="9"/>
  <c r="X96" i="9"/>
  <c r="H82" i="5"/>
  <c r="X97" i="9" l="1"/>
  <c r="H84" i="5"/>
  <c r="X99" i="9" l="1"/>
  <c r="H85" i="5"/>
  <c r="I84" i="5" s="1"/>
  <c r="I85" i="5" s="1"/>
  <c r="J84" i="5" s="1"/>
  <c r="J85" i="5" s="1"/>
  <c r="W10" i="3" l="1"/>
  <c r="W16" i="3" s="1"/>
  <c r="V10" i="3"/>
  <c r="V16" i="3" s="1"/>
  <c r="U10" i="3"/>
  <c r="U16" i="3" s="1"/>
  <c r="T10" i="3"/>
  <c r="T16" i="3" s="1"/>
  <c r="S10" i="3"/>
  <c r="S16" i="3" s="1"/>
  <c r="R10" i="3"/>
  <c r="R16" i="3" s="1"/>
  <c r="Q10" i="3"/>
  <c r="Q16" i="3" s="1"/>
  <c r="G10" i="3"/>
  <c r="G16" i="3" s="1"/>
  <c r="F10" i="3"/>
  <c r="F16" i="3" s="1"/>
  <c r="E10" i="3"/>
  <c r="E16" i="3" s="1"/>
  <c r="H13" i="3"/>
  <c r="H12" i="3"/>
  <c r="G69" i="9" l="1"/>
  <c r="E69" i="9"/>
  <c r="F69" i="9"/>
  <c r="H10" i="3"/>
  <c r="H16" i="3" s="1"/>
  <c r="X10" i="3"/>
  <c r="X16" i="3" s="1"/>
  <c r="X37" i="3" l="1"/>
  <c r="X6" i="3"/>
  <c r="X15" i="3" l="1"/>
  <c r="O85" i="5"/>
  <c r="H37" i="3"/>
  <c r="H6" i="3"/>
  <c r="T37" i="3"/>
  <c r="G37" i="3"/>
  <c r="F37" i="3"/>
  <c r="E37" i="3"/>
  <c r="G6" i="3"/>
  <c r="F6" i="3"/>
  <c r="F15" i="3" s="1"/>
  <c r="E6" i="3"/>
  <c r="V37" i="3"/>
  <c r="U37" i="3"/>
  <c r="S37" i="3"/>
  <c r="R37" i="3"/>
  <c r="Q37" i="3"/>
  <c r="W37" i="3"/>
  <c r="X22" i="3" l="1"/>
  <c r="X20" i="3"/>
  <c r="X26" i="3"/>
  <c r="G15" i="3"/>
  <c r="G22" i="3" s="1"/>
  <c r="H15" i="3"/>
  <c r="P84" i="5"/>
  <c r="P85" i="5" s="1"/>
  <c r="E15" i="3"/>
  <c r="F20" i="3"/>
  <c r="F26" i="3"/>
  <c r="F22" i="3"/>
  <c r="V6" i="3"/>
  <c r="U6" i="3"/>
  <c r="T6" i="3"/>
  <c r="S6" i="3"/>
  <c r="S15" i="3" s="1"/>
  <c r="S22" i="3" s="1"/>
  <c r="S28" i="3" s="1"/>
  <c r="R6" i="3"/>
  <c r="R15" i="3" s="1"/>
  <c r="Q6" i="3"/>
  <c r="Q15" i="3" s="1"/>
  <c r="Q22" i="3" s="1"/>
  <c r="Q23" i="3" s="1"/>
  <c r="W6" i="3"/>
  <c r="H22" i="3" l="1"/>
  <c r="H28" i="3" s="1"/>
  <c r="X28" i="3"/>
  <c r="X29" i="3" s="1"/>
  <c r="H20" i="3"/>
  <c r="X23" i="3"/>
  <c r="V15" i="3"/>
  <c r="V22" i="3" s="1"/>
  <c r="U15" i="3"/>
  <c r="U20" i="3" s="1"/>
  <c r="E20" i="3"/>
  <c r="G26" i="3"/>
  <c r="E26" i="3"/>
  <c r="H26" i="3"/>
  <c r="G23" i="3"/>
  <c r="G20" i="3"/>
  <c r="Q84" i="5"/>
  <c r="Q85" i="5" s="1"/>
  <c r="R84" i="5" s="1"/>
  <c r="R85" i="5" s="1"/>
  <c r="E22" i="3"/>
  <c r="E28" i="3" s="1"/>
  <c r="T15" i="3"/>
  <c r="T22" i="3" s="1"/>
  <c r="G28" i="3"/>
  <c r="F23" i="3"/>
  <c r="F28" i="3"/>
  <c r="Q20" i="3"/>
  <c r="Q26" i="3"/>
  <c r="Q28" i="3"/>
  <c r="Q29" i="3" s="1"/>
  <c r="S23" i="3"/>
  <c r="S20" i="3"/>
  <c r="S26" i="3"/>
  <c r="R22" i="3"/>
  <c r="R20" i="3"/>
  <c r="R26" i="3"/>
  <c r="W15" i="3"/>
  <c r="S29" i="3"/>
  <c r="S34" i="3"/>
  <c r="H23" i="3" l="1"/>
  <c r="U22" i="3"/>
  <c r="U23" i="3" s="1"/>
  <c r="X34" i="3"/>
  <c r="X41" i="3" s="1"/>
  <c r="H29" i="3"/>
  <c r="U26" i="3"/>
  <c r="V20" i="3"/>
  <c r="V26" i="3"/>
  <c r="Q34" i="3"/>
  <c r="Q35" i="3" s="1"/>
  <c r="T26" i="3"/>
  <c r="G34" i="3"/>
  <c r="G41" i="3" s="1"/>
  <c r="H34" i="3"/>
  <c r="S84" i="5"/>
  <c r="S85" i="5" s="1"/>
  <c r="T20" i="3"/>
  <c r="E23" i="3"/>
  <c r="E29" i="3"/>
  <c r="E34" i="3"/>
  <c r="T23" i="3"/>
  <c r="T28" i="3"/>
  <c r="G29" i="3"/>
  <c r="F29" i="3"/>
  <c r="F34" i="3"/>
  <c r="R23" i="3"/>
  <c r="R28" i="3"/>
  <c r="V23" i="3"/>
  <c r="V28" i="3"/>
  <c r="W26" i="3"/>
  <c r="W20" i="3"/>
  <c r="W22" i="3"/>
  <c r="S35" i="3"/>
  <c r="S41" i="3"/>
  <c r="U28" i="3" l="1"/>
  <c r="X35" i="3"/>
  <c r="H35" i="3"/>
  <c r="Q41" i="3"/>
  <c r="Q44" i="9" s="1"/>
  <c r="Q49" i="9" s="1"/>
  <c r="X44" i="9"/>
  <c r="X49" i="9" s="1"/>
  <c r="S44" i="9"/>
  <c r="S49" i="9" s="1"/>
  <c r="X42" i="3"/>
  <c r="G35" i="3"/>
  <c r="H41" i="3"/>
  <c r="G42" i="3"/>
  <c r="T84" i="5"/>
  <c r="T85" i="5" s="1"/>
  <c r="E35" i="3"/>
  <c r="E41" i="3"/>
  <c r="E42" i="3" s="1"/>
  <c r="T34" i="3"/>
  <c r="T29" i="3"/>
  <c r="F35" i="3"/>
  <c r="F41" i="3"/>
  <c r="F42" i="3" s="1"/>
  <c r="U29" i="3"/>
  <c r="U34" i="3"/>
  <c r="R34" i="3"/>
  <c r="R29" i="3"/>
  <c r="W23" i="3"/>
  <c r="W28" i="3"/>
  <c r="V29" i="3"/>
  <c r="V34" i="3"/>
  <c r="S42" i="3"/>
  <c r="S52" i="9" l="1"/>
  <c r="Q52" i="9"/>
  <c r="X52" i="9"/>
  <c r="Q69" i="9"/>
  <c r="Q42" i="3"/>
  <c r="H42" i="3"/>
  <c r="U84" i="5"/>
  <c r="U85" i="5" s="1"/>
  <c r="T35" i="3"/>
  <c r="T41" i="3"/>
  <c r="U41" i="3"/>
  <c r="U35" i="3"/>
  <c r="R35" i="3"/>
  <c r="R41" i="3"/>
  <c r="W34" i="3"/>
  <c r="W29" i="3"/>
  <c r="V41" i="3"/>
  <c r="V35" i="3"/>
  <c r="S69" i="9" l="1"/>
  <c r="U44" i="9"/>
  <c r="U49" i="9" s="1"/>
  <c r="Q105" i="9"/>
  <c r="Q107" i="9" s="1"/>
  <c r="Q114" i="9" s="1"/>
  <c r="T44" i="9"/>
  <c r="T49" i="9" s="1"/>
  <c r="V44" i="9"/>
  <c r="V49" i="9" s="1"/>
  <c r="R44" i="9"/>
  <c r="R49" i="9" s="1"/>
  <c r="T42" i="3"/>
  <c r="R42" i="3"/>
  <c r="V42" i="3"/>
  <c r="U42" i="3"/>
  <c r="V84" i="5"/>
  <c r="V85" i="5" s="1"/>
  <c r="W41" i="3"/>
  <c r="W35" i="3"/>
  <c r="V12" i="4"/>
  <c r="V14" i="4" s="1"/>
  <c r="V27" i="4" s="1"/>
  <c r="U12" i="4"/>
  <c r="U14" i="4" s="1"/>
  <c r="U27" i="4" s="1"/>
  <c r="T12" i="4"/>
  <c r="T14" i="4" s="1"/>
  <c r="T27" i="4" s="1"/>
  <c r="S12" i="4"/>
  <c r="S14" i="4" s="1"/>
  <c r="S27" i="4" s="1"/>
  <c r="R12" i="4"/>
  <c r="R14" i="4" s="1"/>
  <c r="R27" i="4" s="1"/>
  <c r="Q12" i="4"/>
  <c r="Q14" i="4" s="1"/>
  <c r="Q27" i="4" s="1"/>
  <c r="W12" i="4"/>
  <c r="W14" i="4" s="1"/>
  <c r="W27" i="4" s="1"/>
  <c r="U52" i="9" l="1"/>
  <c r="R52" i="9"/>
  <c r="V52" i="9"/>
  <c r="T52" i="9"/>
  <c r="X69" i="9"/>
  <c r="S105" i="9"/>
  <c r="S107" i="9" s="1"/>
  <c r="S114" i="9" s="1"/>
  <c r="W44" i="9"/>
  <c r="W49" i="9" s="1"/>
  <c r="W84" i="5"/>
  <c r="W85" i="5" s="1"/>
  <c r="W42" i="3"/>
  <c r="W52" i="9" l="1"/>
  <c r="X105" i="9"/>
  <c r="X107" i="9" s="1"/>
  <c r="X114" i="9" s="1"/>
  <c r="X84" i="5"/>
  <c r="X85" i="5" s="1"/>
  <c r="Y84" i="5" s="1"/>
  <c r="Y85" i="5" s="1"/>
  <c r="Z84" i="5" s="1"/>
  <c r="Z85" i="5" s="1"/>
  <c r="AA84" i="5" s="1"/>
  <c r="AA85" i="5" s="1"/>
  <c r="V69" i="9"/>
  <c r="R69" i="9"/>
  <c r="U69" i="9"/>
  <c r="T69" i="9"/>
  <c r="H44" i="9"/>
  <c r="H49" i="9" l="1"/>
  <c r="AB84" i="5"/>
  <c r="AB85" i="5" s="1"/>
  <c r="AC84" i="5" s="1"/>
  <c r="AC85" i="5" s="1"/>
  <c r="AD84" i="5" s="1"/>
  <c r="AD85" i="5" s="1"/>
  <c r="V105" i="9"/>
  <c r="V107" i="9" s="1"/>
  <c r="R105" i="9"/>
  <c r="R107" i="9" s="1"/>
  <c r="R114" i="9" s="1"/>
  <c r="T105" i="9"/>
  <c r="T107" i="9" s="1"/>
  <c r="T114" i="9" s="1"/>
  <c r="U105" i="9"/>
  <c r="U107" i="9" s="1"/>
  <c r="X12" i="4"/>
  <c r="X14" i="4" s="1"/>
  <c r="X27" i="4" s="1"/>
  <c r="AE84" i="5" l="1"/>
  <c r="AE85" i="5" s="1"/>
  <c r="AF84" i="5" s="1"/>
  <c r="K84" i="5"/>
  <c r="K85" i="5" s="1"/>
  <c r="L84" i="5" s="1"/>
  <c r="H101" i="9"/>
  <c r="H52" i="9"/>
  <c r="V114" i="9"/>
  <c r="U114" i="9"/>
  <c r="AF85" i="5" l="1"/>
  <c r="AG84" i="5" s="1"/>
  <c r="AH85" i="5" s="1"/>
  <c r="AI84" i="5" s="1"/>
  <c r="AI85" i="5" s="1"/>
  <c r="AJ84" i="5" s="1"/>
  <c r="AJ85" i="5" s="1"/>
  <c r="AK84" i="5" s="1"/>
  <c r="H69" i="9"/>
  <c r="W69" i="9"/>
  <c r="W105" i="9"/>
  <c r="W107" i="9" s="1"/>
  <c r="H105" i="9" l="1"/>
  <c r="H107" i="9" s="1"/>
  <c r="H114" i="9" s="1"/>
  <c r="W114" i="9"/>
  <c r="AK179" i="9" l="1"/>
  <c r="AH179" i="9"/>
  <c r="AH181" i="9"/>
  <c r="AG179" i="9"/>
  <c r="AG181" i="9"/>
  <c r="AG183" i="9" s="1"/>
  <c r="AI181" i="9"/>
  <c r="AJ179" i="9"/>
  <c r="AJ181" i="9"/>
  <c r="AK181" i="9"/>
  <c r="AJ183" i="9" l="1"/>
  <c r="AJ184" i="9" s="1"/>
  <c r="AI183" i="9"/>
  <c r="AH183" i="9"/>
  <c r="AH184" i="9" s="1"/>
  <c r="AJ65" i="9"/>
  <c r="AG184" i="9"/>
  <c r="AG65" i="9"/>
  <c r="AK183" i="9"/>
  <c r="AI179" i="9"/>
  <c r="AI65" i="9" l="1"/>
  <c r="AI69" i="9" s="1"/>
  <c r="AI184" i="9"/>
  <c r="AH65" i="9"/>
  <c r="AK184" i="9"/>
  <c r="AK65" i="9"/>
  <c r="K65" i="9" l="1"/>
  <c r="AK69" i="9"/>
  <c r="AH171" i="9" l="1"/>
  <c r="AH172" i="9" s="1"/>
  <c r="AH58" i="9" s="1"/>
  <c r="AG171" i="9"/>
  <c r="AG169" i="9"/>
  <c r="AJ169" i="9"/>
  <c r="AH63" i="9"/>
  <c r="AH68" i="9"/>
  <c r="AH69" i="9" s="1"/>
  <c r="AK63" i="9"/>
  <c r="AG63" i="9"/>
  <c r="AG68" i="9"/>
  <c r="AG69" i="9" s="1"/>
  <c r="AL171" i="9"/>
  <c r="AL55" i="9"/>
  <c r="AJ171" i="9"/>
  <c r="AJ55" i="9"/>
  <c r="K55" i="9" l="1"/>
  <c r="AJ172" i="9"/>
  <c r="AG172" i="9"/>
  <c r="AG58" i="9" s="1"/>
  <c r="K171" i="9"/>
  <c r="M171" i="9" s="1"/>
  <c r="AI101" i="9"/>
  <c r="AG101" i="9"/>
  <c r="AH101" i="9"/>
  <c r="AL172" i="9"/>
  <c r="AL57" i="9"/>
  <c r="AL91" i="9"/>
  <c r="AJ57" i="9"/>
  <c r="AJ91" i="9"/>
  <c r="AL68" i="9" l="1"/>
  <c r="AL69" i="9" s="1"/>
  <c r="AJ58" i="9"/>
  <c r="AJ63" i="9"/>
  <c r="K57" i="9"/>
  <c r="K91" i="9" s="1"/>
  <c r="AJ68" i="9"/>
  <c r="AJ69" i="9" s="1"/>
  <c r="K172" i="9"/>
  <c r="M172" i="9" s="1"/>
  <c r="AL58" i="9"/>
  <c r="AL63" i="9"/>
  <c r="K58" i="9" l="1"/>
  <c r="AM101" i="9"/>
  <c r="K68" i="9"/>
  <c r="K69" i="9" s="1"/>
  <c r="AL101" i="9"/>
  <c r="AJ101" i="9"/>
  <c r="AK101" i="9"/>
  <c r="K101" i="9" l="1"/>
  <c r="AM10" i="3"/>
  <c r="AM15" i="3" s="1"/>
  <c r="AM16" i="3" l="1"/>
  <c r="AM26" i="3"/>
  <c r="AM20" i="3"/>
  <c r="AM22" i="3"/>
  <c r="AM28" i="3" l="1"/>
  <c r="AM23" i="3"/>
  <c r="AM29" i="3" l="1"/>
  <c r="AM34" i="3"/>
  <c r="AK6" i="5" l="1"/>
  <c r="AK57" i="5" s="1"/>
  <c r="AM41" i="3"/>
  <c r="AM35" i="3"/>
  <c r="AM44" i="9" l="1"/>
  <c r="AM49" i="9" s="1"/>
  <c r="AM132" i="9"/>
  <c r="AK82" i="5"/>
  <c r="AK85" i="5" s="1"/>
  <c r="AL84" i="5" s="1"/>
  <c r="AL85" i="5" s="1"/>
  <c r="AM74" i="9"/>
  <c r="AM90" i="9" s="1"/>
  <c r="AM42" i="3"/>
  <c r="AM63" i="4"/>
  <c r="AL63" i="4"/>
  <c r="AI63" i="4"/>
  <c r="AG63" i="4"/>
  <c r="AC63" i="4"/>
  <c r="AA63" i="4"/>
  <c r="S63" i="4"/>
  <c r="W63" i="4"/>
  <c r="T63" i="4"/>
  <c r="AJ63" i="4"/>
  <c r="AF63" i="4"/>
  <c r="AB63" i="4"/>
  <c r="Y63" i="4"/>
  <c r="R63" i="4"/>
  <c r="V63" i="4"/>
  <c r="AK63" i="4"/>
  <c r="AE63" i="4"/>
  <c r="X63" i="4"/>
  <c r="Q63" i="4"/>
  <c r="U63" i="4"/>
  <c r="AH63" i="4"/>
  <c r="AD63" i="4"/>
  <c r="AM91" i="9" l="1"/>
  <c r="AM134" i="9"/>
  <c r="AM52" i="9"/>
  <c r="K63" i="4"/>
  <c r="F63" i="4"/>
  <c r="H63" i="4"/>
  <c r="J63" i="4"/>
  <c r="I63" i="4"/>
  <c r="E63" i="4"/>
  <c r="G63" i="4"/>
  <c r="M63" i="4" l="1"/>
  <c r="L51" i="9" l="1"/>
  <c r="AN78" i="9" l="1"/>
  <c r="L78" i="9" s="1"/>
  <c r="L170" i="9" l="1"/>
  <c r="N170" i="9" s="1"/>
  <c r="AN56" i="9" l="1"/>
  <c r="L56" i="9" s="1"/>
  <c r="AN29" i="9" l="1"/>
  <c r="L29" i="9" s="1"/>
  <c r="AN79" i="9" l="1"/>
  <c r="L79" i="9" s="1"/>
  <c r="L80" i="9" l="1"/>
  <c r="L81" i="9" l="1"/>
  <c r="L27" i="9" l="1"/>
  <c r="AN76" i="9" l="1"/>
  <c r="L76" i="9" s="1"/>
  <c r="AN30" i="9"/>
  <c r="L30" i="9" s="1"/>
  <c r="AO30" i="9" l="1"/>
  <c r="AN32" i="9"/>
  <c r="AP30" i="9"/>
  <c r="N30" i="9"/>
  <c r="L32" i="9"/>
  <c r="N32" i="9" l="1"/>
  <c r="L33" i="9"/>
  <c r="N33" i="9" s="1"/>
  <c r="AO32" i="9"/>
  <c r="AP32" i="9"/>
  <c r="AN33" i="9"/>
  <c r="AP33" i="9" l="1"/>
  <c r="AO33" i="9"/>
  <c r="L82" i="9" l="1"/>
  <c r="L17" i="3" l="1"/>
  <c r="L153" i="9"/>
  <c r="AN176" i="9" l="1"/>
  <c r="AN10" i="3"/>
  <c r="L10" i="3"/>
  <c r="L151" i="9"/>
  <c r="L176" i="9" l="1"/>
  <c r="N176" i="9" s="1"/>
  <c r="AP176" i="9"/>
  <c r="AO176" i="9"/>
  <c r="L77" i="9" l="1"/>
  <c r="L48" i="9" l="1"/>
  <c r="L150" i="9" l="1"/>
  <c r="L148" i="9"/>
  <c r="L141" i="9"/>
  <c r="L149" i="9"/>
  <c r="L152" i="9"/>
  <c r="L140" i="9" l="1"/>
  <c r="L139" i="9"/>
  <c r="L142" i="9" l="1"/>
  <c r="AN177" i="9"/>
  <c r="AN156" i="9"/>
  <c r="L147" i="9"/>
  <c r="L177" i="9" l="1"/>
  <c r="N177" i="9" s="1"/>
  <c r="AN178" i="9"/>
  <c r="AO156" i="9"/>
  <c r="L156" i="9"/>
  <c r="N156" i="9" s="1"/>
  <c r="AP156" i="9"/>
  <c r="L178" i="9" l="1"/>
  <c r="AP178" i="9"/>
  <c r="AO178" i="9"/>
  <c r="AN179" i="9"/>
  <c r="AN181" i="9"/>
  <c r="L181" i="9" l="1"/>
  <c r="N181" i="9" s="1"/>
  <c r="AO181" i="9"/>
  <c r="AN183" i="9"/>
  <c r="AP181" i="9"/>
  <c r="L179" i="9"/>
  <c r="N179" i="9" s="1"/>
  <c r="N178" i="9"/>
  <c r="AP183" i="9" l="1"/>
  <c r="AN65" i="9"/>
  <c r="L65" i="9" s="1"/>
  <c r="L183" i="9"/>
  <c r="N183" i="9" s="1"/>
  <c r="AN184" i="9"/>
  <c r="AO183" i="9"/>
  <c r="AN60" i="9"/>
  <c r="L60" i="9" l="1"/>
  <c r="AO184" i="9"/>
  <c r="AP184" i="9"/>
  <c r="L167" i="9" l="1"/>
  <c r="N167" i="9" s="1"/>
  <c r="L37" i="3" l="1"/>
  <c r="L46" i="9" l="1"/>
  <c r="L47" i="9"/>
  <c r="AN95" i="9"/>
  <c r="AO95" i="9" l="1"/>
  <c r="AP95" i="9"/>
  <c r="L95" i="9"/>
  <c r="N95" i="9" s="1"/>
  <c r="AN119" i="9"/>
  <c r="L119" i="9" s="1"/>
  <c r="AN37" i="3"/>
  <c r="AN96" i="9"/>
  <c r="AN97" i="9" s="1"/>
  <c r="AN51" i="4"/>
  <c r="L83" i="9"/>
  <c r="AN45" i="9" l="1"/>
  <c r="L45" i="9" s="1"/>
  <c r="L97" i="9"/>
  <c r="N97" i="9" s="1"/>
  <c r="AO97" i="9"/>
  <c r="AP97" i="9"/>
  <c r="AO51" i="4"/>
  <c r="AP51" i="4"/>
  <c r="AP96" i="9"/>
  <c r="L96" i="9"/>
  <c r="N96" i="9" s="1"/>
  <c r="AO96" i="9"/>
  <c r="L51" i="4" l="1"/>
  <c r="N51" i="4" s="1"/>
  <c r="L75" i="9"/>
  <c r="L6" i="3" l="1"/>
  <c r="L16" i="3"/>
  <c r="AO7" i="3" l="1"/>
  <c r="AP7" i="3"/>
  <c r="AN6" i="3"/>
  <c r="L15" i="3"/>
  <c r="N6" i="3"/>
  <c r="AN15" i="3" l="1"/>
  <c r="AO6" i="3"/>
  <c r="AP6" i="3"/>
  <c r="L163" i="9"/>
  <c r="N163" i="9" s="1"/>
  <c r="AP163" i="9"/>
  <c r="AO163" i="9"/>
  <c r="N15" i="3"/>
  <c r="L26" i="3"/>
  <c r="L15" i="9"/>
  <c r="N15" i="9" l="1"/>
  <c r="L16" i="9"/>
  <c r="AP16" i="9"/>
  <c r="AN18" i="9"/>
  <c r="AO16" i="9"/>
  <c r="AO15" i="3"/>
  <c r="AP15" i="3"/>
  <c r="AN26" i="3"/>
  <c r="N16" i="9" l="1"/>
  <c r="L18" i="9"/>
  <c r="AN12" i="4" l="1"/>
  <c r="AN98" i="9"/>
  <c r="L12" i="4" l="1"/>
  <c r="AO98" i="9"/>
  <c r="AP98" i="9"/>
  <c r="L98" i="9"/>
  <c r="N98" i="9" s="1"/>
  <c r="AN99" i="9"/>
  <c r="AO12" i="4"/>
  <c r="AN14" i="4"/>
  <c r="AP12" i="4"/>
  <c r="L14" i="4" l="1"/>
  <c r="N14" i="4" s="1"/>
  <c r="N12" i="4"/>
  <c r="AO99" i="9"/>
  <c r="L99" i="9"/>
  <c r="AN123" i="9"/>
  <c r="AP99" i="9"/>
  <c r="N99" i="9" l="1"/>
  <c r="AP123" i="9"/>
  <c r="AO123" i="9"/>
  <c r="L123" i="9"/>
  <c r="N123" i="9" s="1"/>
  <c r="L84" i="9" l="1"/>
  <c r="L66" i="5"/>
  <c r="L144" i="9" l="1"/>
  <c r="L138" i="9" l="1"/>
  <c r="AN145" i="9"/>
  <c r="L20" i="3" l="1"/>
  <c r="L22" i="3"/>
  <c r="AN20" i="3"/>
  <c r="AN22" i="3"/>
  <c r="L145" i="9"/>
  <c r="N145" i="9" s="1"/>
  <c r="AP145" i="9"/>
  <c r="AO145" i="9"/>
  <c r="AN25" i="4"/>
  <c r="AO22" i="3" l="1"/>
  <c r="AN23" i="3"/>
  <c r="AP22" i="3"/>
  <c r="AN28" i="3"/>
  <c r="L23" i="3"/>
  <c r="L28" i="3"/>
  <c r="N22" i="3"/>
  <c r="AP25" i="4"/>
  <c r="AN27" i="4"/>
  <c r="AO25" i="4"/>
  <c r="AO27" i="4" l="1"/>
  <c r="AP27" i="4"/>
  <c r="AN118" i="9"/>
  <c r="AN29" i="3"/>
  <c r="AP28" i="3"/>
  <c r="AN34" i="3"/>
  <c r="AO28" i="3"/>
  <c r="L25" i="4"/>
  <c r="L29" i="3"/>
  <c r="L34" i="3"/>
  <c r="N28" i="3"/>
  <c r="N34" i="3" l="1"/>
  <c r="L6" i="5"/>
  <c r="L57" i="5" s="1"/>
  <c r="L35" i="3"/>
  <c r="L41" i="3"/>
  <c r="AN41" i="3"/>
  <c r="AN74" i="9"/>
  <c r="AN35" i="3"/>
  <c r="AO34" i="3"/>
  <c r="AP34" i="3"/>
  <c r="L27" i="4"/>
  <c r="N27" i="4" s="1"/>
  <c r="N25" i="4"/>
  <c r="L118" i="9"/>
  <c r="AN120" i="9"/>
  <c r="L74" i="9" l="1"/>
  <c r="AN90" i="9"/>
  <c r="AO120" i="9"/>
  <c r="AP120" i="9"/>
  <c r="L120" i="9"/>
  <c r="AO41" i="3"/>
  <c r="AN44" i="9"/>
  <c r="AN42" i="3"/>
  <c r="AN132" i="9"/>
  <c r="AP41" i="3"/>
  <c r="L164" i="9"/>
  <c r="N164" i="9" s="1"/>
  <c r="AN165" i="9"/>
  <c r="L42" i="3"/>
  <c r="N41" i="3"/>
  <c r="N120" i="9" l="1"/>
  <c r="AN166" i="9"/>
  <c r="L165" i="9"/>
  <c r="AP165" i="9"/>
  <c r="AN168" i="9"/>
  <c r="AO165" i="9"/>
  <c r="AO90" i="9"/>
  <c r="L90" i="9"/>
  <c r="AP90" i="9"/>
  <c r="L132" i="9"/>
  <c r="AO132" i="9"/>
  <c r="AP132" i="9"/>
  <c r="L44" i="9"/>
  <c r="L49" i="9" s="1"/>
  <c r="AN49" i="9"/>
  <c r="AP49" i="9" l="1"/>
  <c r="AO49" i="9"/>
  <c r="AN52" i="9"/>
  <c r="N90" i="9"/>
  <c r="L52" i="9"/>
  <c r="AN171" i="9"/>
  <c r="L168" i="9"/>
  <c r="AN169" i="9"/>
  <c r="AO168" i="9"/>
  <c r="AN55" i="9"/>
  <c r="AP168" i="9"/>
  <c r="L166" i="9"/>
  <c r="N166" i="9" s="1"/>
  <c r="N165" i="9"/>
  <c r="N132" i="9"/>
  <c r="L171" i="9" l="1"/>
  <c r="AN172" i="9"/>
  <c r="AP171" i="9"/>
  <c r="AO171" i="9"/>
  <c r="AN57" i="9"/>
  <c r="AN63" i="9" s="1"/>
  <c r="L55" i="9"/>
  <c r="AN91" i="9"/>
  <c r="AO52" i="9"/>
  <c r="AP52" i="9"/>
  <c r="AO169" i="9"/>
  <c r="AP169" i="9"/>
  <c r="N168" i="9"/>
  <c r="L169" i="9"/>
  <c r="N169" i="9" l="1"/>
  <c r="AN66" i="9"/>
  <c r="L61" i="9"/>
  <c r="L57" i="9"/>
  <c r="L91" i="9" s="1"/>
  <c r="AN68" i="9"/>
  <c r="AN101" i="9"/>
  <c r="AN58" i="9"/>
  <c r="AO172" i="9"/>
  <c r="AP172" i="9"/>
  <c r="N171" i="9"/>
  <c r="L172" i="9"/>
  <c r="N172" i="9" s="1"/>
  <c r="L80" i="5"/>
  <c r="L82" i="5" s="1"/>
  <c r="L85" i="5" s="1"/>
  <c r="L68" i="9" l="1"/>
  <c r="L69" i="9" s="1"/>
  <c r="AN69" i="9"/>
  <c r="L58" i="9"/>
  <c r="AN61" i="4"/>
  <c r="AP101" i="9" l="1"/>
  <c r="L101" i="9"/>
  <c r="AO101" i="9"/>
  <c r="AN122" i="9"/>
  <c r="AO61" i="4"/>
  <c r="AP61" i="4"/>
  <c r="L61" i="4"/>
  <c r="AN41" i="4"/>
  <c r="AN63" i="4" s="1"/>
  <c r="AP63" i="4" l="1"/>
  <c r="AO63" i="4"/>
  <c r="AO41" i="4"/>
  <c r="AP41" i="4"/>
  <c r="L122" i="9"/>
  <c r="N122" i="9" s="1"/>
  <c r="AN133" i="9"/>
  <c r="AN124" i="9"/>
  <c r="AN125" i="9" s="1"/>
  <c r="AN128" i="9" s="1"/>
  <c r="AO122" i="9"/>
  <c r="AP122" i="9"/>
  <c r="N61" i="4"/>
  <c r="L133" i="9" l="1"/>
  <c r="AN134" i="9"/>
  <c r="L41" i="4"/>
  <c r="L124" i="9"/>
  <c r="N124" i="9" s="1"/>
  <c r="AO124" i="9"/>
  <c r="AP124" i="9"/>
  <c r="N41" i="4" l="1"/>
  <c r="L63" i="4"/>
  <c r="N63" i="4" s="1"/>
  <c r="AP134" i="9"/>
  <c r="AO134" i="9"/>
  <c r="AP125" i="9"/>
  <c r="AO125" i="9"/>
  <c r="L125" i="9"/>
  <c r="AN127" i="9"/>
  <c r="N133" i="9"/>
  <c r="L134" i="9"/>
  <c r="N125" i="9" l="1"/>
  <c r="L127" i="9"/>
  <c r="AO128" i="9"/>
  <c r="AP128" i="9"/>
  <c r="AP127" i="9"/>
  <c r="AO127" i="9"/>
  <c r="N134" i="9"/>
  <c r="N12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Molina de Moraes</author>
  </authors>
  <commentList>
    <comment ref="B2" authorId="0" shapeId="0" xr:uid="{06CC0501-C421-44F4-916D-6D6C50F7D677}">
      <text>
        <r>
          <rPr>
            <b/>
            <sz val="9"/>
            <color indexed="81"/>
            <rFont val="Segoe UI"/>
            <family val="2"/>
          </rPr>
          <t xml:space="preserve">Favor atentar que algumas linhas foram adicionadas e substituidas com o objetivo de deixar o BP alinhado com as Demonstrações Financeiras da Companhia. </t>
        </r>
        <r>
          <rPr>
            <sz val="9"/>
            <color indexed="81"/>
            <rFont val="Segoe UI"/>
            <family val="2"/>
          </rPr>
          <t xml:space="preserve">
</t>
        </r>
      </text>
    </comment>
    <comment ref="C2" authorId="0" shapeId="0" xr:uid="{672CFB96-7EBB-44CA-88B2-D8BA37C3950A}">
      <text>
        <r>
          <rPr>
            <b/>
            <sz val="9"/>
            <color indexed="81"/>
            <rFont val="Segoe UI"/>
            <family val="2"/>
          </rPr>
          <t>Please note that some lines have been added and replaced in order to align the Balance Sheet with the Company's Financial 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Julio Molina de Moraes</author>
  </authors>
  <commentList>
    <comment ref="B2" authorId="0" shapeId="0" xr:uid="{6A433B99-FCFE-459D-BF35-2DF1025EB1D4}">
      <text>
        <r>
          <rPr>
            <b/>
            <sz val="9"/>
            <color indexed="81"/>
            <rFont val="Segoe UI"/>
            <family val="2"/>
          </rPr>
          <t xml:space="preserve">Favor atentar que algumas linhas foram adicionadas e substituidas com o objetivo de deixar o DFC alinhado com as Demonstrações Financeiras da Companhia. </t>
        </r>
      </text>
    </comment>
    <comment ref="C2" authorId="0" shapeId="0" xr:uid="{0C60E8DB-C8FA-41D4-A15B-75306463568C}">
      <text>
        <r>
          <rPr>
            <b/>
            <sz val="9"/>
            <color indexed="81"/>
            <rFont val="Segoe UI"/>
            <family val="2"/>
          </rPr>
          <t>Please note that some lines have been added and replaced in order to align the cash Flow Statement with the Company's Financial Statements.</t>
        </r>
      </text>
    </comment>
    <comment ref="B10" authorId="0" shapeId="0" xr:uid="{88E7F597-8377-487E-9BD2-277D63AFBFCA}">
      <text>
        <r>
          <rPr>
            <b/>
            <sz val="9"/>
            <color indexed="81"/>
            <rFont val="Segoe UI"/>
            <family val="2"/>
          </rPr>
          <t>Receita de Venda de Ativos - Custo na baixa do imobilizado</t>
        </r>
      </text>
    </comment>
    <comment ref="C10" authorId="0" shapeId="0" xr:uid="{22926849-1ECC-47C4-9DEF-B7A58A82CE23}">
      <text>
        <r>
          <rPr>
            <b/>
            <sz val="9"/>
            <color indexed="81"/>
            <rFont val="Segoe UI"/>
            <family val="2"/>
          </rPr>
          <t>Used Asset Sale Revenue - Cost of Disposal of Used Assets</t>
        </r>
      </text>
    </comment>
    <comment ref="B11" authorId="0" shapeId="0" xr:uid="{DAE91955-67DC-4BC3-BC0E-AAF2B4E04B78}">
      <text>
        <r>
          <rPr>
            <b/>
            <sz val="9"/>
            <color indexed="81"/>
            <rFont val="Segoe UI"/>
            <family val="2"/>
          </rPr>
          <t>Linha descontinuada e substitúida pela linha de Ganho Residual na baixa de ativos desmobilizados e pela linha de Recebimento pela venda de imobilizado</t>
        </r>
      </text>
    </comment>
    <comment ref="C11" authorId="0" shapeId="0" xr:uid="{CF6DB44B-3346-4721-B911-86C604011C1A}">
      <text>
        <r>
          <rPr>
            <b/>
            <sz val="9"/>
            <color indexed="81"/>
            <rFont val="Segoe UI"/>
            <family val="2"/>
          </rPr>
          <t>Discontinued line replaced by the Residual Profit line for the Cost of used asset sale and by the Proceeds from the sale of Used Asset Sale.</t>
        </r>
      </text>
    </comment>
  </commentList>
</comments>
</file>

<file path=xl/sharedStrings.xml><?xml version="1.0" encoding="utf-8"?>
<sst xmlns="http://schemas.openxmlformats.org/spreadsheetml/2006/main" count="1063" uniqueCount="535">
  <si>
    <t>Em milhares de R$</t>
  </si>
  <si>
    <t>1T21</t>
  </si>
  <si>
    <t>2T21</t>
  </si>
  <si>
    <t>CAPEX</t>
  </si>
  <si>
    <t>% receita líquida</t>
  </si>
  <si>
    <t>Dívida líquida</t>
  </si>
  <si>
    <t>ROIC Ajustado</t>
  </si>
  <si>
    <t>Demonstrações de Resultados</t>
  </si>
  <si>
    <t>Receita bruta de aluguel e serviços</t>
  </si>
  <si>
    <t>Receita bruta da venda de ativos</t>
  </si>
  <si>
    <t>PIS/COFINS</t>
  </si>
  <si>
    <t>ISS</t>
  </si>
  <si>
    <t>( − ) Custo dos serviços prestados</t>
  </si>
  <si>
    <t>( − ) Despesas operacionais</t>
  </si>
  <si>
    <t>Lucro Líquido</t>
  </si>
  <si>
    <t>Balanços Patrimoniais</t>
  </si>
  <si>
    <t>Caixa e equivalentes de caixa</t>
  </si>
  <si>
    <t>Contas a receber de clientes</t>
  </si>
  <si>
    <t>Estoques</t>
  </si>
  <si>
    <t>Tributos a recuperar</t>
  </si>
  <si>
    <t>Outros ativos</t>
  </si>
  <si>
    <t>Ativo circulante</t>
  </si>
  <si>
    <t xml:space="preserve">Imobilizado </t>
  </si>
  <si>
    <t>Intangível</t>
  </si>
  <si>
    <t>Ativo não circulante</t>
  </si>
  <si>
    <t>Total do ativo</t>
  </si>
  <si>
    <t>Fornecedores</t>
  </si>
  <si>
    <t>Empréstimos e financiamentos</t>
  </si>
  <si>
    <t>Arrendamento por direito de uso</t>
  </si>
  <si>
    <t>Obrigações sociais e trabalhistas</t>
  </si>
  <si>
    <t>Obrigações tributárias</t>
  </si>
  <si>
    <t>Dividendos a pagar</t>
  </si>
  <si>
    <t>Outras contas a pagar</t>
  </si>
  <si>
    <t>Passivo circulante</t>
  </si>
  <si>
    <t>Parcelamentos de tributos</t>
  </si>
  <si>
    <t>Tributos diferidos</t>
  </si>
  <si>
    <t>Outros passivos</t>
  </si>
  <si>
    <t>Passivo não circulante</t>
  </si>
  <si>
    <t>Reserva de lucros</t>
  </si>
  <si>
    <t>Patrimônio líquido</t>
  </si>
  <si>
    <t>Total do passivo e patrimônio líquido</t>
  </si>
  <si>
    <t>Demonstrações do Fluxo de Caixa</t>
  </si>
  <si>
    <t>Lucro antes do imposto de renda e da contribuição social</t>
  </si>
  <si>
    <t>Ajustado por</t>
  </si>
  <si>
    <t>Depreciação e amortização</t>
  </si>
  <si>
    <t>Custo na baixa de ativos desmobilizados</t>
  </si>
  <si>
    <t>Provisão de contas a pagar</t>
  </si>
  <si>
    <t>Outras movimentações</t>
  </si>
  <si>
    <t>Perda no recebimento de crédito</t>
  </si>
  <si>
    <t xml:space="preserve">Encargos sobre arrendamento direto de uso </t>
  </si>
  <si>
    <t>Juros sobre empréstimos e financiamentos</t>
  </si>
  <si>
    <t>Variações nos ativos e passivos</t>
  </si>
  <si>
    <t>Impostos a recuperar</t>
  </si>
  <si>
    <t>Obrigações trabalhistas e previdenciárias</t>
  </si>
  <si>
    <t>Juros sobre financiamentos</t>
  </si>
  <si>
    <t>Aquisição de ativos imobilizados</t>
  </si>
  <si>
    <t>Recebimento pela venda de imobilizado</t>
  </si>
  <si>
    <t>Imposto de renda e contribuição social pagos no exercício</t>
  </si>
  <si>
    <t>Caixa líquido proveniente das atividades operacionais</t>
  </si>
  <si>
    <t>Fluxo de Caixa das Atividades de Investimento</t>
  </si>
  <si>
    <t>Aquisição de ativos intangíveis</t>
  </si>
  <si>
    <t>Caixa líquido aplicado nas atividades de investimento</t>
  </si>
  <si>
    <t>Fluxo de Caixa das Atividades de Financiamento</t>
  </si>
  <si>
    <t>Captação de empréstimos e financiamentos</t>
  </si>
  <si>
    <t>Captação de parcelamentos</t>
  </si>
  <si>
    <t>Aumento de capital</t>
  </si>
  <si>
    <t>Pagamento de empréstimos e financiamentos</t>
  </si>
  <si>
    <t>Pagamento de arrendamento de direito de uso</t>
  </si>
  <si>
    <t>Pagamento de parcelamentos</t>
  </si>
  <si>
    <t>Gasto na emissão de ações</t>
  </si>
  <si>
    <t>Caixa líquido gerado pelas atividades de financiamento</t>
  </si>
  <si>
    <t>Aumento líquido de caixa e equivalentes de caixa</t>
  </si>
  <si>
    <t>Caixa e equivalentes de caixa no início do exercício</t>
  </si>
  <si>
    <t>Caixa e equivalentes de caixa no fim do exercício</t>
  </si>
  <si>
    <t>Indicadores Financeiros</t>
  </si>
  <si>
    <t>Dívida Líquida</t>
  </si>
  <si>
    <t>Dívida bruta</t>
  </si>
  <si>
    <t>Imposto de renda corrente</t>
  </si>
  <si>
    <t>NOPAT</t>
  </si>
  <si>
    <t>Capital de giro</t>
  </si>
  <si>
    <t>Ativo imobilizado bruto / 2</t>
  </si>
  <si>
    <t>Capital investido</t>
  </si>
  <si>
    <t xml:space="preserve"> </t>
  </si>
  <si>
    <t>1T20</t>
  </si>
  <si>
    <t>2T20</t>
  </si>
  <si>
    <t>Caixa líq. das atividades operacionais</t>
  </si>
  <si>
    <t>Crédito de PIS/COFINS na aquis. de imob.</t>
  </si>
  <si>
    <t>Pgto. de arrendamento de direito de uso</t>
  </si>
  <si>
    <t>Receitas financeiras</t>
  </si>
  <si>
    <t>Despesas antecipadas do IPO</t>
  </si>
  <si>
    <t>Recebimento pela venda de imobilizado*</t>
  </si>
  <si>
    <t>* A partir do 2T21 o "Recebimento pela venda de imobilizado" passou a ser considerado como parte das atividades operacionais, não mais como parte das atividades de investimento</t>
  </si>
  <si>
    <t>3T20</t>
  </si>
  <si>
    <t>4T20</t>
  </si>
  <si>
    <t>3T21</t>
  </si>
  <si>
    <t>Partes Relacionadas</t>
  </si>
  <si>
    <t>Reserva de Capital</t>
  </si>
  <si>
    <t>Custo na baixa de ativos sinistrados e desmobilizados</t>
  </si>
  <si>
    <t>Resultado não recorrente</t>
  </si>
  <si>
    <t>Imposto de renda e cont. social</t>
  </si>
  <si>
    <t>Despesas financeiras</t>
  </si>
  <si>
    <t>AH YoY</t>
  </si>
  <si>
    <t>AH QoQ</t>
  </si>
  <si>
    <t>Insumos, peças e serviços de manutenção</t>
  </si>
  <si>
    <t>Combustível e custos de transporte</t>
  </si>
  <si>
    <t>Gratificação extraordinária</t>
  </si>
  <si>
    <t>Custos dos serviços prestados</t>
  </si>
  <si>
    <t>Despesas operacionais</t>
  </si>
  <si>
    <t>Despesas por Natureza</t>
  </si>
  <si>
    <t>FROTA DE LOCAÇÃO</t>
  </si>
  <si>
    <t>CAPEX Orgânico</t>
  </si>
  <si>
    <t>Aquisição de empresas</t>
  </si>
  <si>
    <t>CAPEX Total</t>
  </si>
  <si>
    <t>Receita operacional bruta</t>
  </si>
  <si>
    <t>( − ) Impostos sobre vendas</t>
  </si>
  <si>
    <t>Receita operacional líquida</t>
  </si>
  <si>
    <t>Lucro bruto</t>
  </si>
  <si>
    <t>Lucro operacional</t>
  </si>
  <si>
    <t>( + ) Receitas financeiras</t>
  </si>
  <si>
    <t>( − ) Depesas financeiras</t>
  </si>
  <si>
    <t>Lucro antes do IRCS</t>
  </si>
  <si>
    <t>( − ) Imposto de renda e contribuição social</t>
  </si>
  <si>
    <t>Diferido</t>
  </si>
  <si>
    <t>Corrente</t>
  </si>
  <si>
    <t>Lucro líquido</t>
  </si>
  <si>
    <t>Fluxo de Caixa Operacional Gerencial</t>
  </si>
  <si>
    <t>Efeito caixa de despesas não recorrentes</t>
  </si>
  <si>
    <t>Fluxo de caixa operacional gerencial</t>
  </si>
  <si>
    <t>Dívida financeira de curto prazo</t>
  </si>
  <si>
    <t>Dívida financeira de longo prazo</t>
  </si>
  <si>
    <t>Despesa com pessoal</t>
  </si>
  <si>
    <t>Despesa com assessores (*)</t>
  </si>
  <si>
    <t>Despesas administrativas e comerciais</t>
  </si>
  <si>
    <t>Provisão de crédito de liquidação duvidosa</t>
  </si>
  <si>
    <t>Outras receitas e despesas</t>
  </si>
  <si>
    <t>Custo com pessoal</t>
  </si>
  <si>
    <t>Custo na venda de ativos</t>
  </si>
  <si>
    <t>Outros custos</t>
  </si>
  <si>
    <t>4T21</t>
  </si>
  <si>
    <t>Contas a pagar por aquisição de empresas</t>
  </si>
  <si>
    <t>x</t>
  </si>
  <si>
    <t>ICMS</t>
  </si>
  <si>
    <t>Outras receitas não operacionais</t>
  </si>
  <si>
    <t>Capital social</t>
  </si>
  <si>
    <t>Partes relacionadas</t>
  </si>
  <si>
    <t>Resultado da venda de ativos</t>
  </si>
  <si>
    <t># Equipamentos</t>
  </si>
  <si>
    <t>Capex mensal total</t>
  </si>
  <si>
    <t>% receita líquida de locação</t>
  </si>
  <si>
    <t>Captação de Parcelamentos</t>
  </si>
  <si>
    <t>(*) Incluí a despesa de R$ 1.572 referente ao assessor financeiro na aquisição de controlada.</t>
  </si>
  <si>
    <t>1T22</t>
  </si>
  <si>
    <t>Juros sobre capital próprio a pagar</t>
  </si>
  <si>
    <t>Gastos com emissão de ações</t>
  </si>
  <si>
    <t>Desconto financeiro obtidos</t>
  </si>
  <si>
    <t>Aplicação Financeira</t>
  </si>
  <si>
    <t>Receita líquida de aluguel e serviços</t>
  </si>
  <si>
    <t>Income Statement</t>
  </si>
  <si>
    <t>In thousands of Brazilian reais (R$)</t>
  </si>
  <si>
    <t>Gross operating revenue</t>
  </si>
  <si>
    <t>Gross revenue from rental and services</t>
  </si>
  <si>
    <t>Gross revenue from sale of assets</t>
  </si>
  <si>
    <t>( − ) Sales tax</t>
  </si>
  <si>
    <t>Net operating revenue</t>
  </si>
  <si>
    <t>Net revenue from rental and services</t>
  </si>
  <si>
    <t>Net revenue from sale of assets</t>
  </si>
  <si>
    <t>( − ) Cost of services</t>
  </si>
  <si>
    <t>% net revenue</t>
  </si>
  <si>
    <t>Gross profit</t>
  </si>
  <si>
    <t>( − ) Operating expenses</t>
  </si>
  <si>
    <t>Operational Profit</t>
  </si>
  <si>
    <t>( + ) Financial income</t>
  </si>
  <si>
    <t>( − ) Financial expenses</t>
  </si>
  <si>
    <t>Profit before IRCS</t>
  </si>
  <si>
    <t>( − ) Income tax &amp; social contribution</t>
  </si>
  <si>
    <t xml:space="preserve">Deferred </t>
  </si>
  <si>
    <t xml:space="preserve">Current </t>
  </si>
  <si>
    <t>Net profit</t>
  </si>
  <si>
    <t>2T22</t>
  </si>
  <si>
    <t>Ações em tesouraria</t>
  </si>
  <si>
    <t>Balance Sheet</t>
  </si>
  <si>
    <t>Cash and cash equivalents</t>
  </si>
  <si>
    <t>Inventories</t>
  </si>
  <si>
    <t>Recoverable taxes</t>
  </si>
  <si>
    <t>Other assets</t>
  </si>
  <si>
    <t>Total current assets</t>
  </si>
  <si>
    <t>Net Property, plant and equipment</t>
  </si>
  <si>
    <t>Intangible</t>
  </si>
  <si>
    <t>Noncurrent assets</t>
  </si>
  <si>
    <t>Total Assets</t>
  </si>
  <si>
    <t>Accounts payable</t>
  </si>
  <si>
    <t>Borrowings and financing</t>
  </si>
  <si>
    <t>Lease payable for right of use</t>
  </si>
  <si>
    <t>Social and labor obligations</t>
  </si>
  <si>
    <t>Taxes payable</t>
  </si>
  <si>
    <t>Tax installments</t>
  </si>
  <si>
    <t>Dividends payable</t>
  </si>
  <si>
    <t>Interest on shareholders' equity payable</t>
  </si>
  <si>
    <t>Related Parties</t>
  </si>
  <si>
    <t>Accounts payable for M&amp;A´s</t>
  </si>
  <si>
    <t>Other payables</t>
  </si>
  <si>
    <t>Current liabilities</t>
  </si>
  <si>
    <t>Lease payables for right of use</t>
  </si>
  <si>
    <t>Taxes in instalments</t>
  </si>
  <si>
    <t>Deferred taxes</t>
  </si>
  <si>
    <t>Other noncurrent liabilities</t>
  </si>
  <si>
    <t>Noncurrent liabilities</t>
  </si>
  <si>
    <t>Capital and reserves</t>
  </si>
  <si>
    <t>Equity issuance expenditures</t>
  </si>
  <si>
    <t>Capital Reserve</t>
  </si>
  <si>
    <t>Earnings reserves</t>
  </si>
  <si>
    <t>Shareholder's equity</t>
  </si>
  <si>
    <t>Total liabilities and shareholders' equity</t>
  </si>
  <si>
    <t>Treasury shares</t>
  </si>
  <si>
    <t>Cash Flow Statement</t>
  </si>
  <si>
    <t>Profit before income tax and social contribution</t>
  </si>
  <si>
    <t>Adjusted by</t>
  </si>
  <si>
    <t>Depreciation and amortization</t>
  </si>
  <si>
    <t>Decommissioned assets' write-off costs</t>
  </si>
  <si>
    <t xml:space="preserve">
Provision of accounts payable</t>
  </si>
  <si>
    <t>Other changes</t>
  </si>
  <si>
    <t>Expected credit losses</t>
  </si>
  <si>
    <t>Provision for doubtful debts</t>
  </si>
  <si>
    <t>Monetary correction on accounts payable</t>
  </si>
  <si>
    <t>Financial discounts obtained</t>
  </si>
  <si>
    <t>Charges on leased right-of-use assets</t>
  </si>
  <si>
    <t>Interest on borrowings and financing</t>
  </si>
  <si>
    <t>Changes in assets and liabilities:</t>
  </si>
  <si>
    <t>Trade receivables</t>
  </si>
  <si>
    <t>Payroll and related taxes</t>
  </si>
  <si>
    <t>Other liabilities</t>
  </si>
  <si>
    <t>Interest on financing</t>
  </si>
  <si>
    <t>Interest on leased right-of-use assets</t>
  </si>
  <si>
    <t>Interest on taxes in instalments</t>
  </si>
  <si>
    <t>Purchase of property, plant and equipment</t>
  </si>
  <si>
    <t>Proceeds from the sale of property, plant and equipment*</t>
  </si>
  <si>
    <t>Income tax and social contribution paid in the year</t>
  </si>
  <si>
    <t>Net cash generated from operating activities</t>
  </si>
  <si>
    <t>Cash flow from investment activities</t>
  </si>
  <si>
    <t>Financial investments</t>
  </si>
  <si>
    <t>Purchase of intangible assets</t>
  </si>
  <si>
    <t>Corporate Acquisition</t>
  </si>
  <si>
    <t>Cash Assumption</t>
  </si>
  <si>
    <t>Net cash generated from investing activities</t>
  </si>
  <si>
    <t>Cash flow from financing activities</t>
  </si>
  <si>
    <t>Payment of tax installments</t>
  </si>
  <si>
    <t>Capital increase</t>
  </si>
  <si>
    <t>Repayment of borrowings and financing</t>
  </si>
  <si>
    <t>Payment of right-of-use leases</t>
  </si>
  <si>
    <t>Installment payments</t>
  </si>
  <si>
    <t>Share issuance costs</t>
  </si>
  <si>
    <t>Net cash provided by financing activities</t>
  </si>
  <si>
    <t>Net increase in cash and cash equivalents</t>
  </si>
  <si>
    <t>Cash and cash equivalents BoP</t>
  </si>
  <si>
    <t>Cash and cash equivalents EoP</t>
  </si>
  <si>
    <t>* Since 2Q21 the "Proceeds from the sale of property, plant and equipment" is considered to be part of the operational activities, not as part of investing activities</t>
  </si>
  <si>
    <t>Financial Indicators</t>
  </si>
  <si>
    <t>RENTAL FLEET</t>
  </si>
  <si>
    <t># Equipment</t>
  </si>
  <si>
    <t>Value of the rental fleet, average for the period*</t>
  </si>
  <si>
    <t>*Includes implements and PIS/COFINS credit arising from the purchase of fixed assets</t>
  </si>
  <si>
    <t>Acquisition of fixed assets</t>
  </si>
  <si>
    <t>Enterprise acquisition</t>
  </si>
  <si>
    <t xml:space="preserve">Total CAPEX </t>
  </si>
  <si>
    <t>Monthly TOTAL CAPEX</t>
  </si>
  <si>
    <t>Income tax and social contribution</t>
  </si>
  <si>
    <t>Financial expenses</t>
  </si>
  <si>
    <t>Financial income</t>
  </si>
  <si>
    <t>Depreciation and Amortization</t>
  </si>
  <si>
    <t>Result of the sale of assets</t>
  </si>
  <si>
    <t>Non-recurring result</t>
  </si>
  <si>
    <t xml:space="preserve">Managerial operating cash flow </t>
  </si>
  <si>
    <t>Net cash from operations activities</t>
  </si>
  <si>
    <t>PIS/COFINS credits generated on the purchase of fixed assets</t>
  </si>
  <si>
    <t>Collection of installments</t>
  </si>
  <si>
    <t xml:space="preserve">
Disbursements with non-financial debt of subsidiaries</t>
  </si>
  <si>
    <t>Net Debt</t>
  </si>
  <si>
    <t>Gross Debt</t>
  </si>
  <si>
    <t xml:space="preserve">Adjusted ROIC </t>
  </si>
  <si>
    <t>Working capital</t>
  </si>
  <si>
    <t>Gross fixed assets / 2</t>
  </si>
  <si>
    <t>Invested Capital</t>
  </si>
  <si>
    <t>Expenses by Nature</t>
  </si>
  <si>
    <t>Personnel expenses</t>
  </si>
  <si>
    <t>Supplies, parts and maintenance services</t>
  </si>
  <si>
    <t>Cost on sale or disposal of fixed assets</t>
  </si>
  <si>
    <t>Others</t>
  </si>
  <si>
    <t>Cost of Services</t>
  </si>
  <si>
    <t>Operational expenses</t>
  </si>
  <si>
    <t>(*) Includes the expense of R$1,572 referring to the financial advisor in the acquisition of the subsidiary.</t>
  </si>
  <si>
    <t>Bonificações em mercadorias</t>
  </si>
  <si>
    <t>Plano de pagamento baseado em ações</t>
  </si>
  <si>
    <t>Pgto. de dívidas não financeiras em M&amp;As</t>
  </si>
  <si>
    <t>EBITDA</t>
  </si>
  <si>
    <t>Accounts payable for M&amp;A's</t>
  </si>
  <si>
    <t>Share-based payment plan</t>
  </si>
  <si>
    <t xml:space="preserve">Organic CAPEX </t>
  </si>
  <si>
    <t>3T22</t>
  </si>
  <si>
    <t>1Q20</t>
  </si>
  <si>
    <t>2Q20</t>
  </si>
  <si>
    <t>3Q20</t>
  </si>
  <si>
    <t>4Q20</t>
  </si>
  <si>
    <t>1Q21</t>
  </si>
  <si>
    <t>2Q21</t>
  </si>
  <si>
    <t>3Q21</t>
  </si>
  <si>
    <t>4Q21</t>
  </si>
  <si>
    <t>1Q22</t>
  </si>
  <si>
    <t>2Q22</t>
  </si>
  <si>
    <t>3Q22</t>
  </si>
  <si>
    <t>4Q22</t>
  </si>
  <si>
    <t>4T22</t>
  </si>
  <si>
    <t>Fornecedores convênio</t>
  </si>
  <si>
    <t>Other operating expenses (income)</t>
  </si>
  <si>
    <t>Capital investido médio</t>
  </si>
  <si>
    <t>Average invested capital</t>
  </si>
  <si>
    <t>Other expenses (income), net</t>
  </si>
  <si>
    <t>Suppliers under agreement</t>
  </si>
  <si>
    <t>Accounts receivable</t>
  </si>
  <si>
    <t>Cost of disposal of damaged and decommissioned assets</t>
  </si>
  <si>
    <t>Other non operational income</t>
  </si>
  <si>
    <t>Outras despesas (receitas) operacionais</t>
  </si>
  <si>
    <t>Treasury stocks</t>
  </si>
  <si>
    <t>Value of rental fleet, end of period*</t>
  </si>
  <si>
    <t>% net revenue from rental and services</t>
  </si>
  <si>
    <t>Proceeds from sales of property, plant and equipment</t>
  </si>
  <si>
    <t>Prepaid IPO expenses</t>
  </si>
  <si>
    <t>Cash Effect from non-recurring expenses</t>
  </si>
  <si>
    <t>Short-term debt</t>
  </si>
  <si>
    <t>Long-term debt</t>
  </si>
  <si>
    <t>Shareholders' equity</t>
  </si>
  <si>
    <t>Current income tax</t>
  </si>
  <si>
    <t>Fuel and transportation costs</t>
  </si>
  <si>
    <t>Extraordinary bonus</t>
  </si>
  <si>
    <t>Expenses with advisors (*)</t>
  </si>
  <si>
    <t>Administrative and commercial expenses</t>
  </si>
  <si>
    <t>1Q23</t>
  </si>
  <si>
    <t>1T23</t>
  </si>
  <si>
    <t>Operações não-caixa de aquisição de Imobilizado</t>
  </si>
  <si>
    <t>Atualização monetária sobre contas a pagar</t>
  </si>
  <si>
    <t>Juros e ajuste a valor presente fornecedores convenio</t>
  </si>
  <si>
    <t>Provisão para riscos cíveis, tributários e trabalhistas</t>
  </si>
  <si>
    <t>Juros pagos fornecedores convenio</t>
  </si>
  <si>
    <t>Juros pagos Fornecedores convenio</t>
  </si>
  <si>
    <t>-</t>
  </si>
  <si>
    <t>Interest on suppliers under agreement</t>
  </si>
  <si>
    <t>Accrued interest on suppliers under agreement</t>
  </si>
  <si>
    <t>Provision for civil, tax and labor risks</t>
  </si>
  <si>
    <t>Depósitos judiciais</t>
  </si>
  <si>
    <t>Court deposits</t>
  </si>
  <si>
    <t>2Q23</t>
  </si>
  <si>
    <t>2T23</t>
  </si>
  <si>
    <t>Produtividade</t>
  </si>
  <si>
    <t>Non-cash operations of aqcquisition of fixed assets</t>
  </si>
  <si>
    <t>Rental and Services Gross Revenue</t>
  </si>
  <si>
    <t>Productivity</t>
  </si>
  <si>
    <t>3Q23</t>
  </si>
  <si>
    <t>3T23</t>
  </si>
  <si>
    <t>Aplicações Financeiras</t>
  </si>
  <si>
    <t>Financial Investments</t>
  </si>
  <si>
    <t>Accounts payable due to company acquisitions</t>
  </si>
  <si>
    <t>Locação de softwares</t>
  </si>
  <si>
    <t>Software rentals</t>
  </si>
  <si>
    <t>4Q23</t>
  </si>
  <si>
    <t>4T23</t>
  </si>
  <si>
    <t>Receita líquida da venda de ativos</t>
  </si>
  <si>
    <t>Rendimento de aplicações financeiras</t>
  </si>
  <si>
    <t>Pagamento de dividendos e juros sobre capital</t>
  </si>
  <si>
    <t>Payment of dividends and interest on equity</t>
  </si>
  <si>
    <t>Caixa e aplicações financeiras</t>
  </si>
  <si>
    <t>ROE Contábil</t>
  </si>
  <si>
    <t>ROIC Contábil</t>
  </si>
  <si>
    <t>EBIT</t>
  </si>
  <si>
    <t>Patrimônio Líquido</t>
  </si>
  <si>
    <t>Capital empregado</t>
  </si>
  <si>
    <t>Capital empregado médio</t>
  </si>
  <si>
    <t>1Q24</t>
  </si>
  <si>
    <t>1T24</t>
  </si>
  <si>
    <t>Returns from financial investments</t>
  </si>
  <si>
    <t>Patrimônio líquido médio</t>
  </si>
  <si>
    <t>EBITDA Locação</t>
  </si>
  <si>
    <t>EBIT Locação</t>
  </si>
  <si>
    <t xml:space="preserve">Rental EBITDA </t>
  </si>
  <si>
    <t xml:space="preserve">Rental EBIT </t>
  </si>
  <si>
    <t xml:space="preserve">% Rental EBITDA </t>
  </si>
  <si>
    <t>Net Debt / EBITDA LTM</t>
  </si>
  <si>
    <t>Rental EBIT</t>
  </si>
  <si>
    <t xml:space="preserve">Accounting ROIC </t>
  </si>
  <si>
    <t>Net income</t>
  </si>
  <si>
    <t>Accounting ROE</t>
  </si>
  <si>
    <t xml:space="preserve">Accounting ROE </t>
  </si>
  <si>
    <t>2Q24</t>
  </si>
  <si>
    <t>2T24</t>
  </si>
  <si>
    <t>3Q24</t>
  </si>
  <si>
    <t>3T24</t>
  </si>
  <si>
    <t>Opção de Compra</t>
  </si>
  <si>
    <t>Call Option</t>
  </si>
  <si>
    <t>Transações entre sócios</t>
  </si>
  <si>
    <t>Transactions between partners</t>
  </si>
  <si>
    <t>Participação dos não controladores</t>
  </si>
  <si>
    <t>Non-controlling interest</t>
  </si>
  <si>
    <t>EBITDA Ajustado</t>
  </si>
  <si>
    <t>Resultado de consórcios</t>
  </si>
  <si>
    <t>AH 2024</t>
  </si>
  <si>
    <t>4Q24</t>
  </si>
  <si>
    <t>4T24</t>
  </si>
  <si>
    <t>N/D</t>
  </si>
  <si>
    <t>Valor de aquisição da frota de locação, final do período</t>
  </si>
  <si>
    <t>Valor de aquisição da frota de locação, média do período</t>
  </si>
  <si>
    <t>*Inclui implementos</t>
  </si>
  <si>
    <t xml:space="preserve">*Não inclui resultado de consórcios e venda de ativos. </t>
  </si>
  <si>
    <t>1Q25</t>
  </si>
  <si>
    <t>1T25</t>
  </si>
  <si>
    <t>Ativos disponíveis para venda</t>
  </si>
  <si>
    <t>Processos Judiciais Pagos</t>
  </si>
  <si>
    <t>Receita Bruta de Locação (Exclui Consórcios)</t>
  </si>
  <si>
    <t>Dívida líquida / EBITDA Covenant (UDM)</t>
  </si>
  <si>
    <t>2Q25</t>
  </si>
  <si>
    <t>2T25</t>
  </si>
  <si>
    <t>Receita Líquida</t>
  </si>
  <si>
    <t>( − ) Custo dos serviços prestados (ex depreciação)</t>
  </si>
  <si>
    <t>Lucro Bruto (ex depreciação)</t>
  </si>
  <si>
    <t>% margem bruta</t>
  </si>
  <si>
    <t>( − ) Despesas operacionais (ex depreciação)</t>
  </si>
  <si>
    <t>% margem EBITDA Locação</t>
  </si>
  <si>
    <t>(+) Resultado não recorrente Locação</t>
  </si>
  <si>
    <t>EBITDA Locação Ajustado</t>
  </si>
  <si>
    <t>% margem EBITDA Locação Ajustada</t>
  </si>
  <si>
    <t>( − ) Baixa do imobilizado</t>
  </si>
  <si>
    <t xml:space="preserve">Lucro Bruto ex custos dos serviços prestados </t>
  </si>
  <si>
    <t xml:space="preserve">% margem bruta contábil </t>
  </si>
  <si>
    <t>Lucro Bruto</t>
  </si>
  <si>
    <t>Net Revenue</t>
  </si>
  <si>
    <t>( − ) COGS (ex depreciation)</t>
  </si>
  <si>
    <t>Gross Profit (ex depreciation)</t>
  </si>
  <si>
    <t>% gross margin</t>
  </si>
  <si>
    <t>( − ) SG&amp;A (ex depreciation)</t>
  </si>
  <si>
    <t>Rental EBITDA</t>
  </si>
  <si>
    <t>%Rental EBITDA margin</t>
  </si>
  <si>
    <t>(+) Non recurring rental results</t>
  </si>
  <si>
    <t>Adjusted Rental EBITDA</t>
  </si>
  <si>
    <t>% Adjusted Rental EBITDA margin</t>
  </si>
  <si>
    <t xml:space="preserve">P&amp;L Venda de Ativos </t>
  </si>
  <si>
    <t>P&amp;L (Asset Sales)</t>
  </si>
  <si>
    <t xml:space="preserve">(-) COGS </t>
  </si>
  <si>
    <t>Gross Profit ex cash cogs</t>
  </si>
  <si>
    <t>% gross profit margin ex cash cogs</t>
  </si>
  <si>
    <t>(-) Cash cogs</t>
  </si>
  <si>
    <t>Gross Profit</t>
  </si>
  <si>
    <t>EBITDA Venda de Ativos</t>
  </si>
  <si>
    <t>Asset Sales EBITDA</t>
  </si>
  <si>
    <t>% margem EBITDA Venda de Ativos</t>
  </si>
  <si>
    <t>% Asset Sales EBITDA margin</t>
  </si>
  <si>
    <t>Resultado não Recorrente de Locação</t>
  </si>
  <si>
    <t xml:space="preserve">EBITDA Locação Ajustado </t>
  </si>
  <si>
    <t>%Margem EBITDA Locação Ajustada</t>
  </si>
  <si>
    <t>EBITDA Consórcios</t>
  </si>
  <si>
    <t>Resultado não recorrente de consórcios</t>
  </si>
  <si>
    <t>EBIT Ajustado Locação*</t>
  </si>
  <si>
    <t>ROIC Contábil Ajustado</t>
  </si>
  <si>
    <t>Custos e despesas caixa de Venda de Ativos</t>
  </si>
  <si>
    <t>P&amp;L Locação¹</t>
  </si>
  <si>
    <t>P&amp;L (Rental)¹</t>
  </si>
  <si>
    <t>( − ) Custo dos serviços prestados²</t>
  </si>
  <si>
    <t>( − ) Despesas de vendas³</t>
  </si>
  <si>
    <t>² Composto por frete, manutenção e preparação das máquinas</t>
  </si>
  <si>
    <t>³ Composto por despesas com marketing, pessoal e comissões.</t>
  </si>
  <si>
    <t xml:space="preserve">¹ A partir do 1T24 passamos a incluir no resultado de Venda de ativos, os custos e despesas atrelados as vendas. </t>
  </si>
  <si>
    <t>¹ Since 1Q24, Asset Sales results includes costs and expenses related to sales in the result of Asset Sales.</t>
  </si>
  <si>
    <t xml:space="preserve">³ Composed of expenses with marketing, personnel, and comissions. </t>
  </si>
  <si>
    <t>² Composed of freight, maintenance and prepation of the machines.</t>
  </si>
  <si>
    <t>¹ Composed of the result of Rental + Terram and excludes the results of consortium
Since 1Q24, the Rental result excludes the costs and expenses associated with Asset Sales</t>
  </si>
  <si>
    <t>(-) SG&amp;A³</t>
  </si>
  <si>
    <t>% adjusted rental EBITDA margin</t>
  </si>
  <si>
    <t>Consortium EBITDA</t>
  </si>
  <si>
    <t>Consortium non recurring results</t>
  </si>
  <si>
    <t>Consortium Results</t>
  </si>
  <si>
    <t>Available Assets for Sale</t>
  </si>
  <si>
    <t>Machine Suppliers Adjust</t>
  </si>
  <si>
    <t>Costs and expenses related to Asset Sales</t>
  </si>
  <si>
    <t>Adjusted ROIC</t>
  </si>
  <si>
    <t>3T25</t>
  </si>
  <si>
    <t>3Q25</t>
  </si>
  <si>
    <t>Obrigações com Operações de Derivativos</t>
  </si>
  <si>
    <t>Obligations related to Derivative Transactions</t>
  </si>
  <si>
    <t>Operações com derivativos</t>
  </si>
  <si>
    <t>Amortização de custos sobre empréstimos e financiamentos</t>
  </si>
  <si>
    <t>Juros sobre parcelamento de tributos</t>
  </si>
  <si>
    <t>Atualização de contrato de compra - earn-out</t>
  </si>
  <si>
    <t>Provisão para perdas esperadas associadas ao risco de crédito</t>
  </si>
  <si>
    <t xml:space="preserve">Atualização de opções - put e call </t>
  </si>
  <si>
    <t>Ganho residual na baixa de ativos desmobilizados</t>
  </si>
  <si>
    <t>Residual profit from the sale of used asset</t>
  </si>
  <si>
    <t>Parcelamento de tributos</t>
  </si>
  <si>
    <t>Taxes instalments</t>
  </si>
  <si>
    <t>Juros sobre empréstimos e financiamentos pagos</t>
  </si>
  <si>
    <t>Juros sobre arrendamento de direito de uso pagos</t>
  </si>
  <si>
    <t>Juros pagos parcelamentos de tributos</t>
  </si>
  <si>
    <t>Aquisição de coligadas e controlada</t>
  </si>
  <si>
    <t>Assunção de Caixa</t>
  </si>
  <si>
    <t>Transações com fornecedores via instituições financeiras</t>
  </si>
  <si>
    <t>Transactions w/ suppliers through financial institutions</t>
  </si>
  <si>
    <t>Exclusão da variação de fornecedores de máquina de Fornecedores</t>
  </si>
  <si>
    <t xml:space="preserve">Depreciação e amortização </t>
  </si>
  <si>
    <t>NOPAT Consolidado</t>
  </si>
  <si>
    <t>Total do Ativo circulante e destinados para venda</t>
  </si>
  <si>
    <t>Total current assets and Available for Sale</t>
  </si>
  <si>
    <t>Judicial deposits paid</t>
  </si>
  <si>
    <t>Derivative Operations</t>
  </si>
  <si>
    <t>Purchase contract - earn-out</t>
  </si>
  <si>
    <t>Options update - put and call</t>
  </si>
  <si>
    <t>Amortizations of costs on loans and financing</t>
  </si>
  <si>
    <t>Interest on tax installment payments</t>
  </si>
  <si>
    <t>Bonus in Goods</t>
  </si>
  <si>
    <t xml:space="preserve">Taxa de Utilização </t>
  </si>
  <si>
    <t>Utilization Rate</t>
  </si>
  <si>
    <t>Rental Rate</t>
  </si>
  <si>
    <t xml:space="preserve">Mix da Receita de Locação </t>
  </si>
  <si>
    <t>Rental Revenue Mix</t>
  </si>
  <si>
    <t>Operações Contínuas</t>
  </si>
  <si>
    <t>Continuous Operations</t>
  </si>
  <si>
    <t>Locação Simples</t>
  </si>
  <si>
    <t>Spot</t>
  </si>
  <si>
    <t>4T25</t>
  </si>
  <si>
    <t>4Q25</t>
  </si>
  <si>
    <t>AH 2025</t>
  </si>
  <si>
    <t>Direito com operações de derivativos</t>
  </si>
  <si>
    <t xml:space="preserve">¹ Composto pelo resultado de Locação + Terram + Termov e exclui os resultados de consórcios. 
A partir do 1T24, o resultado de Locação passou a excluir os custos e despesas associados as Vendas de Ativos. </t>
  </si>
  <si>
    <t>Ganho por compra vantajosa</t>
  </si>
  <si>
    <t>CAPEX de Expansão</t>
  </si>
  <si>
    <t>CAPEX de Renovação</t>
  </si>
  <si>
    <t>CAPEX Sustaining</t>
  </si>
  <si>
    <t>Outros</t>
  </si>
  <si>
    <t>Abertura CAPEX</t>
  </si>
  <si>
    <t xml:space="preserve">% EBITDA Locação Ajustado </t>
  </si>
  <si>
    <t>Outras Receitas / Despesas M&amp;A's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</si>
</sst>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_);\(#,##0\);&quot;- &quot;"/>
    <numFmt numFmtId="165" formatCode="0.0%"/>
    <numFmt numFmtId="166" formatCode="\+0.0\ &quot;p.p.&quot;;\-0.0\ &quot;p.p.&quot;;&quot;- &quot;"/>
    <numFmt numFmtId="167" formatCode="#,##0.00\x_);\(#,##0.00\x\);&quot;- &quot;"/>
    <numFmt numFmtId="168" formatCode="0.0%_);\(0.0%\);&quot;- &quot;"/>
    <numFmt numFmtId="169" formatCode="#,##0.0_);\(#,##0.0\);&quot;- &quot;"/>
    <numFmt numFmtId="170" formatCode="#,##0.0"/>
    <numFmt numFmtId="171" formatCode="0.00000%"/>
    <numFmt numFmtId="172" formatCode="0.00000000"/>
    <numFmt numFmtId="173" formatCode="#,##0.0000000000_);\(#,##0.0000000000\)"/>
    <numFmt numFmtId="174" formatCode="_-* #,##0_-;\-* #,##0_-;_-* &quot;-&quot;??_-;_-@_-"/>
    <numFmt numFmtId="175" formatCode="_(&quot;$&quot;* #,##0.00_);_(&quot;$&quot;* \(#,##0.00\);_(&quot;$&quot;* &quot;-&quot;??_);_(@_)"/>
    <numFmt numFmtId="176" formatCode="_-&quot;$&quot;* #,##0.00_-;\-&quot;$&quot;* #,##0.00_-;_-&quot;$&quot;* &quot;-&quot;??_-;_-@_-"/>
    <numFmt numFmtId="177" formatCode="_([$€-2]* #,##0.00_);_([$€-2]* \(#,##0.00\);_([$€-2]* &quot;-&quot;??_)"/>
    <numFmt numFmtId="178" formatCode="&quot; &quot;* #,##0.00&quot; &quot;;&quot;-&quot;* #,##0.00&quot; &quot;;&quot; &quot;* &quot;-&quot;#&quot; &quot;;&quot; &quot;@&quot; &quot;"/>
    <numFmt numFmtId="179" formatCode="#,##0.000_);\(#,##0.000\);&quot;- &quot;"/>
    <numFmt numFmtId="180" formatCode="#,##0.00000_);\(#,##0.00000\);&quot;- &quot;"/>
  </numFmts>
  <fonts count="62" x14ac:knownFonts="1">
    <font>
      <sz val="11"/>
      <color theme="1"/>
      <name val="Calibri"/>
      <family val="2"/>
      <scheme val="minor"/>
    </font>
    <font>
      <b/>
      <sz val="11"/>
      <color theme="1"/>
      <name val="Calibri"/>
      <family val="2"/>
      <scheme val="minor"/>
    </font>
    <font>
      <b/>
      <sz val="16"/>
      <color rgb="FF002A9A"/>
      <name val="Calibri"/>
      <family val="2"/>
      <scheme val="minor"/>
    </font>
    <font>
      <i/>
      <sz val="8"/>
      <color rgb="FF002A9A"/>
      <name val="Verdana"/>
      <family val="2"/>
    </font>
    <font>
      <sz val="8"/>
      <color rgb="FF002A9A"/>
      <name val="Verdana"/>
      <family val="2"/>
    </font>
    <font>
      <sz val="8"/>
      <color theme="1" tint="0.249977111117893"/>
      <name val="Verdana"/>
      <family val="2"/>
    </font>
    <font>
      <b/>
      <sz val="16"/>
      <color theme="0"/>
      <name val="Calibri"/>
      <family val="2"/>
      <scheme val="minor"/>
    </font>
    <font>
      <sz val="11"/>
      <color theme="1"/>
      <name val="Calibri"/>
      <family val="2"/>
      <scheme val="minor"/>
    </font>
    <font>
      <sz val="10"/>
      <name val="Arial"/>
      <family val="2"/>
    </font>
    <font>
      <sz val="8"/>
      <name val="Calibri"/>
      <family val="2"/>
      <scheme val="minor"/>
    </font>
    <font>
      <b/>
      <sz val="8"/>
      <color rgb="FF002A9A"/>
      <name val="Verdana"/>
      <family val="2"/>
    </font>
    <font>
      <b/>
      <sz val="8"/>
      <color theme="1"/>
      <name val="Verdana"/>
      <family val="2"/>
    </font>
    <font>
      <sz val="8"/>
      <color theme="1"/>
      <name val="Verdana"/>
      <family val="2"/>
    </font>
    <font>
      <sz val="14"/>
      <color theme="1"/>
      <name val="Verdana"/>
      <family val="2"/>
    </font>
    <font>
      <sz val="11"/>
      <color theme="1" tint="0.249977111117893"/>
      <name val="Calibri"/>
      <family val="2"/>
      <scheme val="minor"/>
    </font>
    <font>
      <b/>
      <sz val="11"/>
      <color theme="1" tint="0.249977111117893"/>
      <name val="Calibri"/>
      <family val="2"/>
      <scheme val="minor"/>
    </font>
    <font>
      <i/>
      <sz val="11"/>
      <color theme="1" tint="0.249977111117893"/>
      <name val="Calibri"/>
      <family val="2"/>
      <scheme val="minor"/>
    </font>
    <font>
      <sz val="8"/>
      <color rgb="FF008000"/>
      <name val="Verdana"/>
      <family val="2"/>
    </font>
    <font>
      <sz val="14"/>
      <color theme="1" tint="0.249977111117893"/>
      <name val="Verdana"/>
      <family val="2"/>
    </font>
    <font>
      <i/>
      <sz val="14"/>
      <color theme="1" tint="0.249977111117893"/>
      <name val="Verdana"/>
      <family val="2"/>
    </font>
    <font>
      <sz val="11"/>
      <color theme="1" tint="0.249977111117893"/>
      <name val="Verdana"/>
      <family val="2"/>
    </font>
    <font>
      <i/>
      <sz val="11"/>
      <color theme="1" tint="0.249977111117893"/>
      <name val="Verdana"/>
      <family val="2"/>
    </font>
    <font>
      <sz val="11"/>
      <color theme="1"/>
      <name val="Verdana"/>
      <family val="2"/>
    </font>
    <font>
      <i/>
      <sz val="9"/>
      <color rgb="FF002A9A"/>
      <name val="Verdana"/>
      <family val="2"/>
    </font>
    <font>
      <b/>
      <sz val="14"/>
      <color theme="1" tint="0.249977111117893"/>
      <name val="Verdana"/>
      <family val="2"/>
    </font>
    <font>
      <sz val="8"/>
      <name val="Verdana"/>
      <family val="2"/>
    </font>
    <font>
      <b/>
      <sz val="8"/>
      <name val="Verdana"/>
      <family val="2"/>
    </font>
    <font>
      <b/>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Courier New"/>
      <family val="3"/>
    </font>
    <font>
      <sz val="10"/>
      <color theme="1"/>
      <name val="Garamond"/>
      <family val="1"/>
    </font>
    <font>
      <sz val="11"/>
      <color theme="1"/>
      <name val="Calibri Light"/>
      <family val="2"/>
    </font>
    <font>
      <sz val="11"/>
      <color rgb="FF000000"/>
      <name val="Aptos Narrow"/>
      <family val="2"/>
    </font>
    <font>
      <sz val="9"/>
      <color indexed="81"/>
      <name val="Segoe UI"/>
      <family val="2"/>
    </font>
    <font>
      <b/>
      <sz val="9"/>
      <color indexed="81"/>
      <name val="Segoe UI"/>
      <family val="2"/>
    </font>
    <font>
      <sz val="11"/>
      <name val="Calibri"/>
      <family val="2"/>
      <scheme val="minor"/>
    </font>
    <font>
      <b/>
      <sz val="8"/>
      <name val="Calibri"/>
      <family val="2"/>
      <scheme val="minor"/>
    </font>
    <font>
      <i/>
      <sz val="8"/>
      <name val="Verdana"/>
      <family val="2"/>
    </font>
    <font>
      <i/>
      <sz val="8"/>
      <name val="Calibri"/>
      <family val="2"/>
      <scheme val="minor"/>
    </font>
    <font>
      <i/>
      <sz val="11"/>
      <name val="Calibri"/>
      <family val="2"/>
      <scheme val="minor"/>
    </font>
    <font>
      <b/>
      <sz val="11"/>
      <name val="Axiforma Medium"/>
      <family val="3"/>
    </font>
    <font>
      <sz val="11"/>
      <name val="Axiforma Medium"/>
      <family val="3"/>
    </font>
    <font>
      <i/>
      <sz val="11"/>
      <name val="Axiforma Medium"/>
      <family val="3"/>
    </font>
    <font>
      <b/>
      <u/>
      <sz val="8"/>
      <name val="Verdana"/>
      <family val="2"/>
    </font>
    <font>
      <sz val="10"/>
      <name val="Calibri"/>
      <family val="2"/>
      <scheme val="minor"/>
    </font>
    <font>
      <i/>
      <sz val="11"/>
      <name val="Verdana"/>
      <family val="2"/>
    </font>
    <font>
      <sz val="11"/>
      <name val="Verdana"/>
      <family val="2"/>
    </font>
    <font>
      <b/>
      <i/>
      <sz val="8"/>
      <name val="Verdana"/>
      <family val="2"/>
    </font>
  </fonts>
  <fills count="37">
    <fill>
      <patternFill patternType="none"/>
    </fill>
    <fill>
      <patternFill patternType="gray125"/>
    </fill>
    <fill>
      <patternFill patternType="solid">
        <fgColor theme="6" tint="0.79998168889431442"/>
        <bgColor indexed="64"/>
      </patternFill>
    </fill>
    <fill>
      <patternFill patternType="solid">
        <fgColor rgb="FF002A9A"/>
        <bgColor indexed="64"/>
      </patternFill>
    </fill>
    <fill>
      <patternFill patternType="solid">
        <fgColor rgb="FFEDEDE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right/>
      <top/>
      <bottom style="thin">
        <color rgb="FF002A9A"/>
      </bottom>
      <diagonal/>
    </border>
    <border>
      <left/>
      <right style="dotted">
        <color theme="5"/>
      </right>
      <top/>
      <bottom/>
      <diagonal/>
    </border>
    <border>
      <left/>
      <right/>
      <top/>
      <bottom style="thin">
        <color theme="0" tint="-0.24994659260841701"/>
      </bottom>
      <diagonal/>
    </border>
    <border>
      <left/>
      <right/>
      <top/>
      <bottom style="hair">
        <color auto="1"/>
      </bottom>
      <diagonal/>
    </border>
    <border>
      <left/>
      <right style="dotted">
        <color rgb="FF008000"/>
      </right>
      <top/>
      <bottom/>
      <diagonal/>
    </border>
    <border>
      <left/>
      <right/>
      <top/>
      <bottom style="thin">
        <color theme="0" tint="-0.34998626667073579"/>
      </bottom>
      <diagonal/>
    </border>
    <border>
      <left/>
      <right style="thin">
        <color theme="0"/>
      </right>
      <top/>
      <bottom/>
      <diagonal/>
    </border>
    <border>
      <left/>
      <right style="thin">
        <color theme="0"/>
      </right>
      <top/>
      <bottom style="thin">
        <color indexed="64"/>
      </bottom>
      <diagonal/>
    </border>
    <border>
      <left/>
      <right style="thin">
        <color theme="0"/>
      </right>
      <top style="thin">
        <color indexed="64"/>
      </top>
      <bottom style="thin">
        <color indexed="64"/>
      </bottom>
      <diagonal/>
    </border>
    <border>
      <left style="thin">
        <color theme="0"/>
      </left>
      <right style="thin">
        <color theme="0"/>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0" tint="-0.24994659260841701"/>
      </top>
      <bottom/>
      <diagonal/>
    </border>
    <border>
      <left/>
      <right style="thin">
        <color theme="0"/>
      </right>
      <top style="thin">
        <color indexed="64"/>
      </top>
      <bottom style="thin">
        <color rgb="FFEEE8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int="-0.24994659260841701"/>
      </top>
      <bottom style="thin">
        <color theme="0" tint="-0.249977111117893"/>
      </bottom>
      <diagonal/>
    </border>
  </borders>
  <cellStyleXfs count="80">
    <xf numFmtId="0" fontId="0" fillId="0" borderId="0"/>
    <xf numFmtId="43" fontId="7" fillId="0" borderId="0" applyFont="0" applyFill="0" applyBorder="0" applyAlignment="0" applyProtection="0"/>
    <xf numFmtId="43" fontId="7" fillId="0" borderId="0" applyFont="0" applyFill="0" applyBorder="0" applyAlignment="0" applyProtection="0"/>
    <xf numFmtId="0" fontId="8" fillId="0" borderId="0"/>
    <xf numFmtId="9" fontId="7" fillId="0" borderId="0" applyFont="0" applyFill="0" applyBorder="0" applyAlignment="0" applyProtection="0"/>
    <xf numFmtId="43" fontId="7" fillId="0" borderId="0" applyFont="0" applyFill="0" applyBorder="0" applyAlignment="0" applyProtection="0"/>
    <xf numFmtId="0" fontId="28" fillId="0" borderId="0" applyNumberFormat="0" applyFill="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19" applyNumberFormat="0" applyAlignment="0" applyProtection="0"/>
    <xf numFmtId="0" fontId="36" fillId="9" borderId="20" applyNumberFormat="0" applyAlignment="0" applyProtection="0"/>
    <xf numFmtId="0" fontId="37" fillId="9" borderId="19" applyNumberFormat="0" applyAlignment="0" applyProtection="0"/>
    <xf numFmtId="0" fontId="38" fillId="0" borderId="21" applyNumberFormat="0" applyFill="0" applyAlignment="0" applyProtection="0"/>
    <xf numFmtId="0" fontId="39" fillId="10" borderId="22" applyNumberFormat="0" applyAlignment="0" applyProtection="0"/>
    <xf numFmtId="0" fontId="40" fillId="0" borderId="0" applyNumberFormat="0" applyFill="0" applyBorder="0" applyAlignment="0" applyProtection="0"/>
    <xf numFmtId="0" fontId="7" fillId="11" borderId="23" applyNumberFormat="0" applyFont="0" applyAlignment="0" applyProtection="0"/>
    <xf numFmtId="0" fontId="41" fillId="0" borderId="0" applyNumberFormat="0" applyFill="0" applyBorder="0" applyAlignment="0" applyProtection="0"/>
    <xf numFmtId="0" fontId="1" fillId="0" borderId="24" applyNumberFormat="0" applyFill="0" applyAlignment="0" applyProtection="0"/>
    <xf numFmtId="0" fontId="42"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42"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42"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42"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42"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42"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3" fillId="0" borderId="0"/>
    <xf numFmtId="0" fontId="8" fillId="0" borderId="0"/>
    <xf numFmtId="43" fontId="7" fillId="0" borderId="0" applyFont="0" applyFill="0" applyBorder="0" applyAlignment="0" applyProtection="0"/>
    <xf numFmtId="175" fontId="7" fillId="0" borderId="0" applyFont="0" applyFill="0" applyBorder="0" applyAlignment="0" applyProtection="0"/>
    <xf numFmtId="0" fontId="8" fillId="0" borderId="0" applyFont="0" applyFill="0" applyBorder="0" applyAlignment="0" applyProtection="0"/>
    <xf numFmtId="0" fontId="7" fillId="0" borderId="0"/>
    <xf numFmtId="43" fontId="7" fillId="0" borderId="0" applyFont="0" applyFill="0" applyBorder="0" applyAlignment="0" applyProtection="0"/>
    <xf numFmtId="0" fontId="43" fillId="0" borderId="0"/>
    <xf numFmtId="43" fontId="8" fillId="0" borderId="0" applyFont="0" applyFill="0" applyBorder="0" applyAlignment="0" applyProtection="0"/>
    <xf numFmtId="177" fontId="8" fillId="0" borderId="0"/>
    <xf numFmtId="176"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44" fillId="0" borderId="0" applyFont="0" applyFill="0" applyBorder="0" applyAlignment="0" applyProtection="0"/>
    <xf numFmtId="0" fontId="43" fillId="0" borderId="0"/>
    <xf numFmtId="40" fontId="43" fillId="0" borderId="0" applyFont="0" applyFill="0" applyBorder="0" applyAlignment="0" applyProtection="0"/>
    <xf numFmtId="0" fontId="43" fillId="0" borderId="0"/>
    <xf numFmtId="43" fontId="7" fillId="0" borderId="0" applyFont="0" applyFill="0" applyBorder="0" applyAlignment="0" applyProtection="0"/>
    <xf numFmtId="43" fontId="7" fillId="0" borderId="0" applyFont="0" applyFill="0" applyBorder="0" applyAlignment="0" applyProtection="0"/>
    <xf numFmtId="0" fontId="8" fillId="0" borderId="0"/>
    <xf numFmtId="43" fontId="7" fillId="0" borderId="0" applyFont="0" applyFill="0" applyBorder="0" applyAlignment="0" applyProtection="0"/>
    <xf numFmtId="43" fontId="7"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0" fontId="45" fillId="0" borderId="0"/>
    <xf numFmtId="43" fontId="7" fillId="0" borderId="0" applyFont="0" applyFill="0" applyBorder="0" applyAlignment="0" applyProtection="0"/>
    <xf numFmtId="43" fontId="7" fillId="0" borderId="0" applyFont="0" applyFill="0" applyBorder="0" applyAlignment="0" applyProtection="0"/>
    <xf numFmtId="178" fontId="46" fillId="0" borderId="0" applyFont="0" applyFill="0" applyBorder="0" applyAlignment="0" applyProtection="0"/>
    <xf numFmtId="43" fontId="7" fillId="0" borderId="0" applyFont="0" applyFill="0" applyBorder="0" applyAlignment="0" applyProtection="0"/>
  </cellStyleXfs>
  <cellXfs count="263">
    <xf numFmtId="0" fontId="0" fillId="0" borderId="0" xfId="0"/>
    <xf numFmtId="0" fontId="2" fillId="0" borderId="0" xfId="0" applyFont="1"/>
    <xf numFmtId="0" fontId="3" fillId="0" borderId="1" xfId="0" applyFont="1" applyBorder="1" applyAlignment="1">
      <alignment vertical="center"/>
    </xf>
    <xf numFmtId="0" fontId="4" fillId="0" borderId="1" xfId="0" applyFont="1" applyBorder="1" applyAlignment="1">
      <alignment vertical="center"/>
    </xf>
    <xf numFmtId="0" fontId="0" fillId="0" borderId="2" xfId="0" applyBorder="1"/>
    <xf numFmtId="0" fontId="1" fillId="0" borderId="0" xfId="0" applyFont="1"/>
    <xf numFmtId="0" fontId="0" fillId="3" borderId="1" xfId="0" applyFill="1" applyBorder="1"/>
    <xf numFmtId="0" fontId="6" fillId="3" borderId="1" xfId="0" applyFont="1" applyFill="1" applyBorder="1" applyAlignment="1">
      <alignment vertical="center"/>
    </xf>
    <xf numFmtId="0" fontId="2"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0" fontId="1" fillId="0" borderId="2" xfId="0" applyFont="1" applyBorder="1"/>
    <xf numFmtId="0" fontId="11" fillId="0" borderId="2" xfId="0" applyFont="1" applyBorder="1"/>
    <xf numFmtId="0" fontId="11" fillId="0" borderId="0" xfId="0" applyFont="1"/>
    <xf numFmtId="0" fontId="12" fillId="0" borderId="0" xfId="0" applyFont="1"/>
    <xf numFmtId="0" fontId="12" fillId="0" borderId="2" xfId="0" applyFont="1" applyBorder="1"/>
    <xf numFmtId="0" fontId="13" fillId="0" borderId="0" xfId="0" applyFont="1"/>
    <xf numFmtId="0" fontId="14" fillId="0" borderId="0" xfId="0" applyFont="1"/>
    <xf numFmtId="0" fontId="14" fillId="0" borderId="2" xfId="0" applyFont="1" applyBorder="1"/>
    <xf numFmtId="0" fontId="15" fillId="0" borderId="0" xfId="0" applyFont="1"/>
    <xf numFmtId="0" fontId="1" fillId="0" borderId="5" xfId="0" applyFont="1" applyBorder="1"/>
    <xf numFmtId="0" fontId="0" fillId="0" borderId="5" xfId="0" applyBorder="1"/>
    <xf numFmtId="165" fontId="14" fillId="0" borderId="0" xfId="0" applyNumberFormat="1" applyFont="1"/>
    <xf numFmtId="164" fontId="14" fillId="0" borderId="0" xfId="0" applyNumberFormat="1" applyFont="1"/>
    <xf numFmtId="0" fontId="17" fillId="0" borderId="0" xfId="0" applyFont="1" applyAlignment="1">
      <alignment horizontal="center"/>
    </xf>
    <xf numFmtId="0" fontId="16" fillId="0" borderId="0" xfId="0" applyFont="1"/>
    <xf numFmtId="0" fontId="10" fillId="0" borderId="0" xfId="0" applyFont="1" applyAlignment="1">
      <alignment horizontal="right" vertical="center"/>
    </xf>
    <xf numFmtId="0" fontId="10"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6" fillId="3" borderId="0" xfId="0" applyFont="1" applyFill="1" applyAlignment="1">
      <alignment vertical="center"/>
    </xf>
    <xf numFmtId="0" fontId="0" fillId="3" borderId="0" xfId="0" applyFill="1"/>
    <xf numFmtId="0" fontId="18" fillId="0" borderId="0" xfId="0" applyFont="1"/>
    <xf numFmtId="0" fontId="5" fillId="0" borderId="0" xfId="0" applyFont="1" applyAlignment="1">
      <alignment horizontal="center"/>
    </xf>
    <xf numFmtId="4" fontId="14" fillId="0" borderId="0" xfId="0" applyNumberFormat="1" applyFont="1"/>
    <xf numFmtId="0" fontId="19" fillId="0" borderId="0" xfId="0" applyFont="1"/>
    <xf numFmtId="0" fontId="20" fillId="0" borderId="0" xfId="0" applyFont="1"/>
    <xf numFmtId="0" fontId="21" fillId="0" borderId="0" xfId="0" applyFont="1"/>
    <xf numFmtId="3" fontId="14" fillId="0" borderId="0" xfId="0" applyNumberFormat="1" applyFont="1"/>
    <xf numFmtId="165" fontId="5" fillId="0" borderId="0" xfId="4" applyNumberFormat="1" applyFont="1" applyAlignment="1">
      <alignment horizontal="right" vertical="center"/>
    </xf>
    <xf numFmtId="164" fontId="0" fillId="0" borderId="0" xfId="0" applyNumberFormat="1"/>
    <xf numFmtId="164" fontId="8" fillId="0" borderId="0" xfId="5" applyNumberFormat="1" applyFont="1" applyFill="1" applyAlignment="1">
      <alignment horizontal="right"/>
    </xf>
    <xf numFmtId="9" fontId="14" fillId="0" borderId="0" xfId="0" applyNumberFormat="1" applyFont="1"/>
    <xf numFmtId="171" fontId="0" fillId="0" borderId="0" xfId="0" applyNumberFormat="1"/>
    <xf numFmtId="4" fontId="0" fillId="0" borderId="0" xfId="0" applyNumberFormat="1"/>
    <xf numFmtId="0" fontId="22" fillId="0" borderId="0" xfId="0" applyFont="1"/>
    <xf numFmtId="0" fontId="23" fillId="0" borderId="1" xfId="0" applyFont="1" applyBorder="1" applyAlignment="1">
      <alignment vertical="center"/>
    </xf>
    <xf numFmtId="172" fontId="14" fillId="0" borderId="0" xfId="0" applyNumberFormat="1" applyFont="1"/>
    <xf numFmtId="0" fontId="24" fillId="0" borderId="0" xfId="0" applyFont="1"/>
    <xf numFmtId="9" fontId="20" fillId="0" borderId="0" xfId="0" applyNumberFormat="1" applyFont="1"/>
    <xf numFmtId="0" fontId="0" fillId="0" borderId="0" xfId="0" applyAlignment="1">
      <alignment vertical="center" wrapText="1"/>
    </xf>
    <xf numFmtId="3" fontId="15" fillId="0" borderId="0" xfId="0" applyNumberFormat="1" applyFont="1"/>
    <xf numFmtId="165" fontId="0" fillId="0" borderId="0" xfId="4" applyNumberFormat="1" applyFont="1"/>
    <xf numFmtId="0" fontId="6" fillId="0" borderId="0" xfId="0" applyFont="1" applyAlignment="1">
      <alignment vertical="center"/>
    </xf>
    <xf numFmtId="164" fontId="25" fillId="0" borderId="0" xfId="0" applyNumberFormat="1" applyFont="1" applyAlignment="1">
      <alignment horizontal="right" vertical="center"/>
    </xf>
    <xf numFmtId="164" fontId="26" fillId="0" borderId="0" xfId="0" applyNumberFormat="1" applyFont="1" applyAlignment="1">
      <alignment horizontal="right" vertical="center"/>
    </xf>
    <xf numFmtId="165" fontId="26" fillId="0" borderId="6" xfId="0" applyNumberFormat="1" applyFont="1" applyBorder="1" applyAlignment="1">
      <alignment horizontal="left" vertical="center"/>
    </xf>
    <xf numFmtId="165" fontId="26" fillId="0" borderId="6" xfId="0" applyNumberFormat="1" applyFont="1" applyBorder="1" applyAlignment="1">
      <alignment horizontal="right" vertical="center"/>
    </xf>
    <xf numFmtId="0" fontId="27" fillId="0" borderId="0" xfId="0" applyFont="1"/>
    <xf numFmtId="174" fontId="26" fillId="0" borderId="6" xfId="5" applyNumberFormat="1" applyFont="1" applyBorder="1" applyAlignment="1">
      <alignment horizontal="right" vertical="center"/>
    </xf>
    <xf numFmtId="174" fontId="0" fillId="0" borderId="0" xfId="0" applyNumberFormat="1"/>
    <xf numFmtId="165" fontId="0" fillId="0" borderId="0" xfId="0" applyNumberFormat="1"/>
    <xf numFmtId="174" fontId="0" fillId="0" borderId="0" xfId="5" applyNumberFormat="1" applyFont="1"/>
    <xf numFmtId="43" fontId="0" fillId="0" borderId="0" xfId="0" applyNumberFormat="1"/>
    <xf numFmtId="165" fontId="0" fillId="0" borderId="0" xfId="4" applyNumberFormat="1" applyFont="1" applyBorder="1"/>
    <xf numFmtId="9" fontId="0" fillId="0" borderId="0" xfId="4" applyFont="1" applyBorder="1"/>
    <xf numFmtId="0" fontId="0" fillId="36" borderId="0" xfId="0" applyFill="1"/>
    <xf numFmtId="9" fontId="0" fillId="0" borderId="0" xfId="4" applyFont="1"/>
    <xf numFmtId="3" fontId="0" fillId="0" borderId="0" xfId="0" applyNumberFormat="1"/>
    <xf numFmtId="0" fontId="26" fillId="2" borderId="0" xfId="0" applyFont="1" applyFill="1" applyAlignment="1">
      <alignment vertical="center"/>
    </xf>
    <xf numFmtId="0" fontId="49" fillId="2" borderId="0" xfId="0" applyFont="1" applyFill="1"/>
    <xf numFmtId="0" fontId="49" fillId="0" borderId="5" xfId="0" applyFont="1" applyBorder="1"/>
    <xf numFmtId="0" fontId="49" fillId="0" borderId="0" xfId="0" applyFont="1"/>
    <xf numFmtId="0" fontId="26" fillId="0" borderId="0" xfId="0" applyFont="1" applyAlignment="1">
      <alignment vertical="center"/>
    </xf>
    <xf numFmtId="165" fontId="26" fillId="0" borderId="0" xfId="0" applyNumberFormat="1" applyFont="1" applyAlignment="1">
      <alignment horizontal="right" vertical="center"/>
    </xf>
    <xf numFmtId="0" fontId="27" fillId="0" borderId="5" xfId="0" applyFont="1" applyBorder="1"/>
    <xf numFmtId="0" fontId="25" fillId="0" borderId="0" xfId="0" applyFont="1" applyAlignment="1">
      <alignment vertical="center"/>
    </xf>
    <xf numFmtId="0" fontId="50" fillId="0" borderId="0" xfId="0" applyFont="1"/>
    <xf numFmtId="0" fontId="51" fillId="0" borderId="0" xfId="0" applyFont="1" applyAlignment="1">
      <alignment vertical="center"/>
    </xf>
    <xf numFmtId="0" fontId="9" fillId="0" borderId="0" xfId="0" applyFont="1"/>
    <xf numFmtId="165" fontId="25" fillId="0" borderId="0" xfId="4" applyNumberFormat="1" applyFont="1" applyFill="1" applyBorder="1" applyAlignment="1">
      <alignment horizontal="right" vertical="center"/>
    </xf>
    <xf numFmtId="4" fontId="25" fillId="0" borderId="0" xfId="4" applyNumberFormat="1" applyFont="1" applyFill="1" applyBorder="1" applyAlignment="1">
      <alignment horizontal="right" vertical="center"/>
    </xf>
    <xf numFmtId="3" fontId="25" fillId="0" borderId="0" xfId="4" applyNumberFormat="1" applyFont="1" applyFill="1" applyBorder="1" applyAlignment="1">
      <alignment horizontal="center" vertical="center"/>
    </xf>
    <xf numFmtId="170" fontId="25" fillId="0" borderId="0" xfId="4" applyNumberFormat="1" applyFont="1" applyFill="1" applyBorder="1" applyAlignment="1">
      <alignment horizontal="center" vertical="center"/>
    </xf>
    <xf numFmtId="165" fontId="25" fillId="0" borderId="0" xfId="0" applyNumberFormat="1" applyFont="1" applyAlignment="1">
      <alignment horizontal="right" vertical="center"/>
    </xf>
    <xf numFmtId="9" fontId="25" fillId="0" borderId="0" xfId="4" applyFont="1" applyFill="1" applyBorder="1" applyAlignment="1">
      <alignment horizontal="center" vertical="center"/>
    </xf>
    <xf numFmtId="174" fontId="25" fillId="0" borderId="0" xfId="5" applyNumberFormat="1" applyFont="1" applyFill="1" applyBorder="1" applyAlignment="1">
      <alignment horizontal="right" vertical="center"/>
    </xf>
    <xf numFmtId="3" fontId="25" fillId="0" borderId="0" xfId="4" applyNumberFormat="1" applyFont="1" applyFill="1" applyBorder="1" applyAlignment="1">
      <alignment horizontal="right" vertical="center"/>
    </xf>
    <xf numFmtId="165" fontId="26" fillId="0" borderId="0" xfId="4" applyNumberFormat="1" applyFont="1" applyFill="1" applyBorder="1" applyAlignment="1">
      <alignment horizontal="right" vertical="center"/>
    </xf>
    <xf numFmtId="165" fontId="26" fillId="0" borderId="0" xfId="4" applyNumberFormat="1" applyFont="1" applyAlignment="1">
      <alignment horizontal="right" vertical="center"/>
    </xf>
    <xf numFmtId="9" fontId="49" fillId="2" borderId="0" xfId="0" applyNumberFormat="1" applyFont="1" applyFill="1"/>
    <xf numFmtId="0" fontId="25" fillId="0" borderId="3" xfId="0" applyFont="1" applyBorder="1" applyAlignment="1">
      <alignment vertical="center"/>
    </xf>
    <xf numFmtId="0" fontId="49" fillId="0" borderId="3" xfId="0" applyFont="1" applyBorder="1"/>
    <xf numFmtId="164" fontId="25" fillId="0" borderId="3" xfId="0" applyNumberFormat="1" applyFont="1" applyBorder="1" applyAlignment="1">
      <alignment horizontal="right" vertical="center"/>
    </xf>
    <xf numFmtId="165" fontId="25" fillId="0" borderId="3" xfId="0" applyNumberFormat="1" applyFont="1" applyBorder="1" applyAlignment="1">
      <alignment horizontal="right" vertical="center"/>
    </xf>
    <xf numFmtId="0" fontId="51" fillId="0" borderId="0" xfId="0" applyFont="1" applyAlignment="1">
      <alignment horizontal="left" vertical="center" indent="1"/>
    </xf>
    <xf numFmtId="164" fontId="51" fillId="0" borderId="0" xfId="0" applyNumberFormat="1" applyFont="1" applyAlignment="1">
      <alignment horizontal="right" vertical="center"/>
    </xf>
    <xf numFmtId="165" fontId="51" fillId="0" borderId="0" xfId="0" applyNumberFormat="1" applyFont="1" applyAlignment="1">
      <alignment horizontal="right" vertical="center"/>
    </xf>
    <xf numFmtId="0" fontId="53" fillId="0" borderId="5" xfId="0" applyFont="1" applyBorder="1"/>
    <xf numFmtId="0" fontId="53" fillId="0" borderId="0" xfId="0" applyFont="1"/>
    <xf numFmtId="0" fontId="25" fillId="0" borderId="0" xfId="0" applyFont="1" applyAlignment="1">
      <alignment horizontal="left" vertical="center"/>
    </xf>
    <xf numFmtId="169" fontId="25" fillId="0" borderId="0" xfId="0" applyNumberFormat="1" applyFont="1" applyAlignment="1">
      <alignment horizontal="right" vertical="center"/>
    </xf>
    <xf numFmtId="174" fontId="25" fillId="0" borderId="0" xfId="5" applyNumberFormat="1" applyFont="1" applyAlignment="1">
      <alignment horizontal="right" vertical="center"/>
    </xf>
    <xf numFmtId="174" fontId="26" fillId="0" borderId="0" xfId="5" applyNumberFormat="1" applyFont="1" applyAlignment="1">
      <alignment horizontal="right" vertical="center"/>
    </xf>
    <xf numFmtId="0" fontId="51" fillId="0" borderId="3" xfId="0" applyFont="1" applyBorder="1" applyAlignment="1">
      <alignment horizontal="left" vertical="center" indent="1"/>
    </xf>
    <xf numFmtId="164" fontId="25" fillId="0" borderId="0" xfId="5" applyNumberFormat="1" applyFont="1" applyAlignment="1">
      <alignment horizontal="right" vertical="center"/>
    </xf>
    <xf numFmtId="4" fontId="49" fillId="0" borderId="0" xfId="0" applyNumberFormat="1" applyFont="1"/>
    <xf numFmtId="164" fontId="49" fillId="0" borderId="0" xfId="0" applyNumberFormat="1" applyFont="1"/>
    <xf numFmtId="165" fontId="49" fillId="0" borderId="0" xfId="0" applyNumberFormat="1" applyFont="1"/>
    <xf numFmtId="170" fontId="49" fillId="0" borderId="0" xfId="0" applyNumberFormat="1" applyFont="1"/>
    <xf numFmtId="0" fontId="25" fillId="0" borderId="6" xfId="0" applyFont="1" applyBorder="1" applyAlignment="1">
      <alignment vertical="center"/>
    </xf>
    <xf numFmtId="0" fontId="49" fillId="0" borderId="6" xfId="0" applyFont="1" applyBorder="1"/>
    <xf numFmtId="164" fontId="25" fillId="0" borderId="6" xfId="0" applyNumberFormat="1" applyFont="1" applyBorder="1" applyAlignment="1">
      <alignment horizontal="right" vertical="center"/>
    </xf>
    <xf numFmtId="165" fontId="25" fillId="0" borderId="6" xfId="0" applyNumberFormat="1" applyFont="1" applyBorder="1" applyAlignment="1">
      <alignment horizontal="right" vertical="center"/>
    </xf>
    <xf numFmtId="167" fontId="25" fillId="0" borderId="0" xfId="0" applyNumberFormat="1" applyFont="1" applyAlignment="1">
      <alignment horizontal="right" vertical="center"/>
    </xf>
    <xf numFmtId="4" fontId="25" fillId="0" borderId="0" xfId="0" applyNumberFormat="1" applyFont="1" applyAlignment="1">
      <alignment horizontal="right" vertical="center"/>
    </xf>
    <xf numFmtId="9" fontId="25" fillId="0" borderId="3" xfId="0" applyNumberFormat="1" applyFont="1" applyBorder="1" applyAlignment="1">
      <alignment horizontal="right" vertical="center"/>
    </xf>
    <xf numFmtId="0" fontId="51" fillId="0" borderId="0" xfId="0" applyFont="1" applyAlignment="1">
      <alignment vertical="center" wrapText="1"/>
    </xf>
    <xf numFmtId="166" fontId="26" fillId="0" borderId="0" xfId="0" applyNumberFormat="1" applyFont="1" applyAlignment="1">
      <alignment horizontal="right" vertical="center"/>
    </xf>
    <xf numFmtId="165" fontId="26" fillId="0" borderId="3" xfId="4" applyNumberFormat="1" applyFont="1" applyBorder="1" applyAlignment="1">
      <alignment horizontal="left" vertical="center"/>
    </xf>
    <xf numFmtId="165" fontId="26" fillId="0" borderId="3" xfId="4" applyNumberFormat="1" applyFont="1" applyBorder="1" applyAlignment="1">
      <alignment horizontal="right" vertical="center"/>
    </xf>
    <xf numFmtId="0" fontId="25" fillId="0" borderId="3" xfId="0" applyFont="1" applyBorder="1" applyAlignment="1">
      <alignment vertical="center" wrapText="1"/>
    </xf>
    <xf numFmtId="165" fontId="25" fillId="0" borderId="0" xfId="4" applyNumberFormat="1" applyFont="1" applyAlignment="1">
      <alignment horizontal="right" vertical="center"/>
    </xf>
    <xf numFmtId="9" fontId="49" fillId="0" borderId="0" xfId="0" applyNumberFormat="1" applyFont="1"/>
    <xf numFmtId="0" fontId="25" fillId="0" borderId="0" xfId="0" applyFont="1" applyAlignment="1">
      <alignment vertical="center" wrapText="1"/>
    </xf>
    <xf numFmtId="9" fontId="26" fillId="0" borderId="0" xfId="4" applyFont="1" applyAlignment="1">
      <alignment horizontal="right" vertical="center"/>
    </xf>
    <xf numFmtId="3" fontId="49" fillId="0" borderId="0" xfId="0" applyNumberFormat="1" applyFont="1"/>
    <xf numFmtId="43" fontId="49" fillId="0" borderId="0" xfId="5" applyFont="1"/>
    <xf numFmtId="0" fontId="26" fillId="0" borderId="11" xfId="0" applyFont="1" applyBorder="1" applyAlignment="1">
      <alignment vertical="center"/>
    </xf>
    <xf numFmtId="0" fontId="49" fillId="0" borderId="11" xfId="0" applyFont="1" applyBorder="1"/>
    <xf numFmtId="43" fontId="49" fillId="0" borderId="11" xfId="0" applyNumberFormat="1" applyFont="1" applyBorder="1"/>
    <xf numFmtId="0" fontId="26" fillId="4" borderId="7" xfId="0" applyFont="1" applyFill="1" applyBorder="1" applyAlignment="1">
      <alignment vertical="center"/>
    </xf>
    <xf numFmtId="174" fontId="26" fillId="4" borderId="13" xfId="5" applyNumberFormat="1" applyFont="1" applyFill="1" applyBorder="1" applyAlignment="1">
      <alignment horizontal="center" vertical="center"/>
    </xf>
    <xf numFmtId="174" fontId="26" fillId="4" borderId="13" xfId="5" applyNumberFormat="1" applyFont="1" applyFill="1" applyBorder="1" applyAlignment="1">
      <alignment vertical="center"/>
    </xf>
    <xf numFmtId="0" fontId="25" fillId="0" borderId="7" xfId="0" applyFont="1" applyBorder="1" applyAlignment="1">
      <alignment vertical="center"/>
    </xf>
    <xf numFmtId="0" fontId="55" fillId="0" borderId="7" xfId="0" applyFont="1" applyBorder="1" applyAlignment="1">
      <alignment vertical="center"/>
    </xf>
    <xf numFmtId="164" fontId="25" fillId="0" borderId="3" xfId="0" applyNumberFormat="1" applyFont="1" applyBorder="1" applyAlignment="1">
      <alignment horizontal="center" vertical="center"/>
    </xf>
    <xf numFmtId="0" fontId="54" fillId="4" borderId="7" xfId="0" applyFont="1" applyFill="1" applyBorder="1" applyAlignment="1">
      <alignment vertical="center"/>
    </xf>
    <xf numFmtId="174" fontId="26" fillId="4" borderId="14" xfId="5" applyNumberFormat="1" applyFont="1" applyFill="1" applyBorder="1" applyAlignment="1">
      <alignment horizontal="center" vertical="center"/>
    </xf>
    <xf numFmtId="0" fontId="54" fillId="0" borderId="7" xfId="0" applyFont="1" applyBorder="1" applyAlignment="1">
      <alignment vertical="center"/>
    </xf>
    <xf numFmtId="174" fontId="26" fillId="4" borderId="14" xfId="5" applyNumberFormat="1" applyFont="1" applyFill="1" applyBorder="1" applyAlignment="1">
      <alignment vertical="center"/>
    </xf>
    <xf numFmtId="174" fontId="26" fillId="4" borderId="7" xfId="5" applyNumberFormat="1" applyFont="1" applyFill="1" applyBorder="1" applyAlignment="1">
      <alignment vertical="center"/>
    </xf>
    <xf numFmtId="0" fontId="51" fillId="0" borderId="7" xfId="0" applyFont="1" applyBorder="1" applyAlignment="1">
      <alignment horizontal="left" vertical="center" indent="1"/>
    </xf>
    <xf numFmtId="165" fontId="25" fillId="0" borderId="7" xfId="4" applyNumberFormat="1" applyFont="1" applyBorder="1" applyAlignment="1">
      <alignment horizontal="center" vertical="center"/>
    </xf>
    <xf numFmtId="165" fontId="25" fillId="0" borderId="7" xfId="4" applyNumberFormat="1" applyFont="1" applyBorder="1" applyAlignment="1">
      <alignment vertical="center"/>
    </xf>
    <xf numFmtId="0" fontId="25" fillId="4" borderId="7" xfId="0" applyFont="1" applyFill="1" applyBorder="1" applyAlignment="1">
      <alignment vertical="center"/>
    </xf>
    <xf numFmtId="0" fontId="55" fillId="4" borderId="7" xfId="0" applyFont="1" applyFill="1" applyBorder="1" applyAlignment="1">
      <alignment vertical="center"/>
    </xf>
    <xf numFmtId="164" fontId="25" fillId="4" borderId="0" xfId="0" applyNumberFormat="1" applyFont="1" applyFill="1" applyAlignment="1">
      <alignment horizontal="center" vertical="center"/>
    </xf>
    <xf numFmtId="164" fontId="25" fillId="4" borderId="0" xfId="0" applyNumberFormat="1" applyFont="1" applyFill="1" applyAlignment="1">
      <alignment horizontal="right" vertical="center"/>
    </xf>
    <xf numFmtId="0" fontId="26" fillId="0" borderId="7" xfId="0" applyFont="1" applyBorder="1" applyAlignment="1">
      <alignment vertical="center"/>
    </xf>
    <xf numFmtId="174" fontId="26" fillId="0" borderId="7" xfId="5" applyNumberFormat="1" applyFont="1" applyBorder="1" applyAlignment="1">
      <alignment horizontal="center" vertical="center"/>
    </xf>
    <xf numFmtId="174" fontId="26" fillId="0" borderId="7" xfId="5" applyNumberFormat="1" applyFont="1" applyBorder="1" applyAlignment="1">
      <alignment vertical="center"/>
    </xf>
    <xf numFmtId="0" fontId="51" fillId="4" borderId="8" xfId="0" applyFont="1" applyFill="1" applyBorder="1" applyAlignment="1">
      <alignment horizontal="left" vertical="center" indent="2"/>
    </xf>
    <xf numFmtId="0" fontId="56" fillId="4" borderId="8" xfId="0" applyFont="1" applyFill="1" applyBorder="1" applyAlignment="1">
      <alignment horizontal="left" vertical="center" indent="2"/>
    </xf>
    <xf numFmtId="165" fontId="51" fillId="4" borderId="0" xfId="4" applyNumberFormat="1" applyFont="1" applyFill="1" applyBorder="1" applyAlignment="1">
      <alignment horizontal="center" vertical="center"/>
    </xf>
    <xf numFmtId="0" fontId="56" fillId="0" borderId="0" xfId="0" applyFont="1" applyAlignment="1">
      <alignment horizontal="left" vertical="center" indent="2"/>
    </xf>
    <xf numFmtId="165" fontId="51" fillId="4" borderId="0" xfId="4" applyNumberFormat="1" applyFont="1" applyFill="1" applyBorder="1" applyAlignment="1">
      <alignment horizontal="left" vertical="center" indent="2"/>
    </xf>
    <xf numFmtId="166" fontId="26" fillId="0" borderId="11" xfId="0" applyNumberFormat="1" applyFont="1" applyBorder="1" applyAlignment="1">
      <alignment horizontal="right" vertical="center"/>
    </xf>
    <xf numFmtId="0" fontId="25" fillId="0" borderId="9" xfId="0" applyFont="1" applyBorder="1" applyAlignment="1">
      <alignment vertical="center"/>
    </xf>
    <xf numFmtId="0" fontId="55" fillId="0" borderId="9" xfId="0" applyFont="1" applyBorder="1" applyAlignment="1">
      <alignment vertical="center"/>
    </xf>
    <xf numFmtId="174" fontId="25" fillId="0" borderId="12" xfId="5" applyNumberFormat="1" applyFont="1" applyBorder="1" applyAlignment="1">
      <alignment horizontal="center" vertical="center"/>
    </xf>
    <xf numFmtId="0" fontId="55" fillId="0" borderId="0" xfId="0" applyFont="1" applyAlignment="1">
      <alignment vertical="center"/>
    </xf>
    <xf numFmtId="174" fontId="25" fillId="0" borderId="12" xfId="5" applyNumberFormat="1" applyFont="1" applyBorder="1" applyAlignment="1">
      <alignment vertical="center"/>
    </xf>
    <xf numFmtId="174" fontId="26" fillId="4" borderId="0" xfId="5" applyNumberFormat="1" applyFont="1" applyFill="1" applyBorder="1" applyAlignment="1">
      <alignment horizontal="center" vertical="center"/>
    </xf>
    <xf numFmtId="0" fontId="54" fillId="0" borderId="0" xfId="0" applyFont="1" applyAlignment="1">
      <alignment vertical="center"/>
    </xf>
    <xf numFmtId="174" fontId="26" fillId="4" borderId="0" xfId="5" applyNumberFormat="1" applyFont="1" applyFill="1" applyBorder="1" applyAlignment="1">
      <alignment vertical="center"/>
    </xf>
    <xf numFmtId="0" fontId="51" fillId="0" borderId="8" xfId="0" applyFont="1" applyBorder="1" applyAlignment="1">
      <alignment horizontal="left" vertical="center" indent="2"/>
    </xf>
    <xf numFmtId="0" fontId="56" fillId="0" borderId="8" xfId="0" applyFont="1" applyBorder="1" applyAlignment="1">
      <alignment horizontal="left" vertical="center" indent="2"/>
    </xf>
    <xf numFmtId="165" fontId="51" fillId="0" borderId="8" xfId="4" applyNumberFormat="1" applyFont="1" applyFill="1" applyBorder="1" applyAlignment="1">
      <alignment horizontal="center" vertical="center"/>
    </xf>
    <xf numFmtId="165" fontId="51" fillId="0" borderId="8" xfId="4" applyNumberFormat="1" applyFont="1" applyFill="1" applyBorder="1" applyAlignment="1">
      <alignment horizontal="left" vertical="center" indent="2"/>
    </xf>
    <xf numFmtId="165" fontId="51" fillId="0" borderId="10" xfId="4" applyNumberFormat="1" applyFont="1" applyFill="1" applyBorder="1" applyAlignment="1">
      <alignment horizontal="left" vertical="center" indent="2"/>
    </xf>
    <xf numFmtId="174" fontId="49" fillId="0" borderId="0" xfId="0" applyNumberFormat="1" applyFont="1"/>
    <xf numFmtId="0" fontId="26" fillId="0" borderId="11" xfId="0" applyFont="1" applyBorder="1" applyAlignment="1">
      <alignment horizontal="left" vertical="center"/>
    </xf>
    <xf numFmtId="0" fontId="26" fillId="4" borderId="7" xfId="0" applyFont="1" applyFill="1" applyBorder="1" applyAlignment="1">
      <alignment horizontal="left" vertical="center"/>
    </xf>
    <xf numFmtId="164" fontId="26" fillId="4" borderId="0" xfId="0" applyNumberFormat="1" applyFont="1" applyFill="1" applyAlignment="1">
      <alignment vertical="center"/>
    </xf>
    <xf numFmtId="0" fontId="25" fillId="0" borderId="7" xfId="0" applyFont="1" applyBorder="1" applyAlignment="1">
      <alignment horizontal="left" vertical="center"/>
    </xf>
    <xf numFmtId="164" fontId="25" fillId="0" borderId="0" xfId="0" applyNumberFormat="1" applyFont="1" applyAlignment="1">
      <alignment vertical="center"/>
    </xf>
    <xf numFmtId="174" fontId="25" fillId="0" borderId="0" xfId="5" applyNumberFormat="1" applyFont="1" applyBorder="1" applyAlignment="1">
      <alignment vertical="center"/>
    </xf>
    <xf numFmtId="165" fontId="51" fillId="0" borderId="0" xfId="4" applyNumberFormat="1" applyFont="1" applyFill="1" applyBorder="1" applyAlignment="1">
      <alignment horizontal="left" vertical="center" indent="2"/>
    </xf>
    <xf numFmtId="0" fontId="25" fillId="4" borderId="7" xfId="0" applyFont="1" applyFill="1" applyBorder="1" applyAlignment="1">
      <alignment horizontal="left" vertical="center"/>
    </xf>
    <xf numFmtId="164" fontId="25" fillId="4" borderId="11" xfId="0" applyNumberFormat="1" applyFont="1" applyFill="1" applyBorder="1" applyAlignment="1">
      <alignment horizontal="right" vertical="center"/>
    </xf>
    <xf numFmtId="0" fontId="26" fillId="0" borderId="8" xfId="0" applyFont="1" applyBorder="1" applyAlignment="1">
      <alignment vertical="center"/>
    </xf>
    <xf numFmtId="0" fontId="26" fillId="0" borderId="8" xfId="0" applyFont="1" applyBorder="1" applyAlignment="1">
      <alignment horizontal="left" vertical="center"/>
    </xf>
    <xf numFmtId="174" fontId="26" fillId="0" borderId="8" xfId="0" applyNumberFormat="1" applyFont="1" applyBorder="1" applyAlignment="1">
      <alignment vertical="center"/>
    </xf>
    <xf numFmtId="0" fontId="51" fillId="0" borderId="15" xfId="0" applyFont="1" applyBorder="1" applyAlignment="1">
      <alignment horizontal="left" vertical="center" indent="1"/>
    </xf>
    <xf numFmtId="0" fontId="26" fillId="0" borderId="15" xfId="0" applyFont="1" applyBorder="1" applyAlignment="1">
      <alignment horizontal="left" vertical="center"/>
    </xf>
    <xf numFmtId="0" fontId="51" fillId="0" borderId="1" xfId="0" applyFont="1" applyBorder="1" applyAlignment="1">
      <alignment vertical="center"/>
    </xf>
    <xf numFmtId="0" fontId="25" fillId="0" borderId="1" xfId="0" applyFont="1" applyBorder="1" applyAlignment="1">
      <alignment vertical="center"/>
    </xf>
    <xf numFmtId="0" fontId="26" fillId="0" borderId="1" xfId="0" applyFont="1" applyBorder="1" applyAlignment="1">
      <alignment horizontal="right" vertical="center"/>
    </xf>
    <xf numFmtId="0" fontId="26" fillId="0" borderId="1" xfId="0" applyFont="1" applyBorder="1" applyAlignment="1">
      <alignment vertical="center"/>
    </xf>
    <xf numFmtId="0" fontId="27" fillId="0" borderId="2" xfId="0" applyFont="1" applyBorder="1"/>
    <xf numFmtId="0" fontId="49" fillId="0" borderId="2" xfId="0" applyFont="1" applyBorder="1"/>
    <xf numFmtId="0" fontId="57" fillId="0" borderId="0" xfId="0" applyFont="1" applyAlignment="1">
      <alignment vertical="center"/>
    </xf>
    <xf numFmtId="0" fontId="58" fillId="0" borderId="0" xfId="0" applyFont="1" applyAlignment="1">
      <alignment horizontal="left"/>
    </xf>
    <xf numFmtId="0" fontId="58" fillId="36" borderId="0" xfId="0" applyFont="1" applyFill="1" applyAlignment="1">
      <alignment horizontal="left"/>
    </xf>
    <xf numFmtId="0" fontId="49" fillId="36" borderId="0" xfId="0" applyFont="1" applyFill="1"/>
    <xf numFmtId="164" fontId="25" fillId="36" borderId="0" xfId="0" applyNumberFormat="1" applyFont="1" applyFill="1" applyAlignment="1">
      <alignment horizontal="right" vertical="center"/>
    </xf>
    <xf numFmtId="0" fontId="49" fillId="36" borderId="2" xfId="0" applyFont="1" applyFill="1" applyBorder="1"/>
    <xf numFmtId="0" fontId="27" fillId="2" borderId="0" xfId="0" applyFont="1" applyFill="1"/>
    <xf numFmtId="164" fontId="26" fillId="2" borderId="0" xfId="0" applyNumberFormat="1" applyFont="1" applyFill="1" applyAlignment="1">
      <alignment horizontal="right" vertical="center"/>
    </xf>
    <xf numFmtId="0" fontId="52" fillId="0" borderId="0" xfId="0" applyFont="1" applyAlignment="1">
      <alignment horizontal="left"/>
    </xf>
    <xf numFmtId="43" fontId="25" fillId="0" borderId="0" xfId="5" applyFont="1" applyAlignment="1">
      <alignment horizontal="right" vertical="center"/>
    </xf>
    <xf numFmtId="0" fontId="25" fillId="0" borderId="0" xfId="0" applyFont="1" applyAlignment="1">
      <alignment horizontal="right" vertical="center"/>
    </xf>
    <xf numFmtId="9" fontId="25" fillId="0" borderId="0" xfId="0" applyNumberFormat="1" applyFont="1" applyAlignment="1">
      <alignment horizontal="right" vertical="center"/>
    </xf>
    <xf numFmtId="165" fontId="26" fillId="2" borderId="0" xfId="0" applyNumberFormat="1" applyFont="1" applyFill="1" applyAlignment="1">
      <alignment horizontal="right" vertical="center"/>
    </xf>
    <xf numFmtId="0" fontId="25" fillId="36" borderId="0" xfId="0" applyFont="1" applyFill="1" applyAlignment="1">
      <alignment vertical="center"/>
    </xf>
    <xf numFmtId="9" fontId="25" fillId="36" borderId="0" xfId="0" applyNumberFormat="1" applyFont="1" applyFill="1" applyAlignment="1">
      <alignment horizontal="right" vertical="center"/>
    </xf>
    <xf numFmtId="165" fontId="25" fillId="36" borderId="0" xfId="0" applyNumberFormat="1" applyFont="1" applyFill="1" applyAlignment="1">
      <alignment horizontal="right" vertical="center"/>
    </xf>
    <xf numFmtId="0" fontId="25" fillId="2" borderId="0" xfId="0" applyFont="1" applyFill="1"/>
    <xf numFmtId="0" fontId="25" fillId="0" borderId="2" xfId="0" applyFont="1" applyBorder="1"/>
    <xf numFmtId="0" fontId="25" fillId="0" borderId="0" xfId="0" applyFont="1"/>
    <xf numFmtId="0" fontId="51" fillId="0" borderId="0" xfId="0" applyFont="1" applyAlignment="1">
      <alignment horizontal="left" indent="2"/>
    </xf>
    <xf numFmtId="0" fontId="51" fillId="0" borderId="0" xfId="0" applyFont="1"/>
    <xf numFmtId="165" fontId="51" fillId="0" borderId="0" xfId="0" applyNumberFormat="1" applyFont="1"/>
    <xf numFmtId="0" fontId="51" fillId="0" borderId="2" xfId="0" applyFont="1" applyBorder="1"/>
    <xf numFmtId="170" fontId="25" fillId="0" borderId="0" xfId="0" applyNumberFormat="1" applyFont="1"/>
    <xf numFmtId="0" fontId="26" fillId="0" borderId="4" xfId="0" applyFont="1" applyBorder="1" applyAlignment="1">
      <alignment vertical="center"/>
    </xf>
    <xf numFmtId="0" fontId="25" fillId="0" borderId="4" xfId="0" applyFont="1" applyBorder="1"/>
    <xf numFmtId="164" fontId="26" fillId="0" borderId="4" xfId="0" applyNumberFormat="1" applyFont="1" applyBorder="1" applyAlignment="1">
      <alignment horizontal="right" vertical="center"/>
    </xf>
    <xf numFmtId="173" fontId="51" fillId="0" borderId="0" xfId="0" applyNumberFormat="1" applyFont="1"/>
    <xf numFmtId="164" fontId="51" fillId="0" borderId="0" xfId="0" applyNumberFormat="1" applyFont="1"/>
    <xf numFmtId="0" fontId="59" fillId="0" borderId="0" xfId="0" applyFont="1"/>
    <xf numFmtId="0" fontId="60" fillId="0" borderId="0" xfId="0" applyFont="1"/>
    <xf numFmtId="165" fontId="25" fillId="0" borderId="0" xfId="0" applyNumberFormat="1" applyFont="1"/>
    <xf numFmtId="168" fontId="25" fillId="0" borderId="0" xfId="4" applyNumberFormat="1" applyFont="1" applyAlignment="1">
      <alignment horizontal="right" vertical="center"/>
    </xf>
    <xf numFmtId="0" fontId="26" fillId="0" borderId="4" xfId="0" applyFont="1" applyBorder="1"/>
    <xf numFmtId="164" fontId="9" fillId="0" borderId="0" xfId="0" applyNumberFormat="1" applyFont="1" applyAlignment="1">
      <alignment horizontal="right" vertical="center"/>
    </xf>
    <xf numFmtId="174" fontId="25" fillId="0" borderId="3" xfId="5" applyNumberFormat="1" applyFont="1" applyBorder="1" applyAlignment="1">
      <alignment horizontal="right" vertical="center"/>
    </xf>
    <xf numFmtId="166" fontId="26" fillId="0" borderId="25" xfId="0" applyNumberFormat="1" applyFont="1" applyBorder="1" applyAlignment="1">
      <alignment horizontal="right" vertical="center"/>
    </xf>
    <xf numFmtId="165" fontId="26" fillId="0" borderId="0" xfId="4" applyNumberFormat="1" applyFont="1" applyBorder="1" applyAlignment="1">
      <alignment horizontal="right" vertical="center"/>
    </xf>
    <xf numFmtId="9" fontId="26" fillId="36" borderId="13" xfId="4" applyFont="1" applyFill="1" applyBorder="1" applyAlignment="1">
      <alignment horizontal="center" vertical="center"/>
    </xf>
    <xf numFmtId="9" fontId="25" fillId="36" borderId="3" xfId="4" applyFont="1" applyFill="1" applyBorder="1" applyAlignment="1">
      <alignment horizontal="center" vertical="center"/>
    </xf>
    <xf numFmtId="9" fontId="26" fillId="36" borderId="14" xfId="4" applyFont="1" applyFill="1" applyBorder="1" applyAlignment="1">
      <alignment horizontal="center" vertical="center"/>
    </xf>
    <xf numFmtId="9" fontId="25" fillId="36" borderId="0" xfId="4" applyFont="1" applyFill="1" applyAlignment="1">
      <alignment horizontal="center" vertical="center"/>
    </xf>
    <xf numFmtId="9" fontId="26" fillId="36" borderId="7" xfId="4" applyFont="1" applyFill="1" applyBorder="1" applyAlignment="1">
      <alignment horizontal="center" vertical="center"/>
    </xf>
    <xf numFmtId="174" fontId="25" fillId="36" borderId="12" xfId="5" applyNumberFormat="1" applyFont="1" applyFill="1" applyBorder="1" applyAlignment="1">
      <alignment horizontal="center" vertical="center"/>
    </xf>
    <xf numFmtId="9" fontId="25" fillId="36" borderId="12" xfId="4" applyFont="1" applyFill="1" applyBorder="1" applyAlignment="1">
      <alignment horizontal="center" vertical="center"/>
    </xf>
    <xf numFmtId="9" fontId="26" fillId="36" borderId="0" xfId="4" applyFont="1" applyFill="1" applyBorder="1" applyAlignment="1">
      <alignment horizontal="center" vertical="center"/>
    </xf>
    <xf numFmtId="0" fontId="54" fillId="36" borderId="0" xfId="0" applyFont="1" applyFill="1" applyAlignment="1">
      <alignment vertical="center"/>
    </xf>
    <xf numFmtId="0" fontId="55" fillId="36" borderId="0" xfId="0" applyFont="1" applyFill="1" applyAlignment="1">
      <alignment vertical="center"/>
    </xf>
    <xf numFmtId="0" fontId="56" fillId="36" borderId="0" xfId="0" applyFont="1" applyFill="1" applyAlignment="1">
      <alignment horizontal="left" vertical="center" indent="2"/>
    </xf>
    <xf numFmtId="165" fontId="25" fillId="0" borderId="0" xfId="4" applyNumberFormat="1" applyFont="1" applyBorder="1" applyAlignment="1">
      <alignment horizontal="center" vertical="center"/>
    </xf>
    <xf numFmtId="9" fontId="26" fillId="36" borderId="7" xfId="4" applyFont="1" applyFill="1" applyBorder="1" applyAlignment="1">
      <alignment vertical="center"/>
    </xf>
    <xf numFmtId="9" fontId="25" fillId="36" borderId="7" xfId="4" applyFont="1" applyFill="1" applyBorder="1" applyAlignment="1">
      <alignment vertical="center"/>
    </xf>
    <xf numFmtId="9" fontId="26" fillId="36" borderId="6" xfId="4" applyFont="1" applyFill="1" applyBorder="1" applyAlignment="1">
      <alignment horizontal="right" vertical="center"/>
    </xf>
    <xf numFmtId="9" fontId="51" fillId="36" borderId="8" xfId="4" applyFont="1" applyFill="1" applyBorder="1" applyAlignment="1">
      <alignment horizontal="left" vertical="center" indent="2"/>
    </xf>
    <xf numFmtId="166" fontId="25" fillId="0" borderId="0" xfId="0" applyNumberFormat="1" applyFont="1" applyAlignment="1">
      <alignment horizontal="right" vertical="center"/>
    </xf>
    <xf numFmtId="9" fontId="26" fillId="36" borderId="0" xfId="4" applyFont="1" applyFill="1" applyBorder="1" applyAlignment="1">
      <alignment vertical="center"/>
    </xf>
    <xf numFmtId="9" fontId="25" fillId="36" borderId="0" xfId="4" applyFont="1" applyFill="1" applyBorder="1" applyAlignment="1">
      <alignment vertical="center"/>
    </xf>
    <xf numFmtId="9" fontId="51" fillId="36" borderId="11" xfId="4" applyFont="1" applyFill="1" applyBorder="1" applyAlignment="1">
      <alignment horizontal="left" vertical="center" indent="2"/>
    </xf>
    <xf numFmtId="0" fontId="26" fillId="36" borderId="0" xfId="0" applyFont="1" applyFill="1" applyAlignment="1">
      <alignment vertical="center"/>
    </xf>
    <xf numFmtId="0" fontId="51" fillId="36" borderId="0" xfId="0" applyFont="1" applyFill="1" applyAlignment="1">
      <alignment horizontal="left" vertical="center" indent="1"/>
    </xf>
    <xf numFmtId="165" fontId="26" fillId="36" borderId="0" xfId="0" applyNumberFormat="1" applyFont="1" applyFill="1" applyAlignment="1">
      <alignment horizontal="right" vertical="center"/>
    </xf>
    <xf numFmtId="0" fontId="51" fillId="36" borderId="0" xfId="0" applyFont="1" applyFill="1" applyAlignment="1">
      <alignment horizontal="left" vertical="center" indent="2"/>
    </xf>
    <xf numFmtId="164" fontId="25" fillId="0" borderId="0" xfId="5" applyNumberFormat="1" applyFont="1" applyFill="1" applyAlignment="1">
      <alignment horizontal="right" vertical="center"/>
    </xf>
    <xf numFmtId="164" fontId="16" fillId="0" borderId="0" xfId="0" applyNumberFormat="1" applyFont="1"/>
    <xf numFmtId="0" fontId="61" fillId="0" borderId="0" xfId="0" applyFont="1" applyAlignment="1">
      <alignment horizontal="left" vertical="center"/>
    </xf>
    <xf numFmtId="0" fontId="61" fillId="0" borderId="0" xfId="0" applyFont="1" applyAlignment="1">
      <alignment horizontal="left" vertical="center" indent="1"/>
    </xf>
    <xf numFmtId="164" fontId="61" fillId="0" borderId="0" xfId="0" applyNumberFormat="1" applyFont="1" applyAlignment="1">
      <alignment horizontal="right" vertical="center"/>
    </xf>
    <xf numFmtId="165" fontId="61" fillId="0" borderId="0" xfId="0" applyNumberFormat="1" applyFont="1" applyAlignment="1">
      <alignment horizontal="right" vertical="center"/>
    </xf>
    <xf numFmtId="179" fontId="49" fillId="0" borderId="0" xfId="0" applyNumberFormat="1" applyFont="1"/>
    <xf numFmtId="180" fontId="49" fillId="0" borderId="0" xfId="0" applyNumberFormat="1" applyFont="1"/>
    <xf numFmtId="174" fontId="26" fillId="0" borderId="0" xfId="5" applyNumberFormat="1" applyFont="1" applyFill="1" applyAlignment="1">
      <alignment horizontal="right" vertical="center"/>
    </xf>
  </cellXfs>
  <cellStyles count="80">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Comma 17" xfId="53" xr:uid="{BFD0F1BC-E0E8-4157-91AE-381C548616D5}"/>
    <cellStyle name="Comma 2" xfId="2" xr:uid="{E5FDF58C-6B8A-408B-833E-FA43F4387B5E}"/>
    <cellStyle name="Comma 2 2" xfId="70" xr:uid="{1F6F965E-95D1-4374-A797-7B6942B28FDE}"/>
    <cellStyle name="Comma 2 3" xfId="65" xr:uid="{8C56E180-DE8E-4790-838D-D0ECF5260A78}"/>
    <cellStyle name="Comma 28" xfId="55" xr:uid="{7499E80A-5649-417C-81D3-9011F52F217B}"/>
    <cellStyle name="Comma 3" xfId="48" xr:uid="{D8E4B3CF-5ABA-4C9E-BB5E-FD855BF2D7EF}"/>
    <cellStyle name="Comma 4" xfId="67" xr:uid="{6D18A5FC-D716-4130-8191-7DB40C78CFD9}"/>
    <cellStyle name="Currency 2" xfId="52" xr:uid="{7E330909-5DD3-4B21-B0C1-72DFAA8475D0}"/>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Moeda 2" xfId="59" xr:uid="{820376C0-DFDD-43B8-832D-12E415AEBB75}"/>
    <cellStyle name="Neutro" xfId="13" builtinId="28" customBuiltin="1"/>
    <cellStyle name="Normal" xfId="0" builtinId="0"/>
    <cellStyle name="Normal - Style1" xfId="58" xr:uid="{10B27906-5BF3-4DA6-98AE-95E66235F29C}"/>
    <cellStyle name="Normal 2" xfId="74" xr:uid="{A1BD423F-D5E0-48D3-AE1C-3DCB08CF34CD}"/>
    <cellStyle name="Normal 2 2" xfId="3" xr:uid="{0A38BDEA-88FD-44D5-92D4-83A289416339}"/>
    <cellStyle name="Normal 2 2 2" xfId="69" xr:uid="{50B764CE-3989-4219-AC39-96F142F67096}"/>
    <cellStyle name="Normal 3 2 3" xfId="72" xr:uid="{23A890A0-21A5-4550-9244-98E1134CE8F4}"/>
    <cellStyle name="Normal 4" xfId="64" xr:uid="{793FCD4F-3E90-43DF-8D60-3178DE6AE9F2}"/>
    <cellStyle name="Normal 4 2" xfId="66" xr:uid="{06820073-FB33-4D31-BAE3-880B9C3EA5D8}"/>
    <cellStyle name="Normal 5" xfId="49" xr:uid="{61DD49E4-C419-49A1-9EF7-01F794F3EF26}"/>
    <cellStyle name="Normal 5 2" xfId="54" xr:uid="{88D23A75-33E1-4F4C-BD36-EE1F51F08AD4}"/>
    <cellStyle name="Normal 5 2 2" xfId="56" xr:uid="{09EAED7D-5DC3-4850-87F6-FB193609BBDB}"/>
    <cellStyle name="Normal 6" xfId="50" xr:uid="{7E0AEFCA-6AB8-420B-9EB7-F2E49A894E4F}"/>
    <cellStyle name="Normal 8" xfId="75" xr:uid="{A9D73CCD-FBE7-4A83-9387-4BE65EC9B353}"/>
    <cellStyle name="Nota" xfId="20" builtinId="10" customBuiltin="1"/>
    <cellStyle name="Percent 2" xfId="63" xr:uid="{1A5F594F-0C70-407E-A183-081E8DD30505}"/>
    <cellStyle name="Porcentagem" xfId="4" builtinId="5"/>
    <cellStyle name="Ruim" xfId="12" builtinId="27" customBuiltin="1"/>
    <cellStyle name="Saída" xfId="15" builtinId="21" customBuiltin="1"/>
    <cellStyle name="Separador de milhares 2" xfId="57" xr:uid="{4E5AD525-6B90-49C5-BB20-A86317C33F28}"/>
    <cellStyle name="Separador de milhares 2 2" xfId="60" xr:uid="{6C216F93-880F-41E9-BDAD-FB8AAC84CFAD}"/>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5" builtinId="3"/>
    <cellStyle name="Vírgula 2" xfId="47" xr:uid="{2C1CDA5D-1489-4F43-BEDE-5399B9EA6DF9}"/>
    <cellStyle name="Vírgula 2 2" xfId="61" xr:uid="{D0E73B1B-F97F-41C0-9D70-B932E8C67DED}"/>
    <cellStyle name="Vírgula 2 3" xfId="76" xr:uid="{05EF64C5-C44C-4363-AB53-A9C6354775A7}"/>
    <cellStyle name="Vírgula 3" xfId="62" xr:uid="{6A40EBA5-1BBF-45D0-A352-9099B24028BA}"/>
    <cellStyle name="Vírgula 3 2" xfId="68" xr:uid="{403B7DF2-AA63-42FB-9854-803B7AE4B4CD}"/>
    <cellStyle name="Vírgula 4" xfId="1" xr:uid="{E0F1BF20-526D-4676-83A6-3E28E746F42E}"/>
    <cellStyle name="Vírgula 4 2" xfId="51" xr:uid="{3A84F014-4E3B-4F50-A51B-4DA77A387063}"/>
    <cellStyle name="Vírgula 4 3" xfId="71" xr:uid="{417366D4-DAC4-488D-AC41-CCF0C38CFECF}"/>
    <cellStyle name="Vírgula 4 4" xfId="73" xr:uid="{3FEED732-D741-4115-9B5D-EB458ECBCF02}"/>
    <cellStyle name="Vírgula 4 5" xfId="77" xr:uid="{603C5DF4-5F2F-44BF-B5CA-20DD26AF3DFF}"/>
    <cellStyle name="Vírgula 5" xfId="78" xr:uid="{4F18B09A-85D2-4CA2-A663-426A438A84A2}"/>
    <cellStyle name="Vírgula 6" xfId="79" xr:uid="{BFFFA34E-5E18-44E4-A727-C578EB570E4A}"/>
  </cellStyles>
  <dxfs count="0"/>
  <tableStyles count="0" defaultTableStyle="TableStyleMedium2" defaultPivotStyle="PivotStyleLight16"/>
  <colors>
    <mruColors>
      <color rgb="FF002A9A"/>
      <color rgb="FFF6F3EE"/>
      <color rgb="FFEEE8E0"/>
      <color rgb="FFDDDDDD"/>
      <color rgb="FFEDEDED"/>
      <color rgb="FFEBF3FB"/>
      <color rgb="FFF5F9FD"/>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24</xdr:row>
      <xdr:rowOff>190500</xdr:rowOff>
    </xdr:to>
    <xdr:pic>
      <xdr:nvPicPr>
        <xdr:cNvPr id="8" name="Picture 7">
          <a:extLst>
            <a:ext uri="{FF2B5EF4-FFF2-40B4-BE49-F238E27FC236}">
              <a16:creationId xmlns:a16="http://schemas.microsoft.com/office/drawing/2014/main" id="{3B233688-C319-4368-BF95-77F92DC636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3000" cy="4837043"/>
        </a:xfrm>
        <a:prstGeom prst="rect">
          <a:avLst/>
        </a:prstGeom>
      </xdr:spPr>
    </xdr:pic>
    <xdr:clientData/>
  </xdr:twoCellAnchor>
  <xdr:twoCellAnchor editAs="oneCell">
    <xdr:from>
      <xdr:col>12</xdr:col>
      <xdr:colOff>345682</xdr:colOff>
      <xdr:row>2</xdr:row>
      <xdr:rowOff>182218</xdr:rowOff>
    </xdr:from>
    <xdr:to>
      <xdr:col>14</xdr:col>
      <xdr:colOff>153281</xdr:colOff>
      <xdr:row>4</xdr:row>
      <xdr:rowOff>39155</xdr:rowOff>
    </xdr:to>
    <xdr:pic>
      <xdr:nvPicPr>
        <xdr:cNvPr id="23" name="Imagem 5">
          <a:extLst>
            <a:ext uri="{FF2B5EF4-FFF2-40B4-BE49-F238E27FC236}">
              <a16:creationId xmlns:a16="http://schemas.microsoft.com/office/drawing/2014/main" id="{58B319E0-AD94-44A7-94E9-E95190436DBC}"/>
            </a:ext>
          </a:extLst>
        </xdr:cNvPr>
        <xdr:cNvPicPr>
          <a:picLocks noChangeAspect="1"/>
        </xdr:cNvPicPr>
      </xdr:nvPicPr>
      <xdr:blipFill>
        <a:blip xmlns:r="http://schemas.openxmlformats.org/officeDocument/2006/relationships" r:embed="rId2"/>
        <a:stretch>
          <a:fillRect/>
        </a:stretch>
      </xdr:blipFill>
      <xdr:spPr>
        <a:xfrm>
          <a:off x="7269943" y="563218"/>
          <a:ext cx="1033425" cy="237937"/>
        </a:xfrm>
        <a:prstGeom prst="rect">
          <a:avLst/>
        </a:prstGeom>
      </xdr:spPr>
    </xdr:pic>
    <xdr:clientData/>
  </xdr:twoCellAnchor>
  <xdr:twoCellAnchor>
    <xdr:from>
      <xdr:col>0</xdr:col>
      <xdr:colOff>119366</xdr:colOff>
      <xdr:row>0</xdr:row>
      <xdr:rowOff>95980</xdr:rowOff>
    </xdr:from>
    <xdr:to>
      <xdr:col>13</xdr:col>
      <xdr:colOff>469431</xdr:colOff>
      <xdr:row>14</xdr:row>
      <xdr:rowOff>28746</xdr:rowOff>
    </xdr:to>
    <xdr:sp macro="" textlink="">
      <xdr:nvSpPr>
        <xdr:cNvPr id="6" name="Title 1">
          <a:extLst>
            <a:ext uri="{FF2B5EF4-FFF2-40B4-BE49-F238E27FC236}">
              <a16:creationId xmlns:a16="http://schemas.microsoft.com/office/drawing/2014/main" id="{DE3381C2-1B84-4DC4-8A3A-B4263A1B6BAE}"/>
            </a:ext>
          </a:extLst>
        </xdr:cNvPr>
        <xdr:cNvSpPr>
          <a:spLocks noGrp="1"/>
        </xdr:cNvSpPr>
      </xdr:nvSpPr>
      <xdr:spPr>
        <a:xfrm>
          <a:off x="119366" y="95980"/>
          <a:ext cx="7887239" cy="2674309"/>
        </a:xfrm>
        <a:prstGeom prst="rect">
          <a:avLst/>
        </a:prstGeom>
      </xdr:spPr>
      <xdr:txBody>
        <a:bodyPr wrap="square" anchor="ctr">
          <a:noAutofit/>
        </a:bodyPr>
        <a:lstStyle>
          <a:lvl1pPr algn="l" defTabSz="914400" rtl="0" eaLnBrk="1" latinLnBrk="0" hangingPunct="1">
            <a:lnSpc>
              <a:spcPct val="90000"/>
            </a:lnSpc>
            <a:spcBef>
              <a:spcPct val="0"/>
            </a:spcBef>
            <a:buNone/>
            <a:defRPr sz="4400" b="1" i="0" kern="1200" baseline="0">
              <a:solidFill>
                <a:srgbClr val="EEE8E0"/>
              </a:solidFill>
              <a:latin typeface="Verdana" panose="020B0604030504040204" pitchFamily="34" charset="0"/>
              <a:ea typeface="Verdana" panose="020B0604030504040204" pitchFamily="34" charset="0"/>
              <a:cs typeface="Verdana" panose="020B0604030504040204" pitchFamily="34" charset="0"/>
            </a:defRPr>
          </a:lvl1pPr>
        </a:lstStyle>
        <a:p>
          <a:pPr>
            <a:lnSpc>
              <a:spcPts val="6300"/>
            </a:lnSpc>
            <a:spcAft>
              <a:spcPts val="2400"/>
            </a:spcAft>
          </a:pPr>
          <a:r>
            <a:rPr lang="pt-BR" sz="3600">
              <a:latin typeface="Axiforma ExtraBold" panose="00000900000000000000" pitchFamily="50" charset="0"/>
            </a:rPr>
            <a:t>Planilha</a:t>
          </a:r>
          <a:r>
            <a:rPr lang="pt-BR" sz="3600" baseline="0">
              <a:latin typeface="Axiforma ExtraBold" panose="00000900000000000000" pitchFamily="50" charset="0"/>
            </a:rPr>
            <a:t> de </a:t>
          </a:r>
          <a:r>
            <a:rPr lang="pt-BR" sz="3600">
              <a:latin typeface="Axiforma ExtraBold" panose="00000900000000000000" pitchFamily="50" charset="0"/>
            </a:rPr>
            <a:t>Resultados</a:t>
          </a:r>
        </a:p>
        <a:p>
          <a:pPr>
            <a:lnSpc>
              <a:spcPts val="6300"/>
            </a:lnSpc>
            <a:spcAft>
              <a:spcPts val="2400"/>
            </a:spcAft>
          </a:pPr>
          <a:r>
            <a:rPr lang="pt-BR" sz="3600" b="1" i="0" kern="1200" baseline="0">
              <a:solidFill>
                <a:srgbClr val="EEE8E0"/>
              </a:solidFill>
              <a:effectLst/>
              <a:latin typeface="Axiforma ExtraBold" panose="00000900000000000000" pitchFamily="50" charset="0"/>
              <a:ea typeface="Verdana" panose="020B0604030504040204" pitchFamily="34" charset="0"/>
              <a:cs typeface="Verdana" panose="020B0604030504040204" pitchFamily="34" charset="0"/>
            </a:rPr>
            <a:t>Results Spreadsheet</a:t>
          </a:r>
          <a:br>
            <a:rPr lang="pt-BR" sz="4800">
              <a:latin typeface="Axiforma" panose="00000500000000000000" pitchFamily="50" charset="0"/>
            </a:rPr>
          </a:br>
          <a:r>
            <a:rPr lang="pt-BR" sz="3600">
              <a:solidFill>
                <a:srgbClr val="C4E90D"/>
              </a:solidFill>
              <a:latin typeface="Axiforma ExtraBold" panose="00000900000000000000" pitchFamily="50" charset="0"/>
            </a:rPr>
            <a:t>4T/4Q 2025</a:t>
          </a:r>
          <a:endParaRPr lang="pt-BR" sz="4000" b="0">
            <a:solidFill>
              <a:srgbClr val="C4E90D"/>
            </a:solidFill>
            <a:latin typeface="Axiforma ExtraBold" panose="00000900000000000000" pitchFamily="50" charset="0"/>
          </a:endParaRPr>
        </a:p>
      </xdr:txBody>
    </xdr:sp>
    <xdr:clientData/>
  </xdr:twoCellAnchor>
  <xdr:twoCellAnchor>
    <xdr:from>
      <xdr:col>0</xdr:col>
      <xdr:colOff>0</xdr:colOff>
      <xdr:row>14</xdr:row>
      <xdr:rowOff>41413</xdr:rowOff>
    </xdr:from>
    <xdr:to>
      <xdr:col>7</xdr:col>
      <xdr:colOff>563217</xdr:colOff>
      <xdr:row>24</xdr:row>
      <xdr:rowOff>82826</xdr:rowOff>
    </xdr:to>
    <xdr:sp macro="" textlink="">
      <xdr:nvSpPr>
        <xdr:cNvPr id="7" name="Retângulo 2">
          <a:extLst>
            <a:ext uri="{FF2B5EF4-FFF2-40B4-BE49-F238E27FC236}">
              <a16:creationId xmlns:a16="http://schemas.microsoft.com/office/drawing/2014/main" id="{9A4AFDA1-400C-492B-B1A6-E7CFCB9FFF01}"/>
            </a:ext>
          </a:extLst>
        </xdr:cNvPr>
        <xdr:cNvSpPr/>
      </xdr:nvSpPr>
      <xdr:spPr>
        <a:xfrm>
          <a:off x="0"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As métricas não contábeis apresentadas neste relatório não são medidas de desempenho financeiro, liquidez ou endividamento reconhecidas pelo BR GAAP nem pelas IFRS, e não possuem significado padrão. Outras companhias podem calcular as métricas não contábeis apresentadas neste relatório de forma distinta não havendo, desta forma, comparação entre as divulgações. As declarações contidas neste relatório relativas à perspectiva dos negócios da Companhia, às projeções e resultados e ao potencial de crescimento dela constituem-se em meras previsões e foram baseadas nas expectativas da administração em relação ao futuro da Companhia. Essas expectativas são altamente dependentes de mudanças no mercado e no desempenho econômico geral do País, do setor e do mercado internacional; estando, portanto, sujeitas a mudanças.</a:t>
          </a:r>
          <a:endParaRPr lang="en-US" sz="1050">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7</xdr:col>
      <xdr:colOff>480391</xdr:colOff>
      <xdr:row>14</xdr:row>
      <xdr:rowOff>41413</xdr:rowOff>
    </xdr:from>
    <xdr:to>
      <xdr:col>15</xdr:col>
      <xdr:colOff>0</xdr:colOff>
      <xdr:row>24</xdr:row>
      <xdr:rowOff>82826</xdr:rowOff>
    </xdr:to>
    <xdr:sp macro="" textlink="">
      <xdr:nvSpPr>
        <xdr:cNvPr id="9" name="Retângulo 2">
          <a:extLst>
            <a:ext uri="{FF2B5EF4-FFF2-40B4-BE49-F238E27FC236}">
              <a16:creationId xmlns:a16="http://schemas.microsoft.com/office/drawing/2014/main" id="{1FFE4F81-A1DC-4ECA-8AC4-A0E97EB710F9}"/>
            </a:ext>
          </a:extLst>
        </xdr:cNvPr>
        <xdr:cNvSpPr/>
      </xdr:nvSpPr>
      <xdr:spPr>
        <a:xfrm>
          <a:off x="4340087"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gn="l">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The non-GAAP metrics presented in this report are not measures of financial performance, liquidity or indebtedness accepted by the BR GAAP or the IFRS, and they don’t have standard meanings. Other companies may calculate the non-GAAP metrics presented in this report in a different way, thus affecting and disabling comparison between disclosures. All statements made in this report are related to the Company’s perspective of its business, projections, results and to its potential growth and are all based on internal estimates made considering management’s expectations on the future of the Company. These expectations can all be affected by the overall results of the country’s economy, the sector and international market; thus, being subject to changes.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552452</xdr:colOff>
      <xdr:row>1</xdr:row>
      <xdr:rowOff>47625</xdr:rowOff>
    </xdr:from>
    <xdr:to>
      <xdr:col>41</xdr:col>
      <xdr:colOff>447675</xdr:colOff>
      <xdr:row>1</xdr:row>
      <xdr:rowOff>236227</xdr:rowOff>
    </xdr:to>
    <xdr:pic>
      <xdr:nvPicPr>
        <xdr:cNvPr id="3" name="Imagem 5">
          <a:extLst>
            <a:ext uri="{FF2B5EF4-FFF2-40B4-BE49-F238E27FC236}">
              <a16:creationId xmlns:a16="http://schemas.microsoft.com/office/drawing/2014/main" id="{DB3AC667-E2CF-404E-8E91-716FB93289CD}"/>
            </a:ext>
          </a:extLst>
        </xdr:cNvPr>
        <xdr:cNvPicPr>
          <a:picLocks noChangeAspect="1"/>
        </xdr:cNvPicPr>
      </xdr:nvPicPr>
      <xdr:blipFill>
        <a:blip xmlns:r="http://schemas.openxmlformats.org/officeDocument/2006/relationships" r:embed="rId1"/>
        <a:stretch>
          <a:fillRect/>
        </a:stretch>
      </xdr:blipFill>
      <xdr:spPr>
        <a:xfrm>
          <a:off x="18526127" y="200025"/>
          <a:ext cx="819150" cy="188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40</xdr:col>
      <xdr:colOff>581025</xdr:colOff>
      <xdr:row>1</xdr:row>
      <xdr:rowOff>47625</xdr:rowOff>
    </xdr:from>
    <xdr:to>
      <xdr:col>41</xdr:col>
      <xdr:colOff>685799</xdr:colOff>
      <xdr:row>1</xdr:row>
      <xdr:rowOff>245752</xdr:rowOff>
    </xdr:to>
    <xdr:pic>
      <xdr:nvPicPr>
        <xdr:cNvPr id="2" name="Imagem 5">
          <a:extLst>
            <a:ext uri="{FF2B5EF4-FFF2-40B4-BE49-F238E27FC236}">
              <a16:creationId xmlns:a16="http://schemas.microsoft.com/office/drawing/2014/main" id="{840B62FD-D7EE-4494-8879-9AE590E4D895}"/>
            </a:ext>
          </a:extLst>
        </xdr:cNvPr>
        <xdr:cNvPicPr>
          <a:picLocks noChangeAspect="1"/>
        </xdr:cNvPicPr>
      </xdr:nvPicPr>
      <xdr:blipFill>
        <a:blip xmlns:r="http://schemas.openxmlformats.org/officeDocument/2006/relationships" r:embed="rId1"/>
        <a:stretch>
          <a:fillRect/>
        </a:stretch>
      </xdr:blipFill>
      <xdr:spPr>
        <a:xfrm>
          <a:off x="16363950" y="200025"/>
          <a:ext cx="819150" cy="188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33</xdr:col>
      <xdr:colOff>529593</xdr:colOff>
      <xdr:row>1</xdr:row>
      <xdr:rowOff>48802</xdr:rowOff>
    </xdr:from>
    <xdr:ext cx="819150" cy="188602"/>
    <xdr:pic>
      <xdr:nvPicPr>
        <xdr:cNvPr id="2" name="Imagem 5">
          <a:extLst>
            <a:ext uri="{FF2B5EF4-FFF2-40B4-BE49-F238E27FC236}">
              <a16:creationId xmlns:a16="http://schemas.microsoft.com/office/drawing/2014/main" id="{789B8C72-937F-4CD0-9AD6-A0671B35467D}"/>
            </a:ext>
          </a:extLst>
        </xdr:cNvPr>
        <xdr:cNvPicPr>
          <a:picLocks noChangeAspect="1"/>
        </xdr:cNvPicPr>
      </xdr:nvPicPr>
      <xdr:blipFill>
        <a:blip xmlns:r="http://schemas.openxmlformats.org/officeDocument/2006/relationships" r:embed="rId1"/>
        <a:stretch>
          <a:fillRect/>
        </a:stretch>
      </xdr:blipFill>
      <xdr:spPr>
        <a:xfrm>
          <a:off x="13720962" y="203167"/>
          <a:ext cx="819150" cy="18860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40</xdr:col>
      <xdr:colOff>581025</xdr:colOff>
      <xdr:row>1</xdr:row>
      <xdr:rowOff>47625</xdr:rowOff>
    </xdr:from>
    <xdr:ext cx="819150" cy="188602"/>
    <xdr:pic>
      <xdr:nvPicPr>
        <xdr:cNvPr id="2" name="Imagem 5">
          <a:extLst>
            <a:ext uri="{FF2B5EF4-FFF2-40B4-BE49-F238E27FC236}">
              <a16:creationId xmlns:a16="http://schemas.microsoft.com/office/drawing/2014/main" id="{34755C8F-3811-4720-8E05-1BB4BBCE0D02}"/>
            </a:ext>
          </a:extLst>
        </xdr:cNvPr>
        <xdr:cNvPicPr>
          <a:picLocks noChangeAspect="1"/>
        </xdr:cNvPicPr>
      </xdr:nvPicPr>
      <xdr:blipFill>
        <a:blip xmlns:r="http://schemas.openxmlformats.org/officeDocument/2006/relationships" r:embed="rId1"/>
        <a:stretch>
          <a:fillRect/>
        </a:stretch>
      </xdr:blipFill>
      <xdr:spPr>
        <a:xfrm>
          <a:off x="18659475" y="200025"/>
          <a:ext cx="819150" cy="188602"/>
        </a:xfrm>
        <a:prstGeom prst="rect">
          <a:avLst/>
        </a:prstGeom>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F0091DD-AD70-4DFA-8D89-8A4C41A53921}">
  <we:reference id="29673e3c-d826-4f00-92ee-162334a52b1a" version="1.0.0.8" store="EXCatalog" storeType="EXCatalog"/>
  <we:alternateReferences>
    <we:reference id="WA200009404" version="1.0.0.8" store="pt-BR"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0A42-5424-4EEB-8B15-ECD04F4DB895}">
  <sheetPr codeName="Planilha1">
    <tabColor theme="4" tint="-0.249977111117893"/>
  </sheetPr>
  <dimension ref="A1:O25"/>
  <sheetViews>
    <sheetView showGridLines="0" tabSelected="1" zoomScale="70" zoomScaleNormal="70" workbookViewId="0">
      <selection activeCell="L17" sqref="L17"/>
    </sheetView>
  </sheetViews>
  <sheetFormatPr defaultColWidth="0" defaultRowHeight="14.5" zeroHeight="1" x14ac:dyDescent="0.35"/>
  <cols>
    <col min="1" max="1" width="2.7265625" customWidth="1"/>
    <col min="2" max="15" width="9.1796875" customWidth="1"/>
    <col min="16" max="16384" width="9.1796875" hidden="1"/>
  </cols>
  <sheetData>
    <row r="1" spans="3:3" x14ac:dyDescent="0.35"/>
    <row r="2" spans="3:3" x14ac:dyDescent="0.35"/>
    <row r="3" spans="3:3" ht="15" customHeight="1" x14ac:dyDescent="0.35"/>
    <row r="4" spans="3:3" x14ac:dyDescent="0.35"/>
    <row r="5" spans="3:3" x14ac:dyDescent="0.35"/>
    <row r="6" spans="3:3" x14ac:dyDescent="0.35"/>
    <row r="7" spans="3:3" x14ac:dyDescent="0.35"/>
    <row r="8" spans="3:3" ht="21" x14ac:dyDescent="0.35">
      <c r="C8" s="8"/>
    </row>
    <row r="9" spans="3:3" x14ac:dyDescent="0.35"/>
    <row r="10" spans="3:3" x14ac:dyDescent="0.35"/>
    <row r="11" spans="3:3" x14ac:dyDescent="0.35"/>
    <row r="12" spans="3:3" x14ac:dyDescent="0.35"/>
    <row r="13" spans="3:3" x14ac:dyDescent="0.35"/>
    <row r="14" spans="3:3" x14ac:dyDescent="0.35"/>
    <row r="15" spans="3:3" x14ac:dyDescent="0.35"/>
    <row r="16" spans="3:3" x14ac:dyDescent="0.35"/>
    <row r="17" x14ac:dyDescent="0.35"/>
    <row r="18" x14ac:dyDescent="0.35"/>
    <row r="19" x14ac:dyDescent="0.35"/>
    <row r="20" x14ac:dyDescent="0.35"/>
    <row r="21" x14ac:dyDescent="0.35"/>
    <row r="22" x14ac:dyDescent="0.35"/>
    <row r="23" x14ac:dyDescent="0.35"/>
    <row r="24" x14ac:dyDescent="0.35"/>
    <row r="25"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AA3-F1FD-44A2-80F9-37BA5757835F}">
  <sheetPr codeName="Planilha2">
    <tabColor theme="4" tint="-0.249977111117893"/>
  </sheetPr>
  <dimension ref="A1:AR56"/>
  <sheetViews>
    <sheetView showGridLines="0" zoomScale="85" zoomScaleNormal="85" workbookViewId="0">
      <pane xSplit="3" ySplit="4" topLeftCell="AK5" activePane="bottomRight" state="frozen"/>
      <selection activeCell="L17" sqref="L17"/>
      <selection pane="topRight" activeCell="L17" sqref="L17"/>
      <selection pane="bottomLeft" activeCell="L17" sqref="L17"/>
      <selection pane="bottomRight" activeCell="AP7" sqref="AP7"/>
    </sheetView>
  </sheetViews>
  <sheetFormatPr defaultColWidth="9.1796875" defaultRowHeight="14.5" outlineLevelCol="1" x14ac:dyDescent="0.35"/>
  <cols>
    <col min="1" max="1" width="2.7265625" customWidth="1"/>
    <col min="2" max="2" width="43.26953125" style="45" bestFit="1" customWidth="1"/>
    <col min="3" max="3" width="37.54296875" customWidth="1" outlineLevel="1"/>
    <col min="4" max="4" width="8" customWidth="1"/>
    <col min="5" max="14" width="10.7265625" customWidth="1" outlineLevel="1"/>
    <col min="15" max="16" width="2.7265625" customWidth="1"/>
    <col min="17" max="18" width="10.7265625" hidden="1" customWidth="1" outlineLevel="1"/>
    <col min="19" max="20" width="11.26953125" hidden="1" customWidth="1" outlineLevel="1"/>
    <col min="21" max="31" width="10.7265625" hidden="1" customWidth="1" outlineLevel="1"/>
    <col min="32" max="32" width="9.26953125" hidden="1" customWidth="1" outlineLevel="1"/>
    <col min="33" max="33" width="10.7265625" customWidth="1" collapsed="1"/>
    <col min="34" max="40" width="10.7265625" customWidth="1"/>
    <col min="41" max="41" width="13.81640625" bestFit="1" customWidth="1"/>
    <col min="42" max="42" width="10.7265625" customWidth="1"/>
    <col min="44" max="44" width="11.26953125" bestFit="1" customWidth="1"/>
  </cols>
  <sheetData>
    <row r="1" spans="1:44" ht="12" customHeight="1" x14ac:dyDescent="0.35"/>
    <row r="2" spans="1:44" ht="21" x14ac:dyDescent="0.35">
      <c r="B2" s="7" t="s">
        <v>7</v>
      </c>
      <c r="C2" s="7" t="s">
        <v>157</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4" ht="12" customHeight="1" x14ac:dyDescent="0.35">
      <c r="Q3" s="10" t="s">
        <v>298</v>
      </c>
      <c r="R3" s="10" t="s">
        <v>299</v>
      </c>
      <c r="S3" s="10" t="s">
        <v>300</v>
      </c>
      <c r="T3" s="10" t="s">
        <v>301</v>
      </c>
      <c r="U3" s="10" t="s">
        <v>302</v>
      </c>
      <c r="V3" s="10" t="s">
        <v>303</v>
      </c>
      <c r="W3" s="10" t="s">
        <v>304</v>
      </c>
      <c r="X3" s="10" t="s">
        <v>305</v>
      </c>
      <c r="Y3" s="10" t="s">
        <v>306</v>
      </c>
      <c r="Z3" s="10" t="s">
        <v>307</v>
      </c>
      <c r="AA3" s="10" t="s">
        <v>308</v>
      </c>
      <c r="AB3" s="10" t="s">
        <v>309</v>
      </c>
      <c r="AC3" s="10" t="s">
        <v>335</v>
      </c>
      <c r="AD3" s="10" t="s">
        <v>349</v>
      </c>
      <c r="AE3" s="10" t="s">
        <v>355</v>
      </c>
      <c r="AF3" s="10" t="s">
        <v>362</v>
      </c>
      <c r="AG3" s="10" t="s">
        <v>375</v>
      </c>
      <c r="AH3" s="10" t="s">
        <v>390</v>
      </c>
      <c r="AI3" s="10" t="s">
        <v>392</v>
      </c>
      <c r="AJ3" s="10" t="s">
        <v>403</v>
      </c>
      <c r="AK3" s="10" t="s">
        <v>410</v>
      </c>
      <c r="AL3" s="10" t="s">
        <v>416</v>
      </c>
      <c r="AM3" s="10" t="s">
        <v>481</v>
      </c>
      <c r="AN3" s="10" t="s">
        <v>523</v>
      </c>
    </row>
    <row r="4" spans="1:44" x14ac:dyDescent="0.35">
      <c r="B4" s="46" t="s">
        <v>0</v>
      </c>
      <c r="C4" s="2" t="s">
        <v>158</v>
      </c>
      <c r="D4" s="3"/>
      <c r="E4" s="9">
        <v>2018</v>
      </c>
      <c r="F4" s="9">
        <v>2019</v>
      </c>
      <c r="G4" s="9">
        <v>2020</v>
      </c>
      <c r="H4" s="9">
        <v>2021</v>
      </c>
      <c r="I4" s="9">
        <v>2022</v>
      </c>
      <c r="J4" s="9">
        <v>2023</v>
      </c>
      <c r="K4" s="9">
        <v>2024</v>
      </c>
      <c r="L4" s="9">
        <v>2025</v>
      </c>
      <c r="M4" s="10" t="s">
        <v>402</v>
      </c>
      <c r="N4" s="10" t="s">
        <v>524</v>
      </c>
      <c r="O4" s="12"/>
      <c r="P4" s="13"/>
      <c r="Q4" s="10" t="s">
        <v>83</v>
      </c>
      <c r="R4" s="10" t="s">
        <v>84</v>
      </c>
      <c r="S4" s="10" t="s">
        <v>92</v>
      </c>
      <c r="T4" s="10" t="s">
        <v>93</v>
      </c>
      <c r="U4" s="10" t="s">
        <v>1</v>
      </c>
      <c r="V4" s="10" t="s">
        <v>2</v>
      </c>
      <c r="W4" s="10" t="s">
        <v>94</v>
      </c>
      <c r="X4" s="10" t="s">
        <v>138</v>
      </c>
      <c r="Y4" s="10" t="s">
        <v>151</v>
      </c>
      <c r="Z4" s="10" t="s">
        <v>178</v>
      </c>
      <c r="AA4" s="10" t="s">
        <v>297</v>
      </c>
      <c r="AB4" s="10" t="s">
        <v>310</v>
      </c>
      <c r="AC4" s="10" t="s">
        <v>336</v>
      </c>
      <c r="AD4" s="10" t="s">
        <v>350</v>
      </c>
      <c r="AE4" s="10" t="s">
        <v>356</v>
      </c>
      <c r="AF4" s="10" t="s">
        <v>363</v>
      </c>
      <c r="AG4" s="10" t="s">
        <v>376</v>
      </c>
      <c r="AH4" s="10" t="s">
        <v>391</v>
      </c>
      <c r="AI4" s="10" t="s">
        <v>393</v>
      </c>
      <c r="AJ4" s="10" t="s">
        <v>404</v>
      </c>
      <c r="AK4" s="10" t="s">
        <v>411</v>
      </c>
      <c r="AL4" s="10" t="s">
        <v>417</v>
      </c>
      <c r="AM4" s="10" t="s">
        <v>480</v>
      </c>
      <c r="AN4" s="10" t="s">
        <v>522</v>
      </c>
      <c r="AO4" s="10" t="s">
        <v>101</v>
      </c>
      <c r="AP4" s="10" t="s">
        <v>102</v>
      </c>
    </row>
    <row r="5" spans="1:44" ht="6" customHeight="1" x14ac:dyDescent="0.35">
      <c r="B5" s="14"/>
      <c r="C5" s="14"/>
      <c r="D5" s="14"/>
      <c r="E5" s="14"/>
      <c r="F5" s="14"/>
      <c r="G5" s="14"/>
      <c r="H5" s="14"/>
      <c r="I5" s="14"/>
      <c r="J5" s="14"/>
      <c r="K5" s="14"/>
      <c r="L5" s="14"/>
      <c r="M5" s="14"/>
      <c r="N5" s="14"/>
      <c r="O5" s="15"/>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row>
    <row r="6" spans="1:44" s="36" customFormat="1" ht="17.5" x14ac:dyDescent="0.35">
      <c r="A6" s="32"/>
      <c r="B6" s="69" t="s">
        <v>113</v>
      </c>
      <c r="C6" s="69" t="s">
        <v>159</v>
      </c>
      <c r="D6" s="208"/>
      <c r="E6" s="199">
        <f t="shared" ref="E6" si="0">E7+E8</f>
        <v>47610</v>
      </c>
      <c r="F6" s="199">
        <f t="shared" ref="F6" si="1">F7+F8</f>
        <v>68199</v>
      </c>
      <c r="G6" s="199">
        <f t="shared" ref="G6:L6" si="2">G7+G8</f>
        <v>123584</v>
      </c>
      <c r="H6" s="199">
        <f t="shared" si="2"/>
        <v>431642</v>
      </c>
      <c r="I6" s="199">
        <f t="shared" si="2"/>
        <v>1050404</v>
      </c>
      <c r="J6" s="199">
        <f t="shared" si="2"/>
        <v>1493847</v>
      </c>
      <c r="K6" s="199">
        <f t="shared" si="2"/>
        <v>1951259.9984517409</v>
      </c>
      <c r="L6" s="199">
        <f t="shared" si="2"/>
        <v>2049516</v>
      </c>
      <c r="M6" s="204">
        <f>K6/J6-1</f>
        <v>0.30619802325923673</v>
      </c>
      <c r="N6" s="204">
        <f>L6/K6-1</f>
        <v>5.0355155963952569E-2</v>
      </c>
      <c r="O6" s="209"/>
      <c r="P6" s="210"/>
      <c r="Q6" s="199">
        <f t="shared" ref="Q6:V6" si="3">Q7+Q8</f>
        <v>22047</v>
      </c>
      <c r="R6" s="199">
        <f t="shared" si="3"/>
        <v>24289</v>
      </c>
      <c r="S6" s="199">
        <f t="shared" si="3"/>
        <v>32571</v>
      </c>
      <c r="T6" s="199">
        <f t="shared" si="3"/>
        <v>44677</v>
      </c>
      <c r="U6" s="199">
        <f t="shared" si="3"/>
        <v>57120</v>
      </c>
      <c r="V6" s="199">
        <f t="shared" si="3"/>
        <v>79271</v>
      </c>
      <c r="W6" s="199">
        <f>W7+W8</f>
        <v>109730</v>
      </c>
      <c r="X6" s="199">
        <f>X7+X8</f>
        <v>185521</v>
      </c>
      <c r="Y6" s="199">
        <f>Y7+Y8</f>
        <v>215790</v>
      </c>
      <c r="Z6" s="199">
        <v>250499</v>
      </c>
      <c r="AA6" s="199">
        <f t="shared" ref="AA6:AH6" si="4">AA7+AA8</f>
        <v>275578</v>
      </c>
      <c r="AB6" s="199">
        <f t="shared" si="4"/>
        <v>308537</v>
      </c>
      <c r="AC6" s="199">
        <f t="shared" si="4"/>
        <v>318710</v>
      </c>
      <c r="AD6" s="199">
        <f t="shared" si="4"/>
        <v>342794</v>
      </c>
      <c r="AE6" s="199">
        <f t="shared" si="4"/>
        <v>394650</v>
      </c>
      <c r="AF6" s="199">
        <f t="shared" si="4"/>
        <v>437693</v>
      </c>
      <c r="AG6" s="199">
        <f t="shared" si="4"/>
        <v>430062</v>
      </c>
      <c r="AH6" s="199">
        <f t="shared" si="4"/>
        <v>454802.13419311331</v>
      </c>
      <c r="AI6" s="199">
        <f t="shared" ref="AI6:AN6" si="5">SUM(AI7:AI8)</f>
        <v>547657.68132862775</v>
      </c>
      <c r="AJ6" s="199">
        <f t="shared" si="5"/>
        <v>518738.18293000001</v>
      </c>
      <c r="AK6" s="199">
        <f t="shared" si="5"/>
        <v>481799.6831775165</v>
      </c>
      <c r="AL6" s="199">
        <f t="shared" si="5"/>
        <v>491425.41944999999</v>
      </c>
      <c r="AM6" s="199">
        <f t="shared" si="5"/>
        <v>534851</v>
      </c>
      <c r="AN6" s="199">
        <f t="shared" si="5"/>
        <v>541440</v>
      </c>
      <c r="AO6" s="204">
        <f>AN6/AJ6-1</f>
        <v>4.3763535858827307E-2</v>
      </c>
      <c r="AP6" s="204">
        <f>AN6/AM6-1</f>
        <v>1.2319318838330595E-2</v>
      </c>
      <c r="AR6" s="49"/>
    </row>
    <row r="7" spans="1:44" s="37" customFormat="1" ht="17.5" x14ac:dyDescent="0.35">
      <c r="A7" s="35"/>
      <c r="B7" s="211" t="s">
        <v>8</v>
      </c>
      <c r="C7" s="211" t="s">
        <v>160</v>
      </c>
      <c r="D7" s="212"/>
      <c r="E7" s="96">
        <v>45902</v>
      </c>
      <c r="F7" s="96">
        <v>66829</v>
      </c>
      <c r="G7" s="96">
        <v>122902</v>
      </c>
      <c r="H7" s="96">
        <v>426630</v>
      </c>
      <c r="I7" s="96">
        <v>989762</v>
      </c>
      <c r="J7" s="96">
        <f>SUM(AC7:AF7)</f>
        <v>1382753</v>
      </c>
      <c r="K7" s="96">
        <f>SUM(AG7:AJ7)</f>
        <v>1812775.3155217411</v>
      </c>
      <c r="L7" s="96">
        <v>1713615</v>
      </c>
      <c r="M7" s="213"/>
      <c r="N7" s="213"/>
      <c r="O7" s="214"/>
      <c r="P7" s="212"/>
      <c r="Q7" s="96">
        <v>22042</v>
      </c>
      <c r="R7" s="96">
        <v>24059</v>
      </c>
      <c r="S7" s="96">
        <v>32194</v>
      </c>
      <c r="T7" s="96">
        <v>44607</v>
      </c>
      <c r="U7" s="96">
        <v>55140</v>
      </c>
      <c r="V7" s="96">
        <v>78621</v>
      </c>
      <c r="W7" s="96">
        <v>109291</v>
      </c>
      <c r="X7" s="96">
        <v>183578</v>
      </c>
      <c r="Y7" s="96">
        <v>206273</v>
      </c>
      <c r="Z7" s="96">
        <v>238394</v>
      </c>
      <c r="AA7" s="96">
        <v>255166</v>
      </c>
      <c r="AB7" s="96">
        <v>289929</v>
      </c>
      <c r="AC7" s="96">
        <v>283195</v>
      </c>
      <c r="AD7" s="96">
        <v>324146</v>
      </c>
      <c r="AE7" s="96">
        <v>372429</v>
      </c>
      <c r="AF7" s="96">
        <v>402983</v>
      </c>
      <c r="AG7" s="96">
        <v>404827</v>
      </c>
      <c r="AH7" s="96">
        <v>434787.13419311331</v>
      </c>
      <c r="AI7" s="96">
        <v>500489.18132862775</v>
      </c>
      <c r="AJ7" s="96">
        <v>472672</v>
      </c>
      <c r="AK7" s="96">
        <v>418180.10262751649</v>
      </c>
      <c r="AL7" s="96">
        <v>416532</v>
      </c>
      <c r="AM7" s="96">
        <v>448657</v>
      </c>
      <c r="AN7" s="96">
        <v>430246</v>
      </c>
      <c r="AO7" s="204">
        <f>AN7/AJ7-1</f>
        <v>-8.9757802450748048E-2</v>
      </c>
      <c r="AP7" s="204">
        <f>AN7/AM7-1</f>
        <v>-4.1035802405846811E-2</v>
      </c>
    </row>
    <row r="8" spans="1:44" s="37" customFormat="1" ht="17.5" x14ac:dyDescent="0.35">
      <c r="A8" s="35"/>
      <c r="B8" s="211" t="s">
        <v>9</v>
      </c>
      <c r="C8" s="211" t="s">
        <v>161</v>
      </c>
      <c r="D8" s="212"/>
      <c r="E8" s="96">
        <v>1708</v>
      </c>
      <c r="F8" s="96">
        <v>1370</v>
      </c>
      <c r="G8" s="96">
        <v>682</v>
      </c>
      <c r="H8" s="96">
        <v>5012</v>
      </c>
      <c r="I8" s="96">
        <v>60642</v>
      </c>
      <c r="J8" s="96">
        <f>SUM(AC8:AF8)</f>
        <v>111094</v>
      </c>
      <c r="K8" s="96">
        <f>SUM(AG8:AJ8)</f>
        <v>138484.68293000001</v>
      </c>
      <c r="L8" s="96">
        <v>335901</v>
      </c>
      <c r="M8" s="212"/>
      <c r="N8" s="212"/>
      <c r="O8" s="214"/>
      <c r="P8" s="212"/>
      <c r="Q8" s="96">
        <v>5</v>
      </c>
      <c r="R8" s="96">
        <v>230</v>
      </c>
      <c r="S8" s="96">
        <v>377</v>
      </c>
      <c r="T8" s="96">
        <v>70</v>
      </c>
      <c r="U8" s="96">
        <v>1980</v>
      </c>
      <c r="V8" s="96">
        <v>650</v>
      </c>
      <c r="W8" s="96">
        <v>439</v>
      </c>
      <c r="X8" s="96">
        <v>1943</v>
      </c>
      <c r="Y8" s="96">
        <v>9517</v>
      </c>
      <c r="Z8" s="96">
        <v>12105</v>
      </c>
      <c r="AA8" s="96">
        <v>20412</v>
      </c>
      <c r="AB8" s="96">
        <v>18608</v>
      </c>
      <c r="AC8" s="96">
        <v>35515</v>
      </c>
      <c r="AD8" s="96">
        <v>18648</v>
      </c>
      <c r="AE8" s="96">
        <v>22221</v>
      </c>
      <c r="AF8" s="96">
        <v>34710</v>
      </c>
      <c r="AG8" s="96">
        <v>25235</v>
      </c>
      <c r="AH8" s="96">
        <v>20015</v>
      </c>
      <c r="AI8" s="96">
        <v>47168.5</v>
      </c>
      <c r="AJ8" s="96">
        <v>46066.18293000001</v>
      </c>
      <c r="AK8" s="96">
        <v>63619.580549999999</v>
      </c>
      <c r="AL8" s="96">
        <v>74893.419450000001</v>
      </c>
      <c r="AM8" s="96">
        <v>86194.000000000015</v>
      </c>
      <c r="AN8" s="96">
        <v>111194.00000000001</v>
      </c>
      <c r="AO8" s="212"/>
      <c r="AP8" s="212"/>
    </row>
    <row r="9" spans="1:44" s="36" customFormat="1" ht="17.5" x14ac:dyDescent="0.35">
      <c r="A9" s="32"/>
      <c r="B9" s="210"/>
      <c r="C9" s="210"/>
      <c r="D9" s="210"/>
      <c r="E9" s="210"/>
      <c r="F9" s="210"/>
      <c r="G9" s="210"/>
      <c r="H9" s="210"/>
      <c r="I9" s="210"/>
      <c r="J9" s="210"/>
      <c r="K9" s="210"/>
      <c r="L9" s="210"/>
      <c r="M9" s="210"/>
      <c r="N9" s="210"/>
      <c r="O9" s="209"/>
      <c r="P9" s="210"/>
      <c r="Q9" s="210"/>
      <c r="R9" s="210"/>
      <c r="S9" s="210"/>
      <c r="T9" s="210"/>
      <c r="U9" s="210"/>
      <c r="V9" s="210"/>
      <c r="W9" s="215"/>
      <c r="X9" s="210"/>
      <c r="Y9" s="210"/>
      <c r="Z9" s="210"/>
      <c r="AA9" s="210"/>
      <c r="AB9" s="210"/>
      <c r="AC9" s="210"/>
      <c r="AD9" s="215"/>
      <c r="AE9" s="215"/>
      <c r="AF9" s="215"/>
      <c r="AG9" s="215"/>
      <c r="AH9" s="215"/>
      <c r="AI9" s="215"/>
      <c r="AJ9" s="215"/>
      <c r="AK9" s="215"/>
      <c r="AL9" s="215"/>
      <c r="AM9" s="215"/>
      <c r="AN9" s="215"/>
      <c r="AO9" s="210"/>
      <c r="AP9" s="210"/>
    </row>
    <row r="10" spans="1:44" s="36" customFormat="1" ht="17.5" x14ac:dyDescent="0.35">
      <c r="A10" s="32"/>
      <c r="B10" s="216" t="s">
        <v>114</v>
      </c>
      <c r="C10" s="216" t="s">
        <v>162</v>
      </c>
      <c r="D10" s="217"/>
      <c r="E10" s="218">
        <f t="shared" ref="E10:G10" si="6">E11+E12+E13</f>
        <v>-4872</v>
      </c>
      <c r="F10" s="218">
        <f t="shared" si="6"/>
        <v>-6825</v>
      </c>
      <c r="G10" s="218">
        <f t="shared" si="6"/>
        <v>-12290</v>
      </c>
      <c r="H10" s="218">
        <f>H11+H12+H13</f>
        <v>-41888</v>
      </c>
      <c r="I10" s="218">
        <f>I11+I12+I13</f>
        <v>-98650</v>
      </c>
      <c r="J10" s="218">
        <f>J11+J12+J13</f>
        <v>-132880</v>
      </c>
      <c r="K10" s="218">
        <f>K11+K12+K13</f>
        <v>-185290.54926499183</v>
      </c>
      <c r="L10" s="218">
        <f>L11+L12+L13</f>
        <v>-161759.48441999988</v>
      </c>
      <c r="M10" s="84"/>
      <c r="N10" s="84"/>
      <c r="O10" s="209"/>
      <c r="P10" s="210"/>
      <c r="Q10" s="218">
        <f t="shared" ref="Q10:Y10" si="7">Q11+Q12+Q13</f>
        <v>-2220</v>
      </c>
      <c r="R10" s="218">
        <f t="shared" si="7"/>
        <v>-2421</v>
      </c>
      <c r="S10" s="218">
        <f t="shared" si="7"/>
        <v>-3227</v>
      </c>
      <c r="T10" s="218">
        <f t="shared" si="7"/>
        <v>-4422</v>
      </c>
      <c r="U10" s="218">
        <f t="shared" si="7"/>
        <v>-5365</v>
      </c>
      <c r="V10" s="218">
        <f t="shared" si="7"/>
        <v>-7680</v>
      </c>
      <c r="W10" s="218">
        <f t="shared" si="7"/>
        <v>-10384</v>
      </c>
      <c r="X10" s="218">
        <f t="shared" si="7"/>
        <v>-18459</v>
      </c>
      <c r="Y10" s="218">
        <f t="shared" si="7"/>
        <v>-20374</v>
      </c>
      <c r="Z10" s="218">
        <v>-24636</v>
      </c>
      <c r="AA10" s="218">
        <f t="shared" ref="AA10:AC10" si="8">AA11+AA12+AA13</f>
        <v>-24980.999999999996</v>
      </c>
      <c r="AB10" s="218">
        <f t="shared" si="8"/>
        <v>-28659.000000000004</v>
      </c>
      <c r="AC10" s="218">
        <f t="shared" si="8"/>
        <v>-27219</v>
      </c>
      <c r="AD10" s="218">
        <f t="shared" ref="AD10:AH10" si="9">AD11+AD12+AD13</f>
        <v>-31856</v>
      </c>
      <c r="AE10" s="218">
        <f t="shared" si="9"/>
        <v>-35111</v>
      </c>
      <c r="AF10" s="218">
        <f t="shared" si="9"/>
        <v>-38694</v>
      </c>
      <c r="AG10" s="218">
        <f t="shared" si="9"/>
        <v>-42275</v>
      </c>
      <c r="AH10" s="218">
        <f t="shared" si="9"/>
        <v>-47099.183482929133</v>
      </c>
      <c r="AI10" s="218">
        <f t="shared" ref="AI10:AN10" si="10">SUM(AI11:AI13)</f>
        <v>-50672.501596266928</v>
      </c>
      <c r="AJ10" s="218">
        <f t="shared" si="10"/>
        <v>-45243.86418579577</v>
      </c>
      <c r="AK10" s="218">
        <f t="shared" si="10"/>
        <v>-41882.919915516482</v>
      </c>
      <c r="AL10" s="218">
        <f t="shared" si="10"/>
        <v>-39958.080084483518</v>
      </c>
      <c r="AM10" s="218">
        <f t="shared" si="10"/>
        <v>-40272</v>
      </c>
      <c r="AN10" s="218">
        <f t="shared" si="10"/>
        <v>-39646.171419999853</v>
      </c>
      <c r="AO10" s="74"/>
      <c r="AP10" s="74"/>
    </row>
    <row r="11" spans="1:44" s="37" customFormat="1" ht="17.5" x14ac:dyDescent="0.35">
      <c r="A11" s="35"/>
      <c r="B11" s="211" t="s">
        <v>10</v>
      </c>
      <c r="C11" s="211" t="s">
        <v>10</v>
      </c>
      <c r="D11" s="212"/>
      <c r="E11" s="96">
        <v>-4245</v>
      </c>
      <c r="F11" s="96">
        <v>-6191</v>
      </c>
      <c r="G11" s="96">
        <v>-11298</v>
      </c>
      <c r="H11" s="96">
        <v>-38681</v>
      </c>
      <c r="I11" s="96">
        <v>-89040</v>
      </c>
      <c r="J11" s="96">
        <f t="shared" ref="J11:J13" si="11">SUM(AC11:AF11)</f>
        <v>-117461</v>
      </c>
      <c r="K11" s="96">
        <f>SUM(AG11:AJ11)</f>
        <v>-151605.90074887147</v>
      </c>
      <c r="L11" s="96">
        <v>-127687.48441999988</v>
      </c>
      <c r="M11" s="212"/>
      <c r="N11" s="212"/>
      <c r="O11" s="214"/>
      <c r="P11" s="212"/>
      <c r="Q11" s="96">
        <v>-2039</v>
      </c>
      <c r="R11" s="96">
        <v>-2220</v>
      </c>
      <c r="S11" s="96">
        <v>-2976</v>
      </c>
      <c r="T11" s="96">
        <v>-4063</v>
      </c>
      <c r="U11" s="96">
        <v>-4973</v>
      </c>
      <c r="V11" s="96">
        <v>-7197</v>
      </c>
      <c r="W11" s="96">
        <v>-9838</v>
      </c>
      <c r="X11" s="96">
        <v>-16673</v>
      </c>
      <c r="Y11" s="96">
        <v>-18923</v>
      </c>
      <c r="Z11" s="96">
        <v>-21799</v>
      </c>
      <c r="AA11" s="96">
        <v>-22502.199999999997</v>
      </c>
      <c r="AB11" s="96">
        <v>-25815.800000000003</v>
      </c>
      <c r="AC11" s="96">
        <v>-24634</v>
      </c>
      <c r="AD11" s="96">
        <v>-28801</v>
      </c>
      <c r="AE11" s="96">
        <v>-31303</v>
      </c>
      <c r="AF11" s="96">
        <v>-32723</v>
      </c>
      <c r="AG11" s="96">
        <v>-36714</v>
      </c>
      <c r="AH11" s="96">
        <v>-38109.999618000002</v>
      </c>
      <c r="AI11" s="96">
        <v>-41812.901130871469</v>
      </c>
      <c r="AJ11" s="96">
        <v>-34969</v>
      </c>
      <c r="AK11" s="96">
        <v>-33352</v>
      </c>
      <c r="AL11" s="96">
        <v>-31556</v>
      </c>
      <c r="AM11" s="96">
        <v>-31510</v>
      </c>
      <c r="AN11" s="96">
        <v>-31269.171419999853</v>
      </c>
      <c r="AO11" s="219"/>
      <c r="AP11" s="220"/>
    </row>
    <row r="12" spans="1:44" s="37" customFormat="1" ht="17.5" x14ac:dyDescent="0.35">
      <c r="A12" s="35"/>
      <c r="B12" s="211" t="s">
        <v>11</v>
      </c>
      <c r="C12" s="211" t="s">
        <v>11</v>
      </c>
      <c r="D12" s="212"/>
      <c r="E12" s="96">
        <v>-627</v>
      </c>
      <c r="F12" s="96">
        <v>-634</v>
      </c>
      <c r="G12" s="96">
        <v>-992</v>
      </c>
      <c r="H12" s="96">
        <f>-2897</f>
        <v>-2897</v>
      </c>
      <c r="I12" s="96">
        <v>-9192</v>
      </c>
      <c r="J12" s="96">
        <f t="shared" si="11"/>
        <v>-15201</v>
      </c>
      <c r="K12" s="96">
        <f>SUM(AG12:AJ12)</f>
        <v>-33097.64851612036</v>
      </c>
      <c r="L12" s="96">
        <v>-31052</v>
      </c>
      <c r="M12" s="212"/>
      <c r="N12" s="212"/>
      <c r="O12" s="214"/>
      <c r="P12" s="212"/>
      <c r="Q12" s="96">
        <v>-181</v>
      </c>
      <c r="R12" s="96">
        <v>-201</v>
      </c>
      <c r="S12" s="96">
        <v>-251</v>
      </c>
      <c r="T12" s="96">
        <v>-359</v>
      </c>
      <c r="U12" s="96">
        <v>-392</v>
      </c>
      <c r="V12" s="96">
        <v>-483</v>
      </c>
      <c r="W12" s="96">
        <v>-546</v>
      </c>
      <c r="X12" s="96">
        <v>-1476</v>
      </c>
      <c r="Y12" s="96">
        <v>-1315</v>
      </c>
      <c r="Z12" s="96">
        <v>-2702</v>
      </c>
      <c r="AA12" s="96">
        <v>-2442</v>
      </c>
      <c r="AB12" s="96">
        <v>-2733</v>
      </c>
      <c r="AC12" s="96">
        <v>-2511</v>
      </c>
      <c r="AD12" s="96">
        <v>-2977</v>
      </c>
      <c r="AE12" s="96">
        <v>-3778</v>
      </c>
      <c r="AF12" s="96">
        <v>-5935</v>
      </c>
      <c r="AG12" s="96">
        <v>-5553</v>
      </c>
      <c r="AH12" s="96">
        <v>-8940.1838649291276</v>
      </c>
      <c r="AI12" s="96">
        <v>-8646.6004653954624</v>
      </c>
      <c r="AJ12" s="96">
        <v>-9957.86418579577</v>
      </c>
      <c r="AK12" s="96">
        <v>-7950.9199155164815</v>
      </c>
      <c r="AL12" s="96">
        <v>-7564.0800844835185</v>
      </c>
      <c r="AM12" s="96">
        <v>-8010.0000000000009</v>
      </c>
      <c r="AN12" s="96">
        <v>-7527.0000000000009</v>
      </c>
      <c r="AO12" s="212"/>
      <c r="AP12" s="212"/>
    </row>
    <row r="13" spans="1:44" s="37" customFormat="1" ht="17.5" x14ac:dyDescent="0.35">
      <c r="A13" s="35"/>
      <c r="B13" s="211" t="s">
        <v>141</v>
      </c>
      <c r="C13" s="211" t="s">
        <v>141</v>
      </c>
      <c r="D13" s="212"/>
      <c r="E13" s="96">
        <v>0</v>
      </c>
      <c r="F13" s="96">
        <v>0</v>
      </c>
      <c r="G13" s="96">
        <v>0</v>
      </c>
      <c r="H13" s="96">
        <f>-310</f>
        <v>-310</v>
      </c>
      <c r="I13" s="96">
        <v>-418</v>
      </c>
      <c r="J13" s="96">
        <f t="shared" si="11"/>
        <v>-218</v>
      </c>
      <c r="K13" s="96">
        <f>SUM(AG13:AJ13)</f>
        <v>-587</v>
      </c>
      <c r="L13" s="96">
        <v>-3020</v>
      </c>
      <c r="M13" s="212"/>
      <c r="N13" s="212"/>
      <c r="O13" s="214"/>
      <c r="P13" s="212"/>
      <c r="Q13" s="96">
        <v>0</v>
      </c>
      <c r="R13" s="96">
        <v>0</v>
      </c>
      <c r="S13" s="96"/>
      <c r="T13" s="96">
        <v>0</v>
      </c>
      <c r="U13" s="96">
        <v>0</v>
      </c>
      <c r="V13" s="96">
        <v>0</v>
      </c>
      <c r="W13" s="96">
        <v>0</v>
      </c>
      <c r="X13" s="96">
        <v>-310</v>
      </c>
      <c r="Y13" s="96">
        <v>-136</v>
      </c>
      <c r="Z13" s="96">
        <v>-135</v>
      </c>
      <c r="AA13" s="96">
        <v>-36.800000000000011</v>
      </c>
      <c r="AB13" s="96">
        <v>-110.19999999999999</v>
      </c>
      <c r="AC13" s="96">
        <v>-74</v>
      </c>
      <c r="AD13" s="96">
        <v>-78</v>
      </c>
      <c r="AE13" s="96">
        <v>-30</v>
      </c>
      <c r="AF13" s="96">
        <v>-36</v>
      </c>
      <c r="AG13" s="96">
        <v>-8</v>
      </c>
      <c r="AH13" s="96">
        <v>-49</v>
      </c>
      <c r="AI13" s="96">
        <v>-213</v>
      </c>
      <c r="AJ13" s="96">
        <v>-317</v>
      </c>
      <c r="AK13" s="96">
        <v>-580</v>
      </c>
      <c r="AL13" s="96">
        <v>-838</v>
      </c>
      <c r="AM13" s="96">
        <v>-752</v>
      </c>
      <c r="AN13" s="96">
        <v>-850</v>
      </c>
      <c r="AO13" s="221"/>
      <c r="AP13" s="212"/>
    </row>
    <row r="14" spans="1:44" s="36" customFormat="1" ht="17.5" x14ac:dyDescent="0.35">
      <c r="A14" s="32"/>
      <c r="B14" s="210"/>
      <c r="C14" s="210"/>
      <c r="D14" s="210"/>
      <c r="E14" s="210"/>
      <c r="F14" s="210"/>
      <c r="G14" s="210"/>
      <c r="H14" s="210"/>
      <c r="I14" s="210"/>
      <c r="J14" s="210"/>
      <c r="K14" s="210"/>
      <c r="L14" s="210"/>
      <c r="M14" s="210"/>
      <c r="N14" s="210"/>
      <c r="O14" s="209"/>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row>
    <row r="15" spans="1:44" s="36" customFormat="1" ht="17.5" x14ac:dyDescent="0.35">
      <c r="A15" s="32"/>
      <c r="B15" s="69" t="s">
        <v>115</v>
      </c>
      <c r="C15" s="69" t="s">
        <v>163</v>
      </c>
      <c r="D15" s="208"/>
      <c r="E15" s="199">
        <f t="shared" ref="E15:H15" si="12">E6+E10</f>
        <v>42738</v>
      </c>
      <c r="F15" s="199">
        <f t="shared" si="12"/>
        <v>61374</v>
      </c>
      <c r="G15" s="199">
        <f t="shared" si="12"/>
        <v>111294</v>
      </c>
      <c r="H15" s="199">
        <f t="shared" si="12"/>
        <v>389754</v>
      </c>
      <c r="I15" s="199">
        <f t="shared" ref="I15:L15" si="13">I6+I10</f>
        <v>951754</v>
      </c>
      <c r="J15" s="199">
        <f t="shared" si="13"/>
        <v>1360967</v>
      </c>
      <c r="K15" s="199">
        <f t="shared" si="13"/>
        <v>1765969.4491867491</v>
      </c>
      <c r="L15" s="199">
        <f t="shared" si="13"/>
        <v>1887756.5155800001</v>
      </c>
      <c r="M15" s="204">
        <f>K15/J15-1</f>
        <v>0.29758432731047058</v>
      </c>
      <c r="N15" s="204">
        <f>L15/K15-1</f>
        <v>6.8963291776839908E-2</v>
      </c>
      <c r="O15" s="209"/>
      <c r="P15" s="210"/>
      <c r="Q15" s="199">
        <f t="shared" ref="Q15:U15" si="14">Q6+Q10</f>
        <v>19827</v>
      </c>
      <c r="R15" s="199">
        <f t="shared" si="14"/>
        <v>21868</v>
      </c>
      <c r="S15" s="199">
        <f t="shared" si="14"/>
        <v>29344</v>
      </c>
      <c r="T15" s="199">
        <f t="shared" si="14"/>
        <v>40255</v>
      </c>
      <c r="U15" s="199">
        <f t="shared" si="14"/>
        <v>51755</v>
      </c>
      <c r="V15" s="199">
        <f>V6+V10</f>
        <v>71591</v>
      </c>
      <c r="W15" s="199">
        <f>W6+W10</f>
        <v>99346</v>
      </c>
      <c r="X15" s="199">
        <f>X6+X10</f>
        <v>167062</v>
      </c>
      <c r="Y15" s="199">
        <f>Y6+Y10</f>
        <v>195416</v>
      </c>
      <c r="Z15" s="199">
        <v>225863</v>
      </c>
      <c r="AA15" s="199">
        <f t="shared" ref="AA15:AJ15" si="15">AA6+AA10</f>
        <v>250597</v>
      </c>
      <c r="AB15" s="199">
        <f t="shared" si="15"/>
        <v>279878</v>
      </c>
      <c r="AC15" s="199">
        <f t="shared" si="15"/>
        <v>291491</v>
      </c>
      <c r="AD15" s="199">
        <f t="shared" si="15"/>
        <v>310938</v>
      </c>
      <c r="AE15" s="199">
        <f t="shared" si="15"/>
        <v>359539</v>
      </c>
      <c r="AF15" s="199">
        <f t="shared" si="15"/>
        <v>398999</v>
      </c>
      <c r="AG15" s="199">
        <f t="shared" si="15"/>
        <v>387787</v>
      </c>
      <c r="AH15" s="199">
        <f t="shared" si="15"/>
        <v>407702.95071018417</v>
      </c>
      <c r="AI15" s="199">
        <f t="shared" si="15"/>
        <v>496985.17973236082</v>
      </c>
      <c r="AJ15" s="199">
        <f t="shared" si="15"/>
        <v>473494.31874420424</v>
      </c>
      <c r="AK15" s="199">
        <f t="shared" ref="AK15:AN15" si="16">AK6+AK10</f>
        <v>439916.76326200005</v>
      </c>
      <c r="AL15" s="199">
        <f t="shared" si="16"/>
        <v>451467.33936551644</v>
      </c>
      <c r="AM15" s="199">
        <f t="shared" si="16"/>
        <v>494579</v>
      </c>
      <c r="AN15" s="199">
        <f t="shared" si="16"/>
        <v>501793.82858000015</v>
      </c>
      <c r="AO15" s="204">
        <f>AN15/AJ15-1</f>
        <v>5.9767369354824629E-2</v>
      </c>
      <c r="AP15" s="204">
        <f>AN15/AM15-1</f>
        <v>1.4587818285855647E-2</v>
      </c>
    </row>
    <row r="16" spans="1:44" s="36" customFormat="1" ht="17.5" x14ac:dyDescent="0.35">
      <c r="A16" s="32"/>
      <c r="B16" s="211" t="s">
        <v>156</v>
      </c>
      <c r="C16" s="211" t="s">
        <v>164</v>
      </c>
      <c r="D16" s="222"/>
      <c r="E16" s="96">
        <f t="shared" ref="E16:G16" si="17">E7+E10</f>
        <v>41030</v>
      </c>
      <c r="F16" s="96">
        <f t="shared" si="17"/>
        <v>60004</v>
      </c>
      <c r="G16" s="96">
        <f t="shared" si="17"/>
        <v>110612</v>
      </c>
      <c r="H16" s="96">
        <f t="shared" ref="H16:I16" si="18">H7+H10</f>
        <v>384742</v>
      </c>
      <c r="I16" s="96">
        <f t="shared" si="18"/>
        <v>891112</v>
      </c>
      <c r="J16" s="96">
        <f>J7+J10</f>
        <v>1249873</v>
      </c>
      <c r="K16" s="96">
        <f>SUM(AG16:AJ16)</f>
        <v>1627484.7662567492</v>
      </c>
      <c r="L16" s="96">
        <f t="shared" ref="L16" si="19">L7+L10</f>
        <v>1551855.5155800001</v>
      </c>
      <c r="M16" s="222"/>
      <c r="N16" s="222"/>
      <c r="O16" s="209"/>
      <c r="P16" s="210"/>
      <c r="Q16" s="96">
        <f t="shared" ref="Q16:X16" si="20">Q7+Q10</f>
        <v>19822</v>
      </c>
      <c r="R16" s="96">
        <f t="shared" si="20"/>
        <v>21638</v>
      </c>
      <c r="S16" s="96">
        <f t="shared" si="20"/>
        <v>28967</v>
      </c>
      <c r="T16" s="96">
        <f t="shared" si="20"/>
        <v>40185</v>
      </c>
      <c r="U16" s="96">
        <f t="shared" si="20"/>
        <v>49775</v>
      </c>
      <c r="V16" s="96">
        <f t="shared" si="20"/>
        <v>70941</v>
      </c>
      <c r="W16" s="96">
        <f t="shared" si="20"/>
        <v>98907</v>
      </c>
      <c r="X16" s="96">
        <f t="shared" si="20"/>
        <v>165119</v>
      </c>
      <c r="Y16" s="96">
        <f>Y7+Y10</f>
        <v>185899</v>
      </c>
      <c r="Z16" s="96">
        <v>213758</v>
      </c>
      <c r="AA16" s="96">
        <f t="shared" ref="AA16:AG16" si="21">AA7+AA10</f>
        <v>230185</v>
      </c>
      <c r="AB16" s="96">
        <f t="shared" si="21"/>
        <v>261270</v>
      </c>
      <c r="AC16" s="96">
        <f t="shared" si="21"/>
        <v>255976</v>
      </c>
      <c r="AD16" s="96">
        <f t="shared" si="21"/>
        <v>292290</v>
      </c>
      <c r="AE16" s="96">
        <f t="shared" si="21"/>
        <v>337318</v>
      </c>
      <c r="AF16" s="96">
        <f t="shared" si="21"/>
        <v>364289</v>
      </c>
      <c r="AG16" s="96">
        <f t="shared" si="21"/>
        <v>362552</v>
      </c>
      <c r="AH16" s="96">
        <f t="shared" ref="AH16:AJ16" si="22">AH7+AH10</f>
        <v>387687.95071018417</v>
      </c>
      <c r="AI16" s="96">
        <f t="shared" si="22"/>
        <v>449816.67973236082</v>
      </c>
      <c r="AJ16" s="96">
        <f t="shared" si="22"/>
        <v>427428.13581420423</v>
      </c>
      <c r="AK16" s="96">
        <f>AK7+AK10</f>
        <v>376297.18271199998</v>
      </c>
      <c r="AL16" s="96">
        <f t="shared" ref="AL16:AM16" si="23">AL7+AL10</f>
        <v>376573.91991551651</v>
      </c>
      <c r="AM16" s="96">
        <f t="shared" si="23"/>
        <v>408385</v>
      </c>
      <c r="AN16" s="96">
        <v>390599.82858000015</v>
      </c>
      <c r="AO16" s="222"/>
      <c r="AP16" s="222"/>
    </row>
    <row r="17" spans="1:42" s="36" customFormat="1" ht="17.5" x14ac:dyDescent="0.35">
      <c r="A17" s="32"/>
      <c r="B17" s="211" t="s">
        <v>364</v>
      </c>
      <c r="C17" s="211" t="s">
        <v>165</v>
      </c>
      <c r="D17" s="222"/>
      <c r="E17" s="96">
        <f t="shared" ref="E17:G17" si="24">E8</f>
        <v>1708</v>
      </c>
      <c r="F17" s="96">
        <f t="shared" si="24"/>
        <v>1370</v>
      </c>
      <c r="G17" s="96">
        <f t="shared" si="24"/>
        <v>682</v>
      </c>
      <c r="H17" s="96">
        <f t="shared" ref="H17:I17" si="25">H8</f>
        <v>5012</v>
      </c>
      <c r="I17" s="96">
        <f t="shared" si="25"/>
        <v>60642</v>
      </c>
      <c r="J17" s="96">
        <f t="shared" ref="J17" si="26">J8</f>
        <v>111094</v>
      </c>
      <c r="K17" s="96">
        <f>SUM(AG17:AJ17)</f>
        <v>138484.68293000001</v>
      </c>
      <c r="L17" s="96">
        <f>L8</f>
        <v>335901</v>
      </c>
      <c r="M17" s="222"/>
      <c r="N17" s="222"/>
      <c r="O17" s="209"/>
      <c r="P17" s="210"/>
      <c r="Q17" s="96">
        <f t="shared" ref="Q17:X17" si="27">Q8</f>
        <v>5</v>
      </c>
      <c r="R17" s="96">
        <f t="shared" si="27"/>
        <v>230</v>
      </c>
      <c r="S17" s="96">
        <f t="shared" si="27"/>
        <v>377</v>
      </c>
      <c r="T17" s="96">
        <f t="shared" si="27"/>
        <v>70</v>
      </c>
      <c r="U17" s="96">
        <f t="shared" si="27"/>
        <v>1980</v>
      </c>
      <c r="V17" s="96">
        <f t="shared" si="27"/>
        <v>650</v>
      </c>
      <c r="W17" s="96">
        <f t="shared" si="27"/>
        <v>439</v>
      </c>
      <c r="X17" s="96">
        <f t="shared" si="27"/>
        <v>1943</v>
      </c>
      <c r="Y17" s="96">
        <f>Y8</f>
        <v>9517</v>
      </c>
      <c r="Z17" s="96">
        <v>12105</v>
      </c>
      <c r="AA17" s="96">
        <f t="shared" ref="AA17:AG17" si="28">AA8</f>
        <v>20412</v>
      </c>
      <c r="AB17" s="96">
        <f t="shared" si="28"/>
        <v>18608</v>
      </c>
      <c r="AC17" s="96">
        <f t="shared" si="28"/>
        <v>35515</v>
      </c>
      <c r="AD17" s="96">
        <f t="shared" si="28"/>
        <v>18648</v>
      </c>
      <c r="AE17" s="96">
        <f t="shared" si="28"/>
        <v>22221</v>
      </c>
      <c r="AF17" s="96">
        <f t="shared" si="28"/>
        <v>34710</v>
      </c>
      <c r="AG17" s="96">
        <f t="shared" si="28"/>
        <v>25235</v>
      </c>
      <c r="AH17" s="96">
        <f t="shared" ref="AH17:AI17" si="29">AH8</f>
        <v>20015</v>
      </c>
      <c r="AI17" s="96">
        <f t="shared" si="29"/>
        <v>47168.5</v>
      </c>
      <c r="AJ17" s="96">
        <f>AJ8</f>
        <v>46066.18293000001</v>
      </c>
      <c r="AK17" s="96">
        <f>AK8</f>
        <v>63619.580549999999</v>
      </c>
      <c r="AL17" s="96">
        <f>AL8</f>
        <v>74893.419450000001</v>
      </c>
      <c r="AM17" s="96">
        <f>AM8</f>
        <v>86194.000000000015</v>
      </c>
      <c r="AN17" s="96">
        <v>111194.00000000001</v>
      </c>
      <c r="AO17" s="222"/>
      <c r="AP17" s="222"/>
    </row>
    <row r="18" spans="1:42" s="36" customFormat="1" ht="17.5" x14ac:dyDescent="0.35">
      <c r="A18" s="32"/>
      <c r="B18" s="210"/>
      <c r="C18" s="210"/>
      <c r="D18" s="210"/>
      <c r="E18" s="210"/>
      <c r="F18" s="210"/>
      <c r="G18" s="210"/>
      <c r="H18" s="210"/>
      <c r="I18" s="210"/>
      <c r="J18" s="210"/>
      <c r="K18" s="210"/>
      <c r="L18" s="210"/>
      <c r="M18" s="210"/>
      <c r="N18" s="210"/>
      <c r="O18" s="209"/>
      <c r="P18" s="210"/>
      <c r="Q18" s="210"/>
      <c r="R18" s="210"/>
      <c r="S18" s="210"/>
      <c r="T18" s="210"/>
      <c r="U18" s="222"/>
      <c r="V18" s="210"/>
      <c r="W18" s="210"/>
      <c r="X18" s="210"/>
      <c r="Y18" s="223"/>
      <c r="Z18" s="223"/>
      <c r="AA18" s="223"/>
      <c r="AB18" s="223"/>
      <c r="AC18" s="223"/>
      <c r="AD18" s="223"/>
      <c r="AE18" s="223"/>
      <c r="AF18" s="223"/>
      <c r="AG18" s="223"/>
      <c r="AH18" s="223"/>
      <c r="AI18" s="223"/>
      <c r="AJ18" s="223"/>
      <c r="AK18" s="223"/>
      <c r="AL18" s="223"/>
      <c r="AM18" s="223"/>
      <c r="AN18" s="223"/>
      <c r="AO18" s="210"/>
      <c r="AP18" s="210"/>
    </row>
    <row r="19" spans="1:42" s="36" customFormat="1" ht="17.5" x14ac:dyDescent="0.35">
      <c r="A19" s="32"/>
      <c r="B19" s="76" t="s">
        <v>12</v>
      </c>
      <c r="C19" s="76" t="s">
        <v>166</v>
      </c>
      <c r="D19" s="210"/>
      <c r="E19" s="54">
        <v>-25845</v>
      </c>
      <c r="F19" s="54">
        <v>-34481</v>
      </c>
      <c r="G19" s="54">
        <v>-61040</v>
      </c>
      <c r="H19" s="54">
        <v>-201903</v>
      </c>
      <c r="I19" s="54">
        <v>-504134</v>
      </c>
      <c r="J19" s="54">
        <f>SUM(AC19:AF19)</f>
        <v>-734137</v>
      </c>
      <c r="K19" s="54">
        <f>SUM(AG19:AJ19)</f>
        <v>-1051347.8166439999</v>
      </c>
      <c r="L19" s="54">
        <v>-1246559.0345799997</v>
      </c>
      <c r="M19" s="210"/>
      <c r="N19" s="210"/>
      <c r="O19" s="209"/>
      <c r="P19" s="210"/>
      <c r="Q19" s="54">
        <v>-10584</v>
      </c>
      <c r="R19" s="54">
        <v>-12362</v>
      </c>
      <c r="S19" s="54">
        <v>-16236.917819999999</v>
      </c>
      <c r="T19" s="54">
        <v>-21857.082179999998</v>
      </c>
      <c r="U19" s="54">
        <v>-28443</v>
      </c>
      <c r="V19" s="54">
        <v>-37333</v>
      </c>
      <c r="W19" s="54">
        <v>-47541</v>
      </c>
      <c r="X19" s="54">
        <v>-88586</v>
      </c>
      <c r="Y19" s="54">
        <v>-108171</v>
      </c>
      <c r="Z19" s="54">
        <v>-126193</v>
      </c>
      <c r="AA19" s="54">
        <v>-130307</v>
      </c>
      <c r="AB19" s="54">
        <v>-139463</v>
      </c>
      <c r="AC19" s="54">
        <v>-157807</v>
      </c>
      <c r="AD19" s="54">
        <v>-156946</v>
      </c>
      <c r="AE19" s="54">
        <v>-190695</v>
      </c>
      <c r="AF19" s="54">
        <v>-228689</v>
      </c>
      <c r="AG19" s="54">
        <v>-214230</v>
      </c>
      <c r="AH19" s="54">
        <v>-237132.93026269996</v>
      </c>
      <c r="AI19" s="54">
        <v>-292151.74079567532</v>
      </c>
      <c r="AJ19" s="54">
        <v>-307833.14558562462</v>
      </c>
      <c r="AK19" s="54">
        <v>-289085.71213199996</v>
      </c>
      <c r="AL19" s="54">
        <v>-303868.756566</v>
      </c>
      <c r="AM19" s="54">
        <v>-298904.74396699999</v>
      </c>
      <c r="AN19" s="54">
        <v>-354700.13565299968</v>
      </c>
      <c r="AO19" s="210"/>
      <c r="AP19" s="210"/>
    </row>
    <row r="20" spans="1:42" s="36" customFormat="1" ht="17.5" x14ac:dyDescent="0.35">
      <c r="A20" s="32"/>
      <c r="B20" s="76" t="s">
        <v>4</v>
      </c>
      <c r="C20" s="76" t="s">
        <v>167</v>
      </c>
      <c r="D20" s="210"/>
      <c r="E20" s="224">
        <f t="shared" ref="E20" si="30">E19/E$15</f>
        <v>-0.60473115260423982</v>
      </c>
      <c r="F20" s="224">
        <f t="shared" ref="F20" si="31">F19/F$15</f>
        <v>-0.56181770782416007</v>
      </c>
      <c r="G20" s="224">
        <f t="shared" ref="G20:L20" si="32">G19/G$15</f>
        <v>-0.54845723938397395</v>
      </c>
      <c r="H20" s="224">
        <f t="shared" si="32"/>
        <v>-0.51802675533798237</v>
      </c>
      <c r="I20" s="224">
        <f t="shared" si="32"/>
        <v>-0.52968939452841801</v>
      </c>
      <c r="J20" s="224">
        <f t="shared" si="32"/>
        <v>-0.53942307197749839</v>
      </c>
      <c r="K20" s="224">
        <f t="shared" si="32"/>
        <v>-0.59533748849854606</v>
      </c>
      <c r="L20" s="224">
        <f t="shared" si="32"/>
        <v>-0.66033888602259871</v>
      </c>
      <c r="M20" s="210"/>
      <c r="N20" s="210"/>
      <c r="O20" s="209"/>
      <c r="P20" s="210"/>
      <c r="Q20" s="224">
        <f t="shared" ref="Q20:V20" si="33">Q19/Q$15</f>
        <v>-0.53381752156150708</v>
      </c>
      <c r="R20" s="224">
        <f t="shared" si="33"/>
        <v>-0.56530089628681179</v>
      </c>
      <c r="S20" s="224">
        <f t="shared" si="33"/>
        <v>-0.55333007838058879</v>
      </c>
      <c r="T20" s="224">
        <f t="shared" si="33"/>
        <v>-0.54296564849087059</v>
      </c>
      <c r="U20" s="224">
        <f t="shared" si="33"/>
        <v>-0.54957008984639166</v>
      </c>
      <c r="V20" s="224">
        <f t="shared" si="33"/>
        <v>-0.52147616320487211</v>
      </c>
      <c r="W20" s="224">
        <f>W19/W$15</f>
        <v>-0.47853964930646425</v>
      </c>
      <c r="X20" s="224">
        <f>X19/X$15</f>
        <v>-0.53025822748440699</v>
      </c>
      <c r="Y20" s="224">
        <f>Y19/Y$15</f>
        <v>-0.55354218692430512</v>
      </c>
      <c r="Z20" s="224">
        <v>-0.55871479613748154</v>
      </c>
      <c r="AA20" s="224">
        <f t="shared" ref="AA20:AJ20" si="34">AA19/AA$15</f>
        <v>-0.51998627278059995</v>
      </c>
      <c r="AB20" s="224">
        <f t="shared" si="34"/>
        <v>-0.49829925896283378</v>
      </c>
      <c r="AC20" s="224">
        <f t="shared" si="34"/>
        <v>-0.54137863604708203</v>
      </c>
      <c r="AD20" s="224">
        <f t="shared" si="34"/>
        <v>-0.50475014311534772</v>
      </c>
      <c r="AE20" s="224">
        <f t="shared" si="34"/>
        <v>-0.53038752402381939</v>
      </c>
      <c r="AF20" s="224">
        <f t="shared" si="34"/>
        <v>-0.57315682495444853</v>
      </c>
      <c r="AG20" s="224">
        <f t="shared" si="34"/>
        <v>-0.55244244907642592</v>
      </c>
      <c r="AH20" s="224">
        <f t="shared" si="34"/>
        <v>-0.58163162628485854</v>
      </c>
      <c r="AI20" s="224">
        <f t="shared" si="34"/>
        <v>-0.58784799368264151</v>
      </c>
      <c r="AJ20" s="224">
        <f t="shared" si="34"/>
        <v>-0.65013060009263868</v>
      </c>
      <c r="AK20" s="224">
        <f t="shared" ref="AK20:AN20" si="35">AK19/AK$15</f>
        <v>-0.65713729567479551</v>
      </c>
      <c r="AL20" s="224">
        <f t="shared" si="35"/>
        <v>-0.67306919032736967</v>
      </c>
      <c r="AM20" s="224">
        <f t="shared" si="35"/>
        <v>-0.60436198052687229</v>
      </c>
      <c r="AN20" s="224">
        <f t="shared" si="35"/>
        <v>-0.70686428459422646</v>
      </c>
      <c r="AO20" s="210"/>
      <c r="AP20" s="210"/>
    </row>
    <row r="21" spans="1:42" s="36" customFormat="1" ht="17.5" x14ac:dyDescent="0.35">
      <c r="A21" s="32"/>
      <c r="B21" s="210"/>
      <c r="C21" s="210"/>
      <c r="D21" s="210"/>
      <c r="E21" s="210"/>
      <c r="F21" s="210"/>
      <c r="G21" s="210"/>
      <c r="H21" s="210"/>
      <c r="I21" s="210"/>
      <c r="J21" s="210"/>
      <c r="K21" s="210"/>
      <c r="L21" s="210"/>
      <c r="M21" s="210"/>
      <c r="N21" s="210"/>
      <c r="O21" s="209"/>
      <c r="P21" s="210"/>
      <c r="Q21" s="210"/>
      <c r="R21" s="210"/>
      <c r="S21" s="210"/>
      <c r="T21" s="54"/>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row>
    <row r="22" spans="1:42" s="36" customFormat="1" ht="17.5" x14ac:dyDescent="0.35">
      <c r="A22" s="32"/>
      <c r="B22" s="69" t="s">
        <v>116</v>
      </c>
      <c r="C22" s="69" t="s">
        <v>168</v>
      </c>
      <c r="D22" s="208"/>
      <c r="E22" s="199">
        <f t="shared" ref="E22:G22" si="36">E15+E19</f>
        <v>16893</v>
      </c>
      <c r="F22" s="199">
        <f t="shared" si="36"/>
        <v>26893</v>
      </c>
      <c r="G22" s="199">
        <f t="shared" si="36"/>
        <v>50254</v>
      </c>
      <c r="H22" s="199">
        <f t="shared" ref="H22:K22" si="37">H15+H19</f>
        <v>187851</v>
      </c>
      <c r="I22" s="199">
        <f t="shared" si="37"/>
        <v>447620</v>
      </c>
      <c r="J22" s="199">
        <f t="shared" si="37"/>
        <v>626830</v>
      </c>
      <c r="K22" s="199">
        <f t="shared" si="37"/>
        <v>714621.63254274917</v>
      </c>
      <c r="L22" s="199">
        <f>L15+L19</f>
        <v>641197.48100000038</v>
      </c>
      <c r="M22" s="204">
        <f>K22/J22-1</f>
        <v>0.14005652655863488</v>
      </c>
      <c r="N22" s="204">
        <f>L22/K22-1</f>
        <v>-0.10274549243841491</v>
      </c>
      <c r="O22" s="209"/>
      <c r="P22" s="210"/>
      <c r="Q22" s="199">
        <f t="shared" ref="Q22:V22" si="38">Q15+Q19</f>
        <v>9243</v>
      </c>
      <c r="R22" s="199">
        <f t="shared" si="38"/>
        <v>9506</v>
      </c>
      <c r="S22" s="199">
        <f t="shared" si="38"/>
        <v>13107.082180000001</v>
      </c>
      <c r="T22" s="199">
        <f t="shared" si="38"/>
        <v>18397.917820000002</v>
      </c>
      <c r="U22" s="199">
        <f t="shared" si="38"/>
        <v>23312</v>
      </c>
      <c r="V22" s="199">
        <f t="shared" si="38"/>
        <v>34258</v>
      </c>
      <c r="W22" s="199">
        <f>W15+W19</f>
        <v>51805</v>
      </c>
      <c r="X22" s="199">
        <f>X15+X19</f>
        <v>78476</v>
      </c>
      <c r="Y22" s="199">
        <f>Y15+Y19</f>
        <v>87245</v>
      </c>
      <c r="Z22" s="199">
        <v>99670</v>
      </c>
      <c r="AA22" s="199">
        <f t="shared" ref="AA22:AJ22" si="39">AA15+AA19</f>
        <v>120290</v>
      </c>
      <c r="AB22" s="199">
        <f t="shared" si="39"/>
        <v>140415</v>
      </c>
      <c r="AC22" s="199">
        <f t="shared" si="39"/>
        <v>133684</v>
      </c>
      <c r="AD22" s="199">
        <f t="shared" si="39"/>
        <v>153992</v>
      </c>
      <c r="AE22" s="199">
        <f t="shared" si="39"/>
        <v>168844</v>
      </c>
      <c r="AF22" s="199">
        <f t="shared" si="39"/>
        <v>170310</v>
      </c>
      <c r="AG22" s="199">
        <f t="shared" si="39"/>
        <v>173557</v>
      </c>
      <c r="AH22" s="199">
        <f t="shared" si="39"/>
        <v>170570.02044748422</v>
      </c>
      <c r="AI22" s="199">
        <f t="shared" si="39"/>
        <v>204833.4389366855</v>
      </c>
      <c r="AJ22" s="199">
        <f t="shared" si="39"/>
        <v>165661.17315857962</v>
      </c>
      <c r="AK22" s="199">
        <f t="shared" ref="AK22:AN22" si="40">AK15+AK19</f>
        <v>150831.05113000009</v>
      </c>
      <c r="AL22" s="199">
        <f t="shared" si="40"/>
        <v>147598.58279951644</v>
      </c>
      <c r="AM22" s="199">
        <f t="shared" si="40"/>
        <v>195674.25603300001</v>
      </c>
      <c r="AN22" s="199">
        <f t="shared" si="40"/>
        <v>147093.69292700046</v>
      </c>
      <c r="AO22" s="204">
        <f>AN22/AJ22-1</f>
        <v>-0.1120810620712277</v>
      </c>
      <c r="AP22" s="204">
        <f>AN22/AM22-1</f>
        <v>-0.24827263479058048</v>
      </c>
    </row>
    <row r="23" spans="1:42" s="36" customFormat="1" ht="17.5" x14ac:dyDescent="0.35">
      <c r="A23" s="32"/>
      <c r="B23" s="76" t="s">
        <v>4</v>
      </c>
      <c r="C23" s="76" t="s">
        <v>167</v>
      </c>
      <c r="D23" s="210"/>
      <c r="E23" s="224">
        <f t="shared" ref="E23" si="41">E22/E$15</f>
        <v>0.39526884739576024</v>
      </c>
      <c r="F23" s="224">
        <f t="shared" ref="F23" si="42">F22/F$15</f>
        <v>0.43818229217583993</v>
      </c>
      <c r="G23" s="224">
        <f t="shared" ref="G23" si="43">G22/G$15</f>
        <v>0.451542760616026</v>
      </c>
      <c r="H23" s="224">
        <f t="shared" ref="H23:L23" si="44">H22/H$15</f>
        <v>0.48197324466201757</v>
      </c>
      <c r="I23" s="224">
        <f t="shared" si="44"/>
        <v>0.47031060547158193</v>
      </c>
      <c r="J23" s="224">
        <f t="shared" si="44"/>
        <v>0.46057692802250166</v>
      </c>
      <c r="K23" s="224">
        <f t="shared" si="44"/>
        <v>0.40466251150145399</v>
      </c>
      <c r="L23" s="224">
        <f t="shared" si="44"/>
        <v>0.33966111397740129</v>
      </c>
      <c r="M23" s="210"/>
      <c r="N23" s="210"/>
      <c r="O23" s="209"/>
      <c r="P23" s="210"/>
      <c r="Q23" s="224">
        <f t="shared" ref="Q23:V23" si="45">Q22/Q$15</f>
        <v>0.46618247843849298</v>
      </c>
      <c r="R23" s="224">
        <f t="shared" si="45"/>
        <v>0.43469910371318821</v>
      </c>
      <c r="S23" s="224">
        <f t="shared" si="45"/>
        <v>0.44666992161941116</v>
      </c>
      <c r="T23" s="224">
        <f t="shared" si="45"/>
        <v>0.45703435150912936</v>
      </c>
      <c r="U23" s="224">
        <f t="shared" si="45"/>
        <v>0.45042991015360834</v>
      </c>
      <c r="V23" s="224">
        <f t="shared" si="45"/>
        <v>0.47852383679512789</v>
      </c>
      <c r="W23" s="224">
        <f>W22/W$15</f>
        <v>0.52146035069353569</v>
      </c>
      <c r="X23" s="224">
        <f>X22/X$15</f>
        <v>0.46974177251559301</v>
      </c>
      <c r="Y23" s="224">
        <f>Y22/Y$15</f>
        <v>0.44645781307569493</v>
      </c>
      <c r="Z23" s="224">
        <v>0.4412852038625184</v>
      </c>
      <c r="AA23" s="224">
        <f t="shared" ref="AA23:AJ23" si="46">AA22/AA$15</f>
        <v>0.48001372721940005</v>
      </c>
      <c r="AB23" s="224">
        <f t="shared" si="46"/>
        <v>0.50170074103716622</v>
      </c>
      <c r="AC23" s="224">
        <f t="shared" si="46"/>
        <v>0.45862136395291792</v>
      </c>
      <c r="AD23" s="224">
        <f t="shared" si="46"/>
        <v>0.49524985688465223</v>
      </c>
      <c r="AE23" s="224">
        <f t="shared" si="46"/>
        <v>0.46961247597618061</v>
      </c>
      <c r="AF23" s="224">
        <f t="shared" si="46"/>
        <v>0.42684317504555147</v>
      </c>
      <c r="AG23" s="224">
        <f t="shared" si="46"/>
        <v>0.44755755092357402</v>
      </c>
      <c r="AH23" s="224">
        <f t="shared" si="46"/>
        <v>0.41836837371514141</v>
      </c>
      <c r="AI23" s="224">
        <f t="shared" si="46"/>
        <v>0.41215200631735843</v>
      </c>
      <c r="AJ23" s="224">
        <f t="shared" si="46"/>
        <v>0.34986939990736138</v>
      </c>
      <c r="AK23" s="224">
        <f t="shared" ref="AK23:AN23" si="47">AK22/AK$15</f>
        <v>0.34286270432520449</v>
      </c>
      <c r="AL23" s="224">
        <f t="shared" si="47"/>
        <v>0.32693080967263027</v>
      </c>
      <c r="AM23" s="224">
        <f t="shared" si="47"/>
        <v>0.39563801947312766</v>
      </c>
      <c r="AN23" s="224">
        <f t="shared" si="47"/>
        <v>0.2931357154057736</v>
      </c>
      <c r="AO23" s="210"/>
      <c r="AP23" s="210"/>
    </row>
    <row r="24" spans="1:42" s="36" customFormat="1" ht="17.5" x14ac:dyDescent="0.35">
      <c r="A24" s="32"/>
      <c r="B24" s="210"/>
      <c r="C24" s="210"/>
      <c r="D24" s="210"/>
      <c r="E24" s="210"/>
      <c r="F24" s="210"/>
      <c r="G24" s="210"/>
      <c r="H24" s="210"/>
      <c r="I24" s="210"/>
      <c r="J24" s="210"/>
      <c r="K24" s="210"/>
      <c r="L24" s="210"/>
      <c r="M24" s="210"/>
      <c r="N24" s="210"/>
      <c r="O24" s="209"/>
      <c r="P24" s="210"/>
      <c r="Q24" s="210"/>
      <c r="R24" s="210"/>
      <c r="S24" s="210"/>
      <c r="T24" s="54"/>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row>
    <row r="25" spans="1:42" s="36" customFormat="1" ht="17.5" x14ac:dyDescent="0.35">
      <c r="A25" s="32"/>
      <c r="B25" s="76" t="s">
        <v>13</v>
      </c>
      <c r="C25" s="76" t="s">
        <v>169</v>
      </c>
      <c r="D25" s="210"/>
      <c r="E25" s="54">
        <v>-2330</v>
      </c>
      <c r="F25" s="54">
        <v>-4288</v>
      </c>
      <c r="G25" s="54">
        <v>-10434</v>
      </c>
      <c r="H25" s="54">
        <v>-58410</v>
      </c>
      <c r="I25" s="54">
        <v>-127307</v>
      </c>
      <c r="J25" s="54">
        <f>SUM(AC25:AF25)</f>
        <v>-171743</v>
      </c>
      <c r="K25" s="54">
        <f>SUM(AG25:AJ25)</f>
        <v>-191568.68420999998</v>
      </c>
      <c r="L25" s="54">
        <v>-218708.89700000003</v>
      </c>
      <c r="M25" s="210"/>
      <c r="N25" s="210"/>
      <c r="O25" s="209"/>
      <c r="P25" s="210"/>
      <c r="Q25" s="54">
        <v>-1944</v>
      </c>
      <c r="R25" s="54">
        <v>-1320</v>
      </c>
      <c r="S25" s="54">
        <v>-2617.2451799999999</v>
      </c>
      <c r="T25" s="54">
        <v>-4552.7548200000001</v>
      </c>
      <c r="U25" s="54">
        <v>-4338</v>
      </c>
      <c r="V25" s="54">
        <v>-6901</v>
      </c>
      <c r="W25" s="54">
        <v>-23424</v>
      </c>
      <c r="X25" s="54">
        <v>-23747</v>
      </c>
      <c r="Y25" s="54">
        <v>-24555</v>
      </c>
      <c r="Z25" s="54">
        <v>-24748</v>
      </c>
      <c r="AA25" s="54">
        <v>-30648</v>
      </c>
      <c r="AB25" s="54">
        <v>-47356</v>
      </c>
      <c r="AC25" s="54">
        <v>-40039</v>
      </c>
      <c r="AD25" s="54">
        <v>-42476</v>
      </c>
      <c r="AE25" s="54">
        <v>-42004</v>
      </c>
      <c r="AF25" s="54">
        <v>-47224</v>
      </c>
      <c r="AG25" s="54">
        <v>-39606</v>
      </c>
      <c r="AH25" s="54">
        <v>-33503.691999999995</v>
      </c>
      <c r="AI25" s="54">
        <v>-51185.142000000007</v>
      </c>
      <c r="AJ25" s="54">
        <v>-67273.85020999999</v>
      </c>
      <c r="AK25" s="54">
        <v>-58404.103720000006</v>
      </c>
      <c r="AL25" s="54">
        <v>-65523.452729999997</v>
      </c>
      <c r="AM25" s="54">
        <v>-55410.711239999997</v>
      </c>
      <c r="AN25" s="54">
        <v>-39370.629310000018</v>
      </c>
      <c r="AO25" s="210"/>
      <c r="AP25" s="210"/>
    </row>
    <row r="26" spans="1:42" s="36" customFormat="1" ht="17.5" x14ac:dyDescent="0.35">
      <c r="A26" s="32"/>
      <c r="B26" s="76" t="s">
        <v>4</v>
      </c>
      <c r="C26" s="76" t="s">
        <v>167</v>
      </c>
      <c r="D26" s="210"/>
      <c r="E26" s="224">
        <f t="shared" ref="E26" si="48">E25/E$15</f>
        <v>-5.4518227338668165E-2</v>
      </c>
      <c r="F26" s="224">
        <f t="shared" ref="F26" si="49">F25/F$15</f>
        <v>-6.9866718806009059E-2</v>
      </c>
      <c r="G26" s="224">
        <f t="shared" ref="G26:I26" si="50">G25/G$15</f>
        <v>-9.3751684726939455E-2</v>
      </c>
      <c r="H26" s="224">
        <f t="shared" si="50"/>
        <v>-0.14986376021798364</v>
      </c>
      <c r="I26" s="224">
        <f t="shared" si="50"/>
        <v>-0.1337604044742654</v>
      </c>
      <c r="J26" s="224">
        <f t="shared" ref="J26:L26" si="51">J25/J$15</f>
        <v>-0.12619189150067561</v>
      </c>
      <c r="K26" s="224">
        <f t="shared" si="51"/>
        <v>-0.10847791523133073</v>
      </c>
      <c r="L26" s="224">
        <f t="shared" si="51"/>
        <v>-0.11585651814466297</v>
      </c>
      <c r="M26" s="210"/>
      <c r="N26" s="210"/>
      <c r="O26" s="209"/>
      <c r="P26" s="210"/>
      <c r="Q26" s="224">
        <f t="shared" ref="Q26:V26" si="52">Q25/Q$15</f>
        <v>-9.8048116205174757E-2</v>
      </c>
      <c r="R26" s="224">
        <f t="shared" si="52"/>
        <v>-6.0362173038229376E-2</v>
      </c>
      <c r="S26" s="224">
        <f t="shared" si="52"/>
        <v>-8.9191834105779716E-2</v>
      </c>
      <c r="T26" s="224">
        <f t="shared" si="52"/>
        <v>-0.11309787156874923</v>
      </c>
      <c r="U26" s="224">
        <f t="shared" si="52"/>
        <v>-8.3817988600135257E-2</v>
      </c>
      <c r="V26" s="224">
        <f t="shared" si="52"/>
        <v>-9.6394798228827641E-2</v>
      </c>
      <c r="W26" s="224">
        <f>W25/W$15</f>
        <v>-0.235782014374006</v>
      </c>
      <c r="X26" s="224">
        <f>X25/X$15</f>
        <v>-0.14214483245741102</v>
      </c>
      <c r="Y26" s="224">
        <f>Y25/Y$15</f>
        <v>-0.12565501289556638</v>
      </c>
      <c r="Z26" s="224">
        <v>-0.10957084604384074</v>
      </c>
      <c r="AA26" s="224">
        <f t="shared" ref="AA26:AG26" si="53">AA25/AA$15</f>
        <v>-0.1222999477248331</v>
      </c>
      <c r="AB26" s="224">
        <f t="shared" si="53"/>
        <v>-0.16920229528580311</v>
      </c>
      <c r="AC26" s="224">
        <f t="shared" si="53"/>
        <v>-0.1373593009732719</v>
      </c>
      <c r="AD26" s="224">
        <f t="shared" si="53"/>
        <v>-0.13660601148782073</v>
      </c>
      <c r="AE26" s="224">
        <f t="shared" si="53"/>
        <v>-0.11682738173049377</v>
      </c>
      <c r="AF26" s="224">
        <f t="shared" si="53"/>
        <v>-0.11835618635635678</v>
      </c>
      <c r="AG26" s="224">
        <f t="shared" si="53"/>
        <v>-0.10213338765868892</v>
      </c>
      <c r="AH26" s="224">
        <f t="shared" ref="AH26:AJ26" si="54">AH25/AH$15</f>
        <v>-8.217672190412012E-2</v>
      </c>
      <c r="AI26" s="224">
        <f t="shared" si="54"/>
        <v>-0.10299128442333937</v>
      </c>
      <c r="AJ26" s="224">
        <f t="shared" si="54"/>
        <v>-0.142079529884166</v>
      </c>
      <c r="AK26" s="224">
        <f t="shared" ref="AK26:AN26" si="55">AK25/AK$15</f>
        <v>-0.13276171448191992</v>
      </c>
      <c r="AL26" s="224">
        <f t="shared" si="55"/>
        <v>-0.14513442505516658</v>
      </c>
      <c r="AM26" s="224">
        <f t="shared" si="55"/>
        <v>-0.11203611807213812</v>
      </c>
      <c r="AN26" s="224">
        <f t="shared" si="55"/>
        <v>-7.8459771857722682E-2</v>
      </c>
      <c r="AO26" s="210"/>
      <c r="AP26" s="210"/>
    </row>
    <row r="27" spans="1:42" s="36" customFormat="1" ht="17.5" x14ac:dyDescent="0.35">
      <c r="A27" s="32"/>
      <c r="B27" s="210"/>
      <c r="C27" s="210"/>
      <c r="D27" s="210"/>
      <c r="E27" s="210"/>
      <c r="F27" s="210"/>
      <c r="G27" s="210"/>
      <c r="H27" s="210"/>
      <c r="I27" s="210"/>
      <c r="J27" s="210"/>
      <c r="K27" s="210"/>
      <c r="L27" s="210"/>
      <c r="M27" s="210"/>
      <c r="N27" s="210"/>
      <c r="O27" s="209"/>
      <c r="P27" s="210"/>
      <c r="Q27" s="210"/>
      <c r="R27" s="210"/>
      <c r="S27" s="210"/>
      <c r="T27" s="54"/>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row>
    <row r="28" spans="1:42" s="36" customFormat="1" ht="17.5" x14ac:dyDescent="0.35">
      <c r="A28" s="32"/>
      <c r="B28" s="69" t="s">
        <v>117</v>
      </c>
      <c r="C28" s="69" t="s">
        <v>170</v>
      </c>
      <c r="D28" s="208"/>
      <c r="E28" s="199">
        <f t="shared" ref="E28:G28" si="56">E22+E25</f>
        <v>14563</v>
      </c>
      <c r="F28" s="199">
        <f t="shared" si="56"/>
        <v>22605</v>
      </c>
      <c r="G28" s="199">
        <f t="shared" si="56"/>
        <v>39820</v>
      </c>
      <c r="H28" s="199">
        <f t="shared" ref="H28:I28" si="57">H22+H25</f>
        <v>129441</v>
      </c>
      <c r="I28" s="199">
        <f t="shared" si="57"/>
        <v>320313</v>
      </c>
      <c r="J28" s="199">
        <f t="shared" ref="J28:L28" si="58">J22+J25</f>
        <v>455087</v>
      </c>
      <c r="K28" s="199">
        <f t="shared" si="58"/>
        <v>523052.94833274919</v>
      </c>
      <c r="L28" s="199">
        <f t="shared" si="58"/>
        <v>422488.58400000038</v>
      </c>
      <c r="M28" s="204">
        <f>K28/J28-1</f>
        <v>0.14934715413261457</v>
      </c>
      <c r="N28" s="204">
        <f>L28/K28-1</f>
        <v>-0.19226421465226695</v>
      </c>
      <c r="O28" s="209"/>
      <c r="P28" s="210"/>
      <c r="Q28" s="199">
        <f t="shared" ref="Q28:V28" si="59">Q22+Q25</f>
        <v>7299</v>
      </c>
      <c r="R28" s="199">
        <f t="shared" si="59"/>
        <v>8186</v>
      </c>
      <c r="S28" s="199">
        <f t="shared" si="59"/>
        <v>10489.837000000001</v>
      </c>
      <c r="T28" s="199">
        <f t="shared" si="59"/>
        <v>13845.163000000002</v>
      </c>
      <c r="U28" s="199">
        <f t="shared" si="59"/>
        <v>18974</v>
      </c>
      <c r="V28" s="199">
        <f t="shared" si="59"/>
        <v>27357</v>
      </c>
      <c r="W28" s="199">
        <f>W22+W25</f>
        <v>28381</v>
      </c>
      <c r="X28" s="199">
        <f>X22+X25</f>
        <v>54729</v>
      </c>
      <c r="Y28" s="199">
        <f>Y22+Y25</f>
        <v>62690</v>
      </c>
      <c r="Z28" s="199">
        <v>74922</v>
      </c>
      <c r="AA28" s="199">
        <f t="shared" ref="AA28:AG28" si="60">AA22+AA25</f>
        <v>89642</v>
      </c>
      <c r="AB28" s="199">
        <f t="shared" si="60"/>
        <v>93059</v>
      </c>
      <c r="AC28" s="199">
        <f t="shared" si="60"/>
        <v>93645</v>
      </c>
      <c r="AD28" s="199">
        <f t="shared" si="60"/>
        <v>111516</v>
      </c>
      <c r="AE28" s="199">
        <f t="shared" si="60"/>
        <v>126840</v>
      </c>
      <c r="AF28" s="199">
        <f t="shared" si="60"/>
        <v>123086</v>
      </c>
      <c r="AG28" s="199">
        <f t="shared" si="60"/>
        <v>133951</v>
      </c>
      <c r="AH28" s="199">
        <f t="shared" ref="AH28:AJ28" si="61">AH22+AH25</f>
        <v>137066.32844748424</v>
      </c>
      <c r="AI28" s="199">
        <f t="shared" si="61"/>
        <v>153648.29693668551</v>
      </c>
      <c r="AJ28" s="199">
        <f t="shared" si="61"/>
        <v>98387.322948579633</v>
      </c>
      <c r="AK28" s="199">
        <f>AK22+AK25</f>
        <v>92426.947410000081</v>
      </c>
      <c r="AL28" s="199">
        <f>AL22+AL25</f>
        <v>82075.130069516454</v>
      </c>
      <c r="AM28" s="199">
        <f>AM22+AM25</f>
        <v>140263.54479300001</v>
      </c>
      <c r="AN28" s="199">
        <f>AN22+AN25</f>
        <v>107723.06361700044</v>
      </c>
      <c r="AO28" s="204">
        <f>AN28/AJ28-1</f>
        <v>9.4887637844359052E-2</v>
      </c>
      <c r="AP28" s="204">
        <f>AN28/AM28-1</f>
        <v>-0.23199528590285223</v>
      </c>
    </row>
    <row r="29" spans="1:42" s="36" customFormat="1" ht="17.5" x14ac:dyDescent="0.35">
      <c r="A29" s="32"/>
      <c r="B29" s="76" t="s">
        <v>4</v>
      </c>
      <c r="C29" s="76" t="s">
        <v>167</v>
      </c>
      <c r="D29" s="210"/>
      <c r="E29" s="224">
        <f t="shared" ref="E29" si="62">E28/E$15</f>
        <v>0.34075062005709206</v>
      </c>
      <c r="F29" s="224">
        <f t="shared" ref="F29" si="63">F28/F$15</f>
        <v>0.3683155733698309</v>
      </c>
      <c r="G29" s="224">
        <f t="shared" ref="G29:L29" si="64">G28/G$15</f>
        <v>0.35779107588908654</v>
      </c>
      <c r="H29" s="224">
        <f t="shared" si="64"/>
        <v>0.33210948444403393</v>
      </c>
      <c r="I29" s="224">
        <f t="shared" si="64"/>
        <v>0.33655020099731653</v>
      </c>
      <c r="J29" s="224">
        <f t="shared" si="64"/>
        <v>0.33438503652182605</v>
      </c>
      <c r="K29" s="224">
        <f t="shared" si="64"/>
        <v>0.29618459627012322</v>
      </c>
      <c r="L29" s="224">
        <f t="shared" si="64"/>
        <v>0.22380459583273835</v>
      </c>
      <c r="M29" s="210"/>
      <c r="N29" s="210"/>
      <c r="O29" s="209"/>
      <c r="P29" s="210"/>
      <c r="Q29" s="224">
        <f t="shared" ref="Q29:V29" si="65">Q28/Q$15</f>
        <v>0.36813436223331819</v>
      </c>
      <c r="R29" s="224">
        <f t="shared" si="65"/>
        <v>0.37433693067495882</v>
      </c>
      <c r="S29" s="224">
        <f t="shared" si="65"/>
        <v>0.35747808751363147</v>
      </c>
      <c r="T29" s="224">
        <f t="shared" si="65"/>
        <v>0.34393647994038012</v>
      </c>
      <c r="U29" s="224">
        <f t="shared" si="65"/>
        <v>0.36661192155347311</v>
      </c>
      <c r="V29" s="224">
        <f t="shared" si="65"/>
        <v>0.38212903856630026</v>
      </c>
      <c r="W29" s="224">
        <f>W28/W$15</f>
        <v>0.28567833631952971</v>
      </c>
      <c r="X29" s="224">
        <f>X28/X$15</f>
        <v>0.32759694005818202</v>
      </c>
      <c r="Y29" s="224">
        <f>Y28/Y$15</f>
        <v>0.32080280018012852</v>
      </c>
      <c r="Z29" s="224">
        <v>0.3317143578186777</v>
      </c>
      <c r="AA29" s="224">
        <f t="shared" ref="AA29:AJ29" si="66">AA28/AA$15</f>
        <v>0.35771377949456695</v>
      </c>
      <c r="AB29" s="224">
        <f t="shared" si="66"/>
        <v>0.33249844575136311</v>
      </c>
      <c r="AC29" s="224">
        <f t="shared" si="66"/>
        <v>0.32126206297964605</v>
      </c>
      <c r="AD29" s="224">
        <f t="shared" si="66"/>
        <v>0.35864384539683153</v>
      </c>
      <c r="AE29" s="224">
        <f t="shared" si="66"/>
        <v>0.35278509424568683</v>
      </c>
      <c r="AF29" s="224">
        <f t="shared" si="66"/>
        <v>0.30848698868919472</v>
      </c>
      <c r="AG29" s="224">
        <f t="shared" si="66"/>
        <v>0.34542416326488512</v>
      </c>
      <c r="AH29" s="224">
        <f t="shared" si="66"/>
        <v>0.33619165181102134</v>
      </c>
      <c r="AI29" s="224">
        <f t="shared" si="66"/>
        <v>0.30916072189401911</v>
      </c>
      <c r="AJ29" s="224">
        <f t="shared" si="66"/>
        <v>0.20778987002319535</v>
      </c>
      <c r="AK29" s="224">
        <f t="shared" ref="AK29:AM29" si="67">AK28/AK$15</f>
        <v>0.21010098984328454</v>
      </c>
      <c r="AL29" s="224">
        <f t="shared" si="67"/>
        <v>0.18179638461746372</v>
      </c>
      <c r="AM29" s="224">
        <f t="shared" si="67"/>
        <v>0.28360190140098956</v>
      </c>
      <c r="AN29" s="224">
        <f t="shared" ref="AN29" si="68">AN28/AN$15</f>
        <v>0.21467594354805089</v>
      </c>
      <c r="AO29" s="210"/>
      <c r="AP29" s="210"/>
    </row>
    <row r="30" spans="1:42" s="36" customFormat="1" ht="17.5" x14ac:dyDescent="0.35">
      <c r="A30" s="32"/>
      <c r="B30" s="210"/>
      <c r="C30" s="210"/>
      <c r="D30" s="210"/>
      <c r="E30" s="210"/>
      <c r="F30" s="210"/>
      <c r="G30" s="210"/>
      <c r="H30" s="210"/>
      <c r="I30" s="210"/>
      <c r="J30" s="210"/>
      <c r="K30" s="210"/>
      <c r="L30" s="210"/>
      <c r="M30" s="210"/>
      <c r="N30" s="210"/>
      <c r="O30" s="209"/>
      <c r="P30" s="210"/>
      <c r="Q30" s="210"/>
      <c r="R30" s="210"/>
      <c r="S30" s="210"/>
      <c r="T30" s="54"/>
      <c r="U30" s="210"/>
      <c r="V30" s="210"/>
      <c r="W30" s="210"/>
      <c r="X30" s="210"/>
      <c r="Y30" s="210"/>
      <c r="Z30" s="210"/>
      <c r="AA30" s="222"/>
      <c r="AB30" s="222"/>
      <c r="AC30" s="222"/>
      <c r="AD30" s="222"/>
      <c r="AE30" s="222"/>
      <c r="AF30" s="222"/>
      <c r="AG30" s="222"/>
      <c r="AH30" s="222"/>
      <c r="AI30" s="222"/>
      <c r="AJ30" s="222"/>
      <c r="AK30" s="222"/>
      <c r="AL30" s="222"/>
      <c r="AM30" s="222"/>
      <c r="AN30" s="222"/>
      <c r="AO30" s="210"/>
      <c r="AP30" s="210"/>
    </row>
    <row r="31" spans="1:42" s="36" customFormat="1" ht="17.5" x14ac:dyDescent="0.35">
      <c r="A31" s="32"/>
      <c r="B31" s="76" t="s">
        <v>118</v>
      </c>
      <c r="C31" s="76" t="s">
        <v>171</v>
      </c>
      <c r="D31" s="210"/>
      <c r="E31" s="54">
        <v>563</v>
      </c>
      <c r="F31" s="54">
        <v>296</v>
      </c>
      <c r="G31" s="54">
        <v>859</v>
      </c>
      <c r="H31" s="54">
        <v>27692</v>
      </c>
      <c r="I31" s="54">
        <v>126974</v>
      </c>
      <c r="J31" s="54">
        <f>SUM(AC31:AF31)</f>
        <v>99055.6</v>
      </c>
      <c r="K31" s="54">
        <f>SUM(AG31:AJ31)</f>
        <v>117515.69500000001</v>
      </c>
      <c r="L31" s="54">
        <v>105450.29800000001</v>
      </c>
      <c r="M31" s="210"/>
      <c r="N31" s="210"/>
      <c r="O31" s="209"/>
      <c r="P31" s="210"/>
      <c r="Q31" s="54">
        <v>125</v>
      </c>
      <c r="R31" s="54">
        <v>33</v>
      </c>
      <c r="S31" s="54">
        <v>70.755319999999998</v>
      </c>
      <c r="T31" s="54">
        <v>630.24468000000002</v>
      </c>
      <c r="U31" s="54">
        <v>447</v>
      </c>
      <c r="V31" s="54">
        <v>567</v>
      </c>
      <c r="W31" s="54">
        <v>9378</v>
      </c>
      <c r="X31" s="54">
        <v>17300</v>
      </c>
      <c r="Y31" s="54">
        <v>38592</v>
      </c>
      <c r="Z31" s="54">
        <v>29335</v>
      </c>
      <c r="AA31" s="54">
        <v>31475</v>
      </c>
      <c r="AB31" s="54">
        <v>27572</v>
      </c>
      <c r="AC31" s="54">
        <v>28107</v>
      </c>
      <c r="AD31" s="54">
        <v>25253</v>
      </c>
      <c r="AE31" s="54">
        <v>23878.600000000006</v>
      </c>
      <c r="AF31" s="54">
        <v>21817</v>
      </c>
      <c r="AG31" s="54">
        <v>21400</v>
      </c>
      <c r="AH31" s="54">
        <v>31689.232999999993</v>
      </c>
      <c r="AI31" s="54">
        <v>29504.135999999999</v>
      </c>
      <c r="AJ31" s="54">
        <v>34922.326000000015</v>
      </c>
      <c r="AK31" s="54">
        <v>20045.397000000001</v>
      </c>
      <c r="AL31" s="54">
        <v>19611.448</v>
      </c>
      <c r="AM31" s="54">
        <v>33340.084999999992</v>
      </c>
      <c r="AN31" s="54">
        <v>32453.368000000013</v>
      </c>
      <c r="AO31" s="222"/>
      <c r="AP31" s="210"/>
    </row>
    <row r="32" spans="1:42" s="36" customFormat="1" ht="17.5" x14ac:dyDescent="0.35">
      <c r="A32" s="32"/>
      <c r="B32" s="76" t="s">
        <v>119</v>
      </c>
      <c r="C32" s="76" t="s">
        <v>172</v>
      </c>
      <c r="D32" s="210"/>
      <c r="E32" s="54">
        <v>-5473</v>
      </c>
      <c r="F32" s="54">
        <v>-7813</v>
      </c>
      <c r="G32" s="54">
        <v>-16200</v>
      </c>
      <c r="H32" s="54">
        <v>-67544</v>
      </c>
      <c r="I32" s="54">
        <v>-279296</v>
      </c>
      <c r="J32" s="54">
        <f>SUM(AC32:AF32)</f>
        <v>-355307.4</v>
      </c>
      <c r="K32" s="54">
        <f>SUM(AG32:AJ32)</f>
        <v>-414725.89200000011</v>
      </c>
      <c r="L32" s="54">
        <v>-481313.55500000005</v>
      </c>
      <c r="M32" s="210"/>
      <c r="N32" s="210"/>
      <c r="O32" s="209"/>
      <c r="P32" s="210"/>
      <c r="Q32" s="54">
        <v>-2498</v>
      </c>
      <c r="R32" s="54">
        <v>-3010</v>
      </c>
      <c r="S32" s="54">
        <v>-4239.9753400000009</v>
      </c>
      <c r="T32" s="54">
        <v>-6452.0246599999991</v>
      </c>
      <c r="U32" s="54">
        <v>-7443</v>
      </c>
      <c r="V32" s="54">
        <v>-10673</v>
      </c>
      <c r="W32" s="54">
        <v>-16830</v>
      </c>
      <c r="X32" s="54">
        <v>-32598</v>
      </c>
      <c r="Y32" s="54">
        <v>-64465</v>
      </c>
      <c r="Z32" s="54">
        <v>-63711</v>
      </c>
      <c r="AA32" s="54">
        <v>-70442</v>
      </c>
      <c r="AB32" s="54">
        <v>-80678</v>
      </c>
      <c r="AC32" s="54">
        <v>-91020</v>
      </c>
      <c r="AD32" s="54">
        <v>-89044</v>
      </c>
      <c r="AE32" s="54">
        <v>-87767.000000000029</v>
      </c>
      <c r="AF32" s="54">
        <v>-87476.400000000023</v>
      </c>
      <c r="AG32" s="54">
        <v>-87202</v>
      </c>
      <c r="AH32" s="54">
        <v>-104038.644</v>
      </c>
      <c r="AI32" s="54">
        <v>-108721.95599999998</v>
      </c>
      <c r="AJ32" s="54">
        <v>-114763.2920000001</v>
      </c>
      <c r="AK32" s="54">
        <v>-105214.08099999999</v>
      </c>
      <c r="AL32" s="54">
        <v>-119349.59699999999</v>
      </c>
      <c r="AM32" s="54">
        <v>-123513.05900000002</v>
      </c>
      <c r="AN32" s="54">
        <v>-133236.81800000003</v>
      </c>
      <c r="AO32" s="210"/>
      <c r="AP32" s="210"/>
    </row>
    <row r="33" spans="1:42" s="36" customFormat="1" ht="17.5" x14ac:dyDescent="0.35">
      <c r="A33" s="32"/>
      <c r="B33" s="210"/>
      <c r="C33" s="210"/>
      <c r="D33" s="210"/>
      <c r="E33" s="210"/>
      <c r="F33" s="210"/>
      <c r="G33" s="210"/>
      <c r="H33" s="210"/>
      <c r="I33" s="210"/>
      <c r="J33" s="210"/>
      <c r="K33" s="210"/>
      <c r="L33" s="210"/>
      <c r="M33" s="210"/>
      <c r="N33" s="210"/>
      <c r="O33" s="209"/>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row>
    <row r="34" spans="1:42" s="36" customFormat="1" ht="17.5" x14ac:dyDescent="0.35">
      <c r="A34" s="32"/>
      <c r="B34" s="69" t="s">
        <v>120</v>
      </c>
      <c r="C34" s="69" t="s">
        <v>173</v>
      </c>
      <c r="D34" s="208"/>
      <c r="E34" s="199">
        <f t="shared" ref="E34:G34" si="69">E28+E31+E32</f>
        <v>9653</v>
      </c>
      <c r="F34" s="199">
        <f t="shared" si="69"/>
        <v>15088</v>
      </c>
      <c r="G34" s="199">
        <f t="shared" si="69"/>
        <v>24479</v>
      </c>
      <c r="H34" s="199">
        <f t="shared" ref="H34:L34" si="70">H28+H31+H32</f>
        <v>89589</v>
      </c>
      <c r="I34" s="199">
        <f t="shared" si="70"/>
        <v>167991</v>
      </c>
      <c r="J34" s="199">
        <f t="shared" si="70"/>
        <v>198835.19999999995</v>
      </c>
      <c r="K34" s="199">
        <f t="shared" si="70"/>
        <v>225842.75133274903</v>
      </c>
      <c r="L34" s="199">
        <f t="shared" si="70"/>
        <v>46625.327000000398</v>
      </c>
      <c r="M34" s="204">
        <f>K34/J34-1</f>
        <v>0.13582882373316729</v>
      </c>
      <c r="N34" s="204">
        <f>L34/K34-1</f>
        <v>-0.79354959712076734</v>
      </c>
      <c r="O34" s="209"/>
      <c r="P34" s="210"/>
      <c r="Q34" s="199">
        <f t="shared" ref="Q34:V34" si="71">Q28+Q31+Q32</f>
        <v>4926</v>
      </c>
      <c r="R34" s="199">
        <f t="shared" si="71"/>
        <v>5209</v>
      </c>
      <c r="S34" s="199">
        <f t="shared" si="71"/>
        <v>6320.6169800000007</v>
      </c>
      <c r="T34" s="199">
        <f t="shared" si="71"/>
        <v>8023.3830200000029</v>
      </c>
      <c r="U34" s="199">
        <f t="shared" si="71"/>
        <v>11978</v>
      </c>
      <c r="V34" s="199">
        <f t="shared" si="71"/>
        <v>17251</v>
      </c>
      <c r="W34" s="199">
        <f>W28+W31+W32</f>
        <v>20929</v>
      </c>
      <c r="X34" s="199">
        <f>X28+X31+X32</f>
        <v>39431</v>
      </c>
      <c r="Y34" s="199">
        <f>Y28+Y31+Y32</f>
        <v>36817</v>
      </c>
      <c r="Z34" s="199">
        <v>40546</v>
      </c>
      <c r="AA34" s="199">
        <f t="shared" ref="AA34:AI34" si="72">AA28+AA32+AA31</f>
        <v>50675</v>
      </c>
      <c r="AB34" s="199">
        <f t="shared" si="72"/>
        <v>39953</v>
      </c>
      <c r="AC34" s="199">
        <f t="shared" si="72"/>
        <v>30732</v>
      </c>
      <c r="AD34" s="199">
        <f t="shared" si="72"/>
        <v>47725</v>
      </c>
      <c r="AE34" s="199">
        <f t="shared" si="72"/>
        <v>62951.599999999977</v>
      </c>
      <c r="AF34" s="199">
        <f t="shared" si="72"/>
        <v>57426.599999999977</v>
      </c>
      <c r="AG34" s="199">
        <f t="shared" si="72"/>
        <v>68149</v>
      </c>
      <c r="AH34" s="199">
        <f t="shared" si="72"/>
        <v>64716.917447484229</v>
      </c>
      <c r="AI34" s="199">
        <f t="shared" si="72"/>
        <v>74430.476936685533</v>
      </c>
      <c r="AJ34" s="199">
        <f t="shared" ref="AJ34:AK34" si="73">AJ28+AJ32+AJ31</f>
        <v>18546.356948579545</v>
      </c>
      <c r="AK34" s="199">
        <f t="shared" si="73"/>
        <v>7258.2634100000905</v>
      </c>
      <c r="AL34" s="199">
        <f t="shared" ref="AL34:AN34" si="74">AL28+AL32+AL31</f>
        <v>-17663.01893048354</v>
      </c>
      <c r="AM34" s="199">
        <f t="shared" si="74"/>
        <v>50090.570792999977</v>
      </c>
      <c r="AN34" s="199">
        <f t="shared" si="74"/>
        <v>6939.6136170004283</v>
      </c>
      <c r="AO34" s="204">
        <f>AN34/AJ34-1</f>
        <v>-0.62582335516129872</v>
      </c>
      <c r="AP34" s="204">
        <f>AN34/AM34-1</f>
        <v>-0.86145868359778766</v>
      </c>
    </row>
    <row r="35" spans="1:42" s="36" customFormat="1" ht="17.5" x14ac:dyDescent="0.35">
      <c r="A35" s="32"/>
      <c r="B35" s="76" t="s">
        <v>4</v>
      </c>
      <c r="C35" s="76" t="s">
        <v>167</v>
      </c>
      <c r="D35" s="210"/>
      <c r="E35" s="224">
        <f t="shared" ref="E35" si="75">E34/E$15</f>
        <v>0.22586457017174411</v>
      </c>
      <c r="F35" s="224">
        <f t="shared" ref="F35" si="76">F34/F$15</f>
        <v>0.2458369993808453</v>
      </c>
      <c r="G35" s="224">
        <f t="shared" ref="G35" si="77">G34/G$15</f>
        <v>0.21994896400524735</v>
      </c>
      <c r="H35" s="224">
        <f t="shared" ref="H35:L35" si="78">H34/H$15</f>
        <v>0.22986037346634031</v>
      </c>
      <c r="I35" s="224">
        <f t="shared" si="78"/>
        <v>0.17650674438983183</v>
      </c>
      <c r="J35" s="224">
        <f t="shared" si="78"/>
        <v>0.14609847263012252</v>
      </c>
      <c r="K35" s="224">
        <f t="shared" si="78"/>
        <v>0.12788599000778436</v>
      </c>
      <c r="L35" s="224">
        <f t="shared" si="78"/>
        <v>2.4698803375961378E-2</v>
      </c>
      <c r="M35" s="210"/>
      <c r="N35" s="210"/>
      <c r="O35" s="209"/>
      <c r="P35" s="210"/>
      <c r="Q35" s="224">
        <f t="shared" ref="Q35:V35" si="79">Q34/Q$15</f>
        <v>0.24844908458163112</v>
      </c>
      <c r="R35" s="224">
        <f t="shared" si="79"/>
        <v>0.23820193890616426</v>
      </c>
      <c r="S35" s="224">
        <f t="shared" si="79"/>
        <v>0.21539725258996731</v>
      </c>
      <c r="T35" s="224">
        <f t="shared" si="79"/>
        <v>0.19931394907464919</v>
      </c>
      <c r="U35" s="224">
        <f t="shared" si="79"/>
        <v>0.23143657617621485</v>
      </c>
      <c r="V35" s="224">
        <f t="shared" si="79"/>
        <v>0.24096604321772289</v>
      </c>
      <c r="W35" s="224">
        <f>W34/W$15</f>
        <v>0.21066776719747146</v>
      </c>
      <c r="X35" s="224">
        <f>X34/X$15</f>
        <v>0.23602614598173133</v>
      </c>
      <c r="Y35" s="224">
        <f>Y34/Y$15</f>
        <v>0.18840320137552707</v>
      </c>
      <c r="Z35" s="224">
        <v>0.17951590123216285</v>
      </c>
      <c r="AA35" s="224">
        <f t="shared" ref="AA35:AI35" si="80">AA34/AA$15</f>
        <v>0.20221710555194197</v>
      </c>
      <c r="AB35" s="224">
        <f t="shared" si="80"/>
        <v>0.14275148457542214</v>
      </c>
      <c r="AC35" s="224">
        <f t="shared" si="80"/>
        <v>0.10543035634033297</v>
      </c>
      <c r="AD35" s="224">
        <f t="shared" si="80"/>
        <v>0.1534871903723572</v>
      </c>
      <c r="AE35" s="224">
        <f t="shared" si="80"/>
        <v>0.17508976773034352</v>
      </c>
      <c r="AF35" s="224">
        <f t="shared" si="80"/>
        <v>0.14392667650796112</v>
      </c>
      <c r="AG35" s="224">
        <f t="shared" si="80"/>
        <v>0.17573822742897519</v>
      </c>
      <c r="AH35" s="224">
        <f t="shared" si="80"/>
        <v>0.15873546496230359</v>
      </c>
      <c r="AI35" s="224">
        <f t="shared" si="80"/>
        <v>0.14976397681872172</v>
      </c>
      <c r="AJ35" s="224">
        <f t="shared" ref="AJ35:AK35" si="81">AJ34/AJ$15</f>
        <v>3.9169122446427576E-2</v>
      </c>
      <c r="AK35" s="224">
        <f t="shared" si="81"/>
        <v>1.6499174426043196E-2</v>
      </c>
      <c r="AL35" s="224">
        <f t="shared" ref="AL35:AN35" si="82">AL34/AL$15</f>
        <v>-3.9123580800566458E-2</v>
      </c>
      <c r="AM35" s="224">
        <f t="shared" si="82"/>
        <v>0.10127921078937839</v>
      </c>
      <c r="AN35" s="224">
        <f t="shared" si="82"/>
        <v>1.3829611329893144E-2</v>
      </c>
      <c r="AO35" s="210"/>
      <c r="AP35" s="210"/>
    </row>
    <row r="36" spans="1:42" s="36" customFormat="1" ht="17.5" x14ac:dyDescent="0.35">
      <c r="A36" s="32"/>
      <c r="B36" s="210"/>
      <c r="C36" s="210"/>
      <c r="D36" s="210"/>
      <c r="E36" s="210"/>
      <c r="F36" s="210"/>
      <c r="G36" s="210"/>
      <c r="H36" s="210"/>
      <c r="I36" s="210"/>
      <c r="J36" s="210"/>
      <c r="K36" s="210"/>
      <c r="L36" s="210"/>
      <c r="M36" s="210"/>
      <c r="N36" s="210"/>
      <c r="O36" s="209"/>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row>
    <row r="37" spans="1:42" s="36" customFormat="1" ht="17.5" x14ac:dyDescent="0.35">
      <c r="A37" s="32"/>
      <c r="B37" s="216" t="s">
        <v>121</v>
      </c>
      <c r="C37" s="216" t="s">
        <v>174</v>
      </c>
      <c r="D37" s="225"/>
      <c r="E37" s="218">
        <f t="shared" ref="E37" si="83">E38+E39</f>
        <v>-3334</v>
      </c>
      <c r="F37" s="218">
        <f t="shared" ref="F37" si="84">F38+F39</f>
        <v>-5924</v>
      </c>
      <c r="G37" s="218">
        <f t="shared" ref="G37:L37" si="85">G38+G39</f>
        <v>-6946</v>
      </c>
      <c r="H37" s="218">
        <f t="shared" si="85"/>
        <v>-31524.774632087621</v>
      </c>
      <c r="I37" s="218">
        <f t="shared" si="85"/>
        <v>-19399</v>
      </c>
      <c r="J37" s="218">
        <f t="shared" si="85"/>
        <v>-35552</v>
      </c>
      <c r="K37" s="218">
        <f t="shared" si="85"/>
        <v>-50203.914000000004</v>
      </c>
      <c r="L37" s="218">
        <f t="shared" si="85"/>
        <v>27145.268</v>
      </c>
      <c r="M37" s="84"/>
      <c r="N37" s="84"/>
      <c r="O37" s="209"/>
      <c r="P37" s="210"/>
      <c r="Q37" s="218">
        <f t="shared" ref="Q37:V37" si="86">Q38+Q39</f>
        <v>-1878</v>
      </c>
      <c r="R37" s="218">
        <f t="shared" si="86"/>
        <v>-1787</v>
      </c>
      <c r="S37" s="218">
        <f t="shared" si="86"/>
        <v>-2386.8052000000002</v>
      </c>
      <c r="T37" s="218">
        <f t="shared" si="86"/>
        <v>-894.1947999999993</v>
      </c>
      <c r="U37" s="218">
        <f t="shared" si="86"/>
        <v>-4313</v>
      </c>
      <c r="V37" s="218">
        <f t="shared" si="86"/>
        <v>-6447</v>
      </c>
      <c r="W37" s="218">
        <f>W38+W39</f>
        <v>-7253</v>
      </c>
      <c r="X37" s="218">
        <f>X38+X39</f>
        <v>-13511.774632087621</v>
      </c>
      <c r="Y37" s="218">
        <f>Y38+Y39</f>
        <v>-8852</v>
      </c>
      <c r="Z37" s="218">
        <v>-9709</v>
      </c>
      <c r="AA37" s="218">
        <f t="shared" ref="AA37:AJ37" si="87">AA38+AA39</f>
        <v>-11840</v>
      </c>
      <c r="AB37" s="218">
        <f t="shared" si="87"/>
        <v>11002</v>
      </c>
      <c r="AC37" s="218">
        <f t="shared" si="87"/>
        <v>-4510</v>
      </c>
      <c r="AD37" s="218">
        <f t="shared" si="87"/>
        <v>-4290</v>
      </c>
      <c r="AE37" s="218">
        <f t="shared" si="87"/>
        <v>-15078</v>
      </c>
      <c r="AF37" s="218">
        <f t="shared" si="87"/>
        <v>-11674</v>
      </c>
      <c r="AG37" s="218">
        <f t="shared" si="87"/>
        <v>-15035</v>
      </c>
      <c r="AH37" s="218">
        <f t="shared" si="87"/>
        <v>-14322</v>
      </c>
      <c r="AI37" s="218">
        <f t="shared" si="87"/>
        <v>-13591.383000000002</v>
      </c>
      <c r="AJ37" s="218">
        <f t="shared" si="87"/>
        <v>-7255.530999999999</v>
      </c>
      <c r="AK37" s="218">
        <f t="shared" ref="AK37:AN37" si="88">AK38+AK39</f>
        <v>5253.7420000000002</v>
      </c>
      <c r="AL37" s="218">
        <f t="shared" si="88"/>
        <v>10947.644</v>
      </c>
      <c r="AM37" s="218">
        <f t="shared" si="88"/>
        <v>-11786.716</v>
      </c>
      <c r="AN37" s="218">
        <f t="shared" si="88"/>
        <v>22730.598000000002</v>
      </c>
      <c r="AO37" s="84"/>
      <c r="AP37" s="74"/>
    </row>
    <row r="38" spans="1:42" s="37" customFormat="1" ht="17.5" x14ac:dyDescent="0.35">
      <c r="A38" s="35"/>
      <c r="B38" s="211" t="s">
        <v>122</v>
      </c>
      <c r="C38" s="211" t="s">
        <v>175</v>
      </c>
      <c r="D38" s="212"/>
      <c r="E38" s="96">
        <v>-3334</v>
      </c>
      <c r="F38" s="96">
        <v>-5818</v>
      </c>
      <c r="G38" s="96">
        <v>-6946</v>
      </c>
      <c r="H38" s="96">
        <v>-28024.774632087621</v>
      </c>
      <c r="I38" s="96">
        <v>-13319</v>
      </c>
      <c r="J38" s="54">
        <f>SUM(AC38:AF38)</f>
        <v>-35552</v>
      </c>
      <c r="K38" s="54">
        <f>SUM(AG38:AJ38)</f>
        <v>-40341.502</v>
      </c>
      <c r="L38" s="54">
        <v>31871.07</v>
      </c>
      <c r="M38" s="212"/>
      <c r="N38" s="212"/>
      <c r="O38" s="214"/>
      <c r="P38" s="212"/>
      <c r="Q38" s="96">
        <v>-1878</v>
      </c>
      <c r="R38" s="96">
        <v>-1787</v>
      </c>
      <c r="S38" s="96">
        <v>-2386.8052000000002</v>
      </c>
      <c r="T38" s="96">
        <v>-894.1947999999993</v>
      </c>
      <c r="U38" s="96">
        <v>-4179</v>
      </c>
      <c r="V38" s="96">
        <v>-5966</v>
      </c>
      <c r="W38" s="96">
        <v>-7492</v>
      </c>
      <c r="X38" s="96">
        <v>-10387.774632087621</v>
      </c>
      <c r="Y38" s="96">
        <v>-7052</v>
      </c>
      <c r="Z38" s="96">
        <v>-7961</v>
      </c>
      <c r="AA38" s="96">
        <v>-9308</v>
      </c>
      <c r="AB38" s="96">
        <v>11002</v>
      </c>
      <c r="AC38" s="96">
        <v>-4510</v>
      </c>
      <c r="AD38" s="96">
        <v>-4290</v>
      </c>
      <c r="AE38" s="96">
        <v>-15078</v>
      </c>
      <c r="AF38" s="96">
        <v>-11674</v>
      </c>
      <c r="AG38" s="96">
        <v>-15035</v>
      </c>
      <c r="AH38" s="96">
        <v>-14322</v>
      </c>
      <c r="AI38" s="96">
        <v>-9063.3470000000016</v>
      </c>
      <c r="AJ38" s="96">
        <v>-1921.1549999999988</v>
      </c>
      <c r="AK38" s="96">
        <v>5868</v>
      </c>
      <c r="AL38" s="96">
        <v>12393.803</v>
      </c>
      <c r="AM38" s="96">
        <v>-11106.892</v>
      </c>
      <c r="AN38" s="96">
        <v>24716.159</v>
      </c>
      <c r="AO38" s="212"/>
      <c r="AP38" s="212"/>
    </row>
    <row r="39" spans="1:42" s="37" customFormat="1" ht="17.5" x14ac:dyDescent="0.35">
      <c r="A39" s="35"/>
      <c r="B39" s="211" t="s">
        <v>123</v>
      </c>
      <c r="C39" s="211" t="s">
        <v>176</v>
      </c>
      <c r="D39" s="212"/>
      <c r="E39" s="96">
        <v>0</v>
      </c>
      <c r="F39" s="96">
        <v>-106</v>
      </c>
      <c r="G39" s="96">
        <v>0</v>
      </c>
      <c r="H39" s="96">
        <v>-3500</v>
      </c>
      <c r="I39" s="96">
        <v>-6080</v>
      </c>
      <c r="J39" s="54">
        <f>SUM(AC39:AF39)</f>
        <v>0</v>
      </c>
      <c r="K39" s="54">
        <f>SUM(AG39:AJ39)</f>
        <v>-9862.4120000000003</v>
      </c>
      <c r="L39" s="54">
        <v>-4725.8019999999997</v>
      </c>
      <c r="M39" s="212"/>
      <c r="N39" s="212"/>
      <c r="O39" s="214"/>
      <c r="P39" s="212"/>
      <c r="Q39" s="96">
        <v>0</v>
      </c>
      <c r="R39" s="96">
        <v>0</v>
      </c>
      <c r="S39" s="96">
        <v>0</v>
      </c>
      <c r="T39" s="96">
        <v>0</v>
      </c>
      <c r="U39" s="96">
        <v>-134</v>
      </c>
      <c r="V39" s="96">
        <v>-481</v>
      </c>
      <c r="W39" s="96">
        <v>239</v>
      </c>
      <c r="X39" s="96">
        <v>-3124</v>
      </c>
      <c r="Y39" s="96">
        <v>-1800</v>
      </c>
      <c r="Z39" s="96">
        <v>-1748</v>
      </c>
      <c r="AA39" s="96">
        <v>-2532</v>
      </c>
      <c r="AB39" s="96">
        <v>0</v>
      </c>
      <c r="AC39" s="96">
        <v>0</v>
      </c>
      <c r="AD39" s="96">
        <v>0</v>
      </c>
      <c r="AE39" s="96">
        <v>0</v>
      </c>
      <c r="AF39" s="96">
        <v>0</v>
      </c>
      <c r="AG39" s="96">
        <v>0</v>
      </c>
      <c r="AH39" s="96">
        <v>0</v>
      </c>
      <c r="AI39" s="96">
        <v>-4528.0360000000001</v>
      </c>
      <c r="AJ39" s="96">
        <v>-5334.3760000000002</v>
      </c>
      <c r="AK39" s="96">
        <v>-614.25800000000004</v>
      </c>
      <c r="AL39" s="96">
        <v>-1446.1589999999999</v>
      </c>
      <c r="AM39" s="96">
        <v>-679.82400000000007</v>
      </c>
      <c r="AN39" s="96">
        <v>-1985.5609999999995</v>
      </c>
      <c r="AO39" s="212"/>
      <c r="AP39" s="212"/>
    </row>
    <row r="40" spans="1:42" s="36" customFormat="1" ht="17.5" x14ac:dyDescent="0.35">
      <c r="A40" s="32"/>
      <c r="B40" s="210"/>
      <c r="C40" s="210"/>
      <c r="D40" s="210"/>
      <c r="E40" s="210"/>
      <c r="F40" s="210"/>
      <c r="G40" s="210"/>
      <c r="H40" s="210"/>
      <c r="I40" s="210"/>
      <c r="J40" s="210"/>
      <c r="K40" s="210"/>
      <c r="L40" s="210"/>
      <c r="M40" s="210"/>
      <c r="N40" s="210"/>
      <c r="O40" s="209"/>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row>
    <row r="41" spans="1:42" s="36" customFormat="1" ht="17.5" x14ac:dyDescent="0.35">
      <c r="A41" s="32"/>
      <c r="B41" s="69" t="s">
        <v>124</v>
      </c>
      <c r="C41" s="69" t="s">
        <v>177</v>
      </c>
      <c r="D41" s="208"/>
      <c r="E41" s="199">
        <f t="shared" ref="E41:H41" si="89">E34+E37</f>
        <v>6319</v>
      </c>
      <c r="F41" s="199">
        <f t="shared" si="89"/>
        <v>9164</v>
      </c>
      <c r="G41" s="199">
        <f t="shared" si="89"/>
        <v>17533</v>
      </c>
      <c r="H41" s="199">
        <f t="shared" si="89"/>
        <v>58064.225367912382</v>
      </c>
      <c r="I41" s="199">
        <f t="shared" ref="I41:L41" si="90">I34+I37</f>
        <v>148592</v>
      </c>
      <c r="J41" s="199">
        <f t="shared" si="90"/>
        <v>163283.19999999995</v>
      </c>
      <c r="K41" s="199">
        <f t="shared" si="90"/>
        <v>175638.83733274904</v>
      </c>
      <c r="L41" s="199">
        <f t="shared" si="90"/>
        <v>73770.595000000394</v>
      </c>
      <c r="M41" s="204">
        <f>K41/J41-1</f>
        <v>7.5669985232706738E-2</v>
      </c>
      <c r="N41" s="204">
        <f>L41/K41-1</f>
        <v>-0.5799869999125451</v>
      </c>
      <c r="O41" s="209"/>
      <c r="P41" s="210"/>
      <c r="Q41" s="199">
        <f t="shared" ref="Q41:V41" si="91">Q34+Q37</f>
        <v>3048</v>
      </c>
      <c r="R41" s="199">
        <f t="shared" si="91"/>
        <v>3422</v>
      </c>
      <c r="S41" s="199">
        <f t="shared" si="91"/>
        <v>3933.8117800000005</v>
      </c>
      <c r="T41" s="199">
        <f t="shared" si="91"/>
        <v>7129.1882200000036</v>
      </c>
      <c r="U41" s="199">
        <f t="shared" si="91"/>
        <v>7665</v>
      </c>
      <c r="V41" s="199">
        <f t="shared" si="91"/>
        <v>10804</v>
      </c>
      <c r="W41" s="199">
        <f>W34+W37</f>
        <v>13676</v>
      </c>
      <c r="X41" s="199">
        <f>X34+X37</f>
        <v>25919.225367912379</v>
      </c>
      <c r="Y41" s="199">
        <f>Y34+Y37</f>
        <v>27965</v>
      </c>
      <c r="Z41" s="199">
        <v>30837</v>
      </c>
      <c r="AA41" s="199">
        <f t="shared" ref="AA41:AG41" si="92">AA34+AA37</f>
        <v>38835</v>
      </c>
      <c r="AB41" s="199">
        <f t="shared" si="92"/>
        <v>50955</v>
      </c>
      <c r="AC41" s="199">
        <f t="shared" si="92"/>
        <v>26222</v>
      </c>
      <c r="AD41" s="199">
        <f t="shared" si="92"/>
        <v>43435</v>
      </c>
      <c r="AE41" s="199">
        <f t="shared" si="92"/>
        <v>47873.599999999977</v>
      </c>
      <c r="AF41" s="199">
        <f t="shared" si="92"/>
        <v>45752.599999999977</v>
      </c>
      <c r="AG41" s="199">
        <f t="shared" si="92"/>
        <v>53114</v>
      </c>
      <c r="AH41" s="199">
        <f t="shared" ref="AH41:AJ41" si="93">AH34+AH37</f>
        <v>50394.917447484229</v>
      </c>
      <c r="AI41" s="199">
        <f t="shared" si="93"/>
        <v>60839.093936685531</v>
      </c>
      <c r="AJ41" s="199">
        <f t="shared" si="93"/>
        <v>11290.825948579546</v>
      </c>
      <c r="AK41" s="199">
        <f t="shared" ref="AK41:AM41" si="94">AK34+AK37</f>
        <v>12512.005410000091</v>
      </c>
      <c r="AL41" s="199">
        <f t="shared" si="94"/>
        <v>-6715.3749304835401</v>
      </c>
      <c r="AM41" s="199">
        <f t="shared" si="94"/>
        <v>38303.854792999977</v>
      </c>
      <c r="AN41" s="199">
        <f>AN34+AN37</f>
        <v>29670.21161700043</v>
      </c>
      <c r="AO41" s="204">
        <f>AN41/AJ41-1</f>
        <v>1.627815870346768</v>
      </c>
      <c r="AP41" s="204">
        <f>AN41/AM41-1</f>
        <v>-0.2253988070562899</v>
      </c>
    </row>
    <row r="42" spans="1:42" s="36" customFormat="1" ht="17.5" x14ac:dyDescent="0.35">
      <c r="A42" s="32"/>
      <c r="B42" s="76" t="s">
        <v>4</v>
      </c>
      <c r="C42" s="76" t="s">
        <v>167</v>
      </c>
      <c r="D42" s="210"/>
      <c r="E42" s="224">
        <f t="shared" ref="E42" si="95">E41/E$15</f>
        <v>0.14785436847770134</v>
      </c>
      <c r="F42" s="224">
        <f t="shared" ref="F42" si="96">F41/F$15</f>
        <v>0.14931404177664809</v>
      </c>
      <c r="G42" s="224">
        <f t="shared" ref="G42:H42" si="97">G41/G$15</f>
        <v>0.15753769295739214</v>
      </c>
      <c r="H42" s="224">
        <f t="shared" si="97"/>
        <v>0.14897659900324919</v>
      </c>
      <c r="I42" s="224">
        <f t="shared" ref="I42:L42" si="98">I41/I$15</f>
        <v>0.15612437667716658</v>
      </c>
      <c r="J42" s="224">
        <f t="shared" si="98"/>
        <v>0.11997587009824628</v>
      </c>
      <c r="K42" s="224">
        <f t="shared" si="98"/>
        <v>9.9457460837520675E-2</v>
      </c>
      <c r="L42" s="224">
        <f t="shared" si="98"/>
        <v>3.907844808965466E-2</v>
      </c>
      <c r="M42" s="210"/>
      <c r="N42" s="210"/>
      <c r="O42" s="209"/>
      <c r="P42" s="210"/>
      <c r="Q42" s="224">
        <f t="shared" ref="Q42:V42" si="99">Q41/Q$15</f>
        <v>0.15372976244515055</v>
      </c>
      <c r="R42" s="224">
        <f t="shared" si="99"/>
        <v>0.15648436070971283</v>
      </c>
      <c r="S42" s="224">
        <f t="shared" si="99"/>
        <v>0.13405847123773174</v>
      </c>
      <c r="T42" s="224">
        <f t="shared" si="99"/>
        <v>0.17710068861011063</v>
      </c>
      <c r="U42" s="224">
        <f t="shared" si="99"/>
        <v>0.14810163269249349</v>
      </c>
      <c r="V42" s="224">
        <f t="shared" si="99"/>
        <v>0.15091282423768351</v>
      </c>
      <c r="W42" s="224">
        <f>W41/W$15</f>
        <v>0.13766029835121696</v>
      </c>
      <c r="X42" s="224">
        <f>X41/X$15</f>
        <v>0.15514734271056482</v>
      </c>
      <c r="Y42" s="224">
        <f>Y41/Y$15</f>
        <v>0.14310496581651452</v>
      </c>
      <c r="Z42" s="224">
        <v>0.13652966621358967</v>
      </c>
      <c r="AA42" s="224">
        <f t="shared" ref="AA42:AG42" si="100">AA41/AA$15</f>
        <v>0.15496993180285479</v>
      </c>
      <c r="AB42" s="224">
        <f t="shared" si="100"/>
        <v>0.18206146964034328</v>
      </c>
      <c r="AC42" s="224">
        <f t="shared" si="100"/>
        <v>8.9958180527014556E-2</v>
      </c>
      <c r="AD42" s="224">
        <f t="shared" si="100"/>
        <v>0.13969022763380481</v>
      </c>
      <c r="AE42" s="224">
        <f t="shared" si="100"/>
        <v>0.13315273169252842</v>
      </c>
      <c r="AF42" s="224">
        <f t="shared" si="100"/>
        <v>0.11466845781568369</v>
      </c>
      <c r="AG42" s="224">
        <f t="shared" si="100"/>
        <v>0.13696694319304153</v>
      </c>
      <c r="AH42" s="224">
        <f t="shared" ref="AH42:AJ42" si="101">AH41/AH$15</f>
        <v>0.12360694804808386</v>
      </c>
      <c r="AI42" s="224">
        <f t="shared" si="101"/>
        <v>0.12241631424391555</v>
      </c>
      <c r="AJ42" s="224">
        <f t="shared" si="101"/>
        <v>2.3845747460127791E-2</v>
      </c>
      <c r="AK42" s="224">
        <f t="shared" ref="AK42:AN42" si="102">AK41/AK$15</f>
        <v>2.8441756384146581E-2</v>
      </c>
      <c r="AL42" s="224">
        <f t="shared" si="102"/>
        <v>-1.4874553140258606E-2</v>
      </c>
      <c r="AM42" s="224">
        <f t="shared" si="102"/>
        <v>7.7447394234288106E-2</v>
      </c>
      <c r="AN42" s="224">
        <f t="shared" si="102"/>
        <v>5.9128291196730326E-2</v>
      </c>
      <c r="AO42" s="210"/>
      <c r="AP42" s="210"/>
    </row>
    <row r="43" spans="1:42" s="17" customFormat="1" x14ac:dyDescent="0.35">
      <c r="B43" s="222"/>
      <c r="C43" s="72"/>
      <c r="D43" s="72"/>
      <c r="E43" s="72"/>
      <c r="F43" s="72"/>
      <c r="G43" s="72"/>
      <c r="H43" s="72"/>
      <c r="I43" s="72"/>
      <c r="J43" s="72"/>
      <c r="K43" s="72"/>
      <c r="L43" s="72"/>
      <c r="M43" s="72"/>
      <c r="N43" s="72"/>
      <c r="O43" s="72"/>
      <c r="P43" s="72"/>
      <c r="Q43" s="72"/>
      <c r="R43" s="72"/>
      <c r="S43" s="72"/>
      <c r="T43" s="226"/>
      <c r="U43" s="72"/>
      <c r="V43" s="72"/>
      <c r="W43" s="72"/>
      <c r="X43" s="72"/>
      <c r="Y43" s="72"/>
      <c r="Z43" s="72"/>
      <c r="AA43" s="72"/>
      <c r="AB43" s="72"/>
      <c r="AC43" s="72"/>
      <c r="AD43" s="72"/>
      <c r="AE43" s="72"/>
      <c r="AF43" s="72"/>
      <c r="AG43" s="72"/>
      <c r="AH43" s="72"/>
      <c r="AI43" s="72"/>
      <c r="AJ43" s="72"/>
      <c r="AK43" s="72"/>
      <c r="AL43" s="72"/>
      <c r="AM43" s="72"/>
      <c r="AN43" s="72"/>
      <c r="AO43" s="72"/>
      <c r="AP43" s="72"/>
    </row>
    <row r="44" spans="1:42" ht="6" customHeight="1" x14ac:dyDescent="0.35"/>
    <row r="46" spans="1:42" x14ac:dyDescent="0.35">
      <c r="AA46" s="40"/>
      <c r="AM46" s="40"/>
      <c r="AN46" s="40"/>
    </row>
    <row r="47" spans="1:42" x14ac:dyDescent="0.35">
      <c r="AM47" s="40"/>
      <c r="AN47" s="40"/>
    </row>
    <row r="56" ht="6" customHeight="1" x14ac:dyDescent="0.35"/>
  </sheetData>
  <phoneticPr fontId="9" type="noConversion"/>
  <pageMargins left="0.7" right="0.7" top="0.75" bottom="0.75" header="0.3" footer="0.3"/>
  <pageSetup paperSize="9" orientation="portrait" r:id="rId1"/>
  <ignoredErrors>
    <ignoredError sqref="J7:J8 J11:J13 J20:J39 K7:K8 K11:K13 I19:K19 K25 K38:K39"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875E-6E5D-4BF9-8E8B-A2AD202E752F}">
  <sheetPr codeName="Planilha3">
    <tabColor theme="4" tint="-0.249977111117893"/>
  </sheetPr>
  <dimension ref="A1:AX71"/>
  <sheetViews>
    <sheetView showGridLines="0" zoomScale="85" zoomScaleNormal="85" workbookViewId="0">
      <pane xSplit="3" ySplit="4" topLeftCell="I5" activePane="bottomRight" state="frozen"/>
      <selection pane="topRight" activeCell="D1" sqref="D1"/>
      <selection pane="bottomLeft" activeCell="A5" sqref="A5"/>
      <selection pane="bottomRight" activeCell="L11" sqref="L6:L11"/>
    </sheetView>
  </sheetViews>
  <sheetFormatPr defaultRowHeight="14.5" outlineLevelCol="1" x14ac:dyDescent="0.35"/>
  <cols>
    <col min="1" max="1" width="2.7265625" customWidth="1"/>
    <col min="2" max="2" width="37" customWidth="1"/>
    <col min="3" max="3" width="39.7265625" customWidth="1" outlineLevel="1"/>
    <col min="4" max="4" width="8" customWidth="1"/>
    <col min="5" max="12" width="10.7265625" customWidth="1" outlineLevel="1"/>
    <col min="13" max="13" width="12.7265625" customWidth="1" outlineLevel="1"/>
    <col min="14" max="14" width="10.7265625" customWidth="1" outlineLevel="1"/>
    <col min="15" max="15" width="2.7265625" customWidth="1" outlineLevel="1"/>
    <col min="16" max="16" width="2.7265625" customWidth="1"/>
    <col min="17" max="19" width="10.7265625" hidden="1" customWidth="1" outlineLevel="1"/>
    <col min="20" max="20" width="11.7265625" hidden="1" customWidth="1" outlineLevel="1"/>
    <col min="21" max="32" width="10.7265625" hidden="1" customWidth="1" outlineLevel="1"/>
    <col min="33" max="33" width="10.7265625" customWidth="1" collapsed="1"/>
    <col min="34" max="42" width="10.7265625" customWidth="1"/>
    <col min="49" max="49" width="13.81640625" bestFit="1" customWidth="1"/>
    <col min="50" max="50" width="10.54296875" bestFit="1" customWidth="1"/>
  </cols>
  <sheetData>
    <row r="1" spans="1:50" ht="12" customHeight="1" x14ac:dyDescent="0.35"/>
    <row r="2" spans="1:50" ht="21" x14ac:dyDescent="0.35">
      <c r="B2" s="7" t="s">
        <v>15</v>
      </c>
      <c r="C2" s="7" t="s">
        <v>180</v>
      </c>
      <c r="D2" s="7"/>
      <c r="E2" s="6"/>
      <c r="F2" s="7"/>
      <c r="G2" s="6"/>
      <c r="H2" s="6"/>
      <c r="I2" s="6"/>
      <c r="J2" s="6"/>
      <c r="K2" s="6"/>
      <c r="L2" s="6"/>
      <c r="M2" s="7"/>
      <c r="N2" s="6"/>
      <c r="O2" s="7"/>
      <c r="P2" s="6"/>
      <c r="Q2" s="6"/>
      <c r="R2" s="6"/>
      <c r="S2" s="6"/>
      <c r="T2" s="6"/>
      <c r="U2" s="7"/>
      <c r="V2" s="6"/>
      <c r="W2" s="6"/>
      <c r="X2" s="6"/>
      <c r="Y2" s="6"/>
      <c r="Z2" s="6"/>
      <c r="AA2" s="6"/>
      <c r="AB2" s="6"/>
      <c r="AC2" s="6"/>
      <c r="AD2" s="6"/>
      <c r="AE2" s="6"/>
      <c r="AF2" s="6"/>
      <c r="AG2" s="6"/>
      <c r="AH2" s="6"/>
      <c r="AI2" s="6"/>
      <c r="AJ2" s="6"/>
      <c r="AK2" s="6"/>
      <c r="AL2" s="6"/>
      <c r="AM2" s="6"/>
      <c r="AN2" s="6"/>
      <c r="AO2" s="6"/>
      <c r="AP2" s="7"/>
    </row>
    <row r="3" spans="1:50" ht="12" customHeight="1" x14ac:dyDescent="0.35">
      <c r="Q3" s="10" t="s">
        <v>298</v>
      </c>
      <c r="R3" s="10" t="s">
        <v>299</v>
      </c>
      <c r="S3" s="10" t="s">
        <v>300</v>
      </c>
      <c r="T3" s="10" t="s">
        <v>301</v>
      </c>
      <c r="U3" s="10" t="s">
        <v>302</v>
      </c>
      <c r="V3" s="10" t="s">
        <v>303</v>
      </c>
      <c r="W3" s="10" t="s">
        <v>304</v>
      </c>
      <c r="X3" s="10" t="s">
        <v>305</v>
      </c>
      <c r="Y3" s="10" t="s">
        <v>306</v>
      </c>
      <c r="Z3" s="10" t="s">
        <v>307</v>
      </c>
      <c r="AA3" s="10" t="s">
        <v>308</v>
      </c>
      <c r="AB3" s="10" t="s">
        <v>309</v>
      </c>
      <c r="AC3" s="10" t="s">
        <v>335</v>
      </c>
      <c r="AD3" s="10" t="s">
        <v>349</v>
      </c>
      <c r="AE3" s="10" t="s">
        <v>355</v>
      </c>
      <c r="AF3" s="10" t="s">
        <v>362</v>
      </c>
      <c r="AG3" s="10" t="s">
        <v>375</v>
      </c>
      <c r="AH3" s="10" t="s">
        <v>390</v>
      </c>
      <c r="AI3" s="10" t="s">
        <v>392</v>
      </c>
      <c r="AJ3" s="10" t="s">
        <v>403</v>
      </c>
      <c r="AK3" s="10" t="s">
        <v>410</v>
      </c>
      <c r="AL3" s="10" t="s">
        <v>416</v>
      </c>
      <c r="AM3" s="10" t="s">
        <v>481</v>
      </c>
      <c r="AN3" s="10" t="s">
        <v>523</v>
      </c>
    </row>
    <row r="4" spans="1:50" x14ac:dyDescent="0.35">
      <c r="B4" s="2" t="s">
        <v>0</v>
      </c>
      <c r="C4" s="2" t="s">
        <v>158</v>
      </c>
      <c r="D4" s="3"/>
      <c r="E4" s="9">
        <v>2018</v>
      </c>
      <c r="F4" s="9">
        <v>2019</v>
      </c>
      <c r="G4" s="9">
        <v>2020</v>
      </c>
      <c r="H4" s="9">
        <v>2021</v>
      </c>
      <c r="I4" s="9">
        <v>2022</v>
      </c>
      <c r="J4" s="9">
        <v>2023</v>
      </c>
      <c r="K4" s="9">
        <v>2024</v>
      </c>
      <c r="L4" s="9">
        <v>2025</v>
      </c>
      <c r="M4" s="10" t="s">
        <v>402</v>
      </c>
      <c r="N4" s="10" t="s">
        <v>524</v>
      </c>
      <c r="O4" s="11"/>
      <c r="P4" s="5"/>
      <c r="Q4" s="10" t="s">
        <v>83</v>
      </c>
      <c r="R4" s="10" t="s">
        <v>84</v>
      </c>
      <c r="S4" s="10" t="s">
        <v>92</v>
      </c>
      <c r="T4" s="10" t="s">
        <v>93</v>
      </c>
      <c r="U4" s="10" t="s">
        <v>1</v>
      </c>
      <c r="V4" s="10" t="s">
        <v>2</v>
      </c>
      <c r="W4" s="10" t="s">
        <v>94</v>
      </c>
      <c r="X4" s="10" t="s">
        <v>138</v>
      </c>
      <c r="Y4" s="10" t="s">
        <v>151</v>
      </c>
      <c r="Z4" s="10" t="s">
        <v>178</v>
      </c>
      <c r="AA4" s="10" t="s">
        <v>297</v>
      </c>
      <c r="AB4" s="10" t="s">
        <v>310</v>
      </c>
      <c r="AC4" s="10" t="s">
        <v>336</v>
      </c>
      <c r="AD4" s="10" t="s">
        <v>350</v>
      </c>
      <c r="AE4" s="10" t="s">
        <v>356</v>
      </c>
      <c r="AF4" s="10" t="s">
        <v>363</v>
      </c>
      <c r="AG4" s="10" t="s">
        <v>376</v>
      </c>
      <c r="AH4" s="10" t="s">
        <v>391</v>
      </c>
      <c r="AI4" s="10" t="s">
        <v>393</v>
      </c>
      <c r="AJ4" s="10" t="s">
        <v>404</v>
      </c>
      <c r="AK4" s="10" t="s">
        <v>411</v>
      </c>
      <c r="AL4" s="10" t="s">
        <v>417</v>
      </c>
      <c r="AM4" s="10" t="s">
        <v>480</v>
      </c>
      <c r="AN4" s="10" t="s">
        <v>522</v>
      </c>
      <c r="AO4" s="10" t="s">
        <v>101</v>
      </c>
      <c r="AP4" s="10" t="s">
        <v>102</v>
      </c>
    </row>
    <row r="5" spans="1:50" ht="6" customHeight="1" x14ac:dyDescent="0.35">
      <c r="O5" s="4"/>
    </row>
    <row r="6" spans="1:50" s="17" customFormat="1" ht="17.5" x14ac:dyDescent="0.35">
      <c r="A6" s="32"/>
      <c r="B6" s="76" t="s">
        <v>16</v>
      </c>
      <c r="C6" s="76" t="s">
        <v>181</v>
      </c>
      <c r="D6" s="72"/>
      <c r="E6" s="54">
        <v>2460</v>
      </c>
      <c r="F6" s="54">
        <v>6793</v>
      </c>
      <c r="G6" s="54">
        <v>84767</v>
      </c>
      <c r="H6" s="54">
        <v>1668121</v>
      </c>
      <c r="I6" s="54">
        <v>938358</v>
      </c>
      <c r="J6" s="54">
        <v>254404.55469271995</v>
      </c>
      <c r="K6" s="54">
        <f>AJ6</f>
        <v>210911.77954999998</v>
      </c>
      <c r="L6" s="54">
        <v>239639.25737282424</v>
      </c>
      <c r="M6" s="102"/>
      <c r="N6" s="84"/>
      <c r="O6" s="191"/>
      <c r="P6" s="72"/>
      <c r="Q6" s="54">
        <v>4405</v>
      </c>
      <c r="R6" s="54">
        <v>13372</v>
      </c>
      <c r="S6" s="54">
        <v>49038.092210000003</v>
      </c>
      <c r="T6" s="54">
        <v>84767</v>
      </c>
      <c r="U6" s="54">
        <v>108963</v>
      </c>
      <c r="V6" s="54">
        <v>134925</v>
      </c>
      <c r="W6" s="54">
        <v>892411.2876618756</v>
      </c>
      <c r="X6" s="54">
        <v>3442</v>
      </c>
      <c r="Y6" s="54">
        <v>1842</v>
      </c>
      <c r="Z6" s="54">
        <v>4363</v>
      </c>
      <c r="AA6" s="54">
        <v>320</v>
      </c>
      <c r="AB6" s="54">
        <v>938358</v>
      </c>
      <c r="AC6" s="54">
        <v>869390</v>
      </c>
      <c r="AD6" s="54">
        <v>762979</v>
      </c>
      <c r="AE6" s="54">
        <v>379438</v>
      </c>
      <c r="AF6" s="54">
        <v>254404.55469271995</v>
      </c>
      <c r="AG6" s="54">
        <v>264628.96709999995</v>
      </c>
      <c r="AH6" s="54">
        <v>242994.85837999999</v>
      </c>
      <c r="AI6" s="54">
        <v>385200.01533916825</v>
      </c>
      <c r="AJ6" s="54">
        <v>210911.77954999998</v>
      </c>
      <c r="AK6" s="54">
        <v>470639.58220134338</v>
      </c>
      <c r="AL6" s="54">
        <v>363919.33160743472</v>
      </c>
      <c r="AM6" s="54">
        <v>512001.09861906082</v>
      </c>
      <c r="AN6" s="54">
        <v>239639.25737282424</v>
      </c>
      <c r="AO6" s="54"/>
      <c r="AP6" s="84"/>
    </row>
    <row r="7" spans="1:50" s="17" customFormat="1" ht="17.5" x14ac:dyDescent="0.35">
      <c r="A7" s="32"/>
      <c r="B7" s="76" t="s">
        <v>357</v>
      </c>
      <c r="C7" s="76" t="s">
        <v>358</v>
      </c>
      <c r="D7" s="72"/>
      <c r="E7" s="54">
        <v>0</v>
      </c>
      <c r="F7" s="54">
        <v>0</v>
      </c>
      <c r="G7" s="54">
        <v>0</v>
      </c>
      <c r="H7" s="54">
        <v>0</v>
      </c>
      <c r="I7" s="54">
        <v>0</v>
      </c>
      <c r="J7" s="54">
        <v>475190.44530728005</v>
      </c>
      <c r="K7" s="54">
        <f t="shared" ref="K7:K11" si="0">AJ7</f>
        <v>430574.88144999999</v>
      </c>
      <c r="L7" s="54">
        <v>914901.79168717586</v>
      </c>
      <c r="M7" s="201"/>
      <c r="N7" s="84"/>
      <c r="O7" s="191"/>
      <c r="P7" s="72"/>
      <c r="Q7" s="54">
        <v>0</v>
      </c>
      <c r="R7" s="54">
        <v>0</v>
      </c>
      <c r="S7" s="54">
        <v>0</v>
      </c>
      <c r="T7" s="54">
        <v>0</v>
      </c>
      <c r="U7" s="54">
        <v>0</v>
      </c>
      <c r="V7" s="54">
        <v>0</v>
      </c>
      <c r="W7" s="54">
        <v>0</v>
      </c>
      <c r="X7" s="54">
        <v>1664679</v>
      </c>
      <c r="Y7" s="54">
        <v>1351137</v>
      </c>
      <c r="Z7" s="54">
        <v>879595</v>
      </c>
      <c r="AA7" s="54">
        <v>859034</v>
      </c>
      <c r="AB7" s="54">
        <v>0</v>
      </c>
      <c r="AC7" s="54">
        <v>0</v>
      </c>
      <c r="AD7" s="54">
        <v>0</v>
      </c>
      <c r="AE7" s="54">
        <v>407606</v>
      </c>
      <c r="AF7" s="54">
        <v>475190.44530728005</v>
      </c>
      <c r="AG7" s="54">
        <v>1080342.0329</v>
      </c>
      <c r="AH7" s="54">
        <v>932708.91462000005</v>
      </c>
      <c r="AI7" s="54">
        <v>737761.84466083173</v>
      </c>
      <c r="AJ7" s="54">
        <v>430574.88144999999</v>
      </c>
      <c r="AK7" s="54">
        <v>250934.7127986566</v>
      </c>
      <c r="AL7" s="54">
        <v>259412.65939256526</v>
      </c>
      <c r="AM7" s="54">
        <v>113227.88638093922</v>
      </c>
      <c r="AN7" s="54">
        <v>914901.79168717586</v>
      </c>
      <c r="AO7" s="54"/>
      <c r="AP7" s="84"/>
    </row>
    <row r="8" spans="1:50" s="17" customFormat="1" ht="17.5" x14ac:dyDescent="0.35">
      <c r="A8" s="32"/>
      <c r="B8" s="76" t="s">
        <v>17</v>
      </c>
      <c r="C8" s="76" t="s">
        <v>317</v>
      </c>
      <c r="D8" s="72"/>
      <c r="E8" s="54">
        <v>5611</v>
      </c>
      <c r="F8" s="54">
        <v>8468</v>
      </c>
      <c r="G8" s="54">
        <v>23866</v>
      </c>
      <c r="H8" s="54">
        <v>170499</v>
      </c>
      <c r="I8" s="54">
        <v>237500</v>
      </c>
      <c r="J8" s="54">
        <v>325596</v>
      </c>
      <c r="K8" s="54">
        <f t="shared" si="0"/>
        <v>562227.19200000004</v>
      </c>
      <c r="L8" s="54">
        <v>404656.29400000005</v>
      </c>
      <c r="M8" s="201"/>
      <c r="N8" s="84"/>
      <c r="O8" s="191"/>
      <c r="P8" s="72"/>
      <c r="Q8" s="54">
        <v>12303</v>
      </c>
      <c r="R8" s="54">
        <v>10821</v>
      </c>
      <c r="S8" s="54">
        <v>16820</v>
      </c>
      <c r="T8" s="54">
        <v>23866</v>
      </c>
      <c r="U8" s="54">
        <v>38497</v>
      </c>
      <c r="V8" s="54">
        <v>63331</v>
      </c>
      <c r="W8" s="54">
        <v>96325</v>
      </c>
      <c r="X8" s="54">
        <f t="shared" ref="X8:X11" si="1">H8</f>
        <v>170499</v>
      </c>
      <c r="Y8" s="54">
        <v>222996</v>
      </c>
      <c r="Z8" s="54">
        <v>250781</v>
      </c>
      <c r="AA8" s="54">
        <v>245392</v>
      </c>
      <c r="AB8" s="54">
        <v>237500</v>
      </c>
      <c r="AC8" s="54">
        <v>251542</v>
      </c>
      <c r="AD8" s="54">
        <v>265547</v>
      </c>
      <c r="AE8" s="54">
        <v>311946</v>
      </c>
      <c r="AF8" s="54">
        <v>325596</v>
      </c>
      <c r="AG8" s="54">
        <v>403695</v>
      </c>
      <c r="AH8" s="54">
        <v>452351.18199999997</v>
      </c>
      <c r="AI8" s="54">
        <v>503281.54800000001</v>
      </c>
      <c r="AJ8" s="54">
        <v>562227.19200000004</v>
      </c>
      <c r="AK8" s="54">
        <v>378741.54200000002</v>
      </c>
      <c r="AL8" s="54">
        <v>391430.35399999999</v>
      </c>
      <c r="AM8" s="54">
        <v>395504.33799999999</v>
      </c>
      <c r="AN8" s="54">
        <v>404656.29400000005</v>
      </c>
      <c r="AO8" s="54"/>
      <c r="AP8" s="84"/>
    </row>
    <row r="9" spans="1:50" s="17" customFormat="1" ht="17.5" x14ac:dyDescent="0.35">
      <c r="A9" s="32"/>
      <c r="B9" s="76" t="s">
        <v>18</v>
      </c>
      <c r="C9" s="76" t="s">
        <v>182</v>
      </c>
      <c r="D9" s="72"/>
      <c r="E9" s="54">
        <v>0</v>
      </c>
      <c r="F9" s="54">
        <v>0</v>
      </c>
      <c r="G9" s="54">
        <v>1985</v>
      </c>
      <c r="H9" s="54">
        <v>17299</v>
      </c>
      <c r="I9" s="54">
        <v>34811</v>
      </c>
      <c r="J9" s="54">
        <v>56525</v>
      </c>
      <c r="K9" s="54">
        <f t="shared" si="0"/>
        <v>76059.620999999999</v>
      </c>
      <c r="L9" s="54">
        <v>84098.701000000001</v>
      </c>
      <c r="M9" s="202"/>
      <c r="N9" s="84"/>
      <c r="O9" s="191"/>
      <c r="P9" s="72"/>
      <c r="Q9" s="54">
        <v>4.9133999999999993</v>
      </c>
      <c r="R9" s="54">
        <v>0</v>
      </c>
      <c r="S9" s="54">
        <v>1060</v>
      </c>
      <c r="T9" s="54">
        <v>1985</v>
      </c>
      <c r="U9" s="54">
        <v>2807</v>
      </c>
      <c r="V9" s="54">
        <v>4721</v>
      </c>
      <c r="W9" s="54">
        <v>7784</v>
      </c>
      <c r="X9" s="54">
        <f t="shared" si="1"/>
        <v>17299</v>
      </c>
      <c r="Y9" s="54">
        <v>20824</v>
      </c>
      <c r="Z9" s="54">
        <v>25994</v>
      </c>
      <c r="AA9" s="54">
        <v>30874</v>
      </c>
      <c r="AB9" s="54">
        <v>34811</v>
      </c>
      <c r="AC9" s="54">
        <v>44637</v>
      </c>
      <c r="AD9" s="54">
        <v>52036</v>
      </c>
      <c r="AE9" s="54">
        <v>54253</v>
      </c>
      <c r="AF9" s="54">
        <v>56525</v>
      </c>
      <c r="AG9" s="54">
        <v>55505</v>
      </c>
      <c r="AH9" s="54">
        <v>62434.464</v>
      </c>
      <c r="AI9" s="54">
        <v>71130.613000000012</v>
      </c>
      <c r="AJ9" s="54">
        <v>76059.620999999999</v>
      </c>
      <c r="AK9" s="54">
        <v>78320.293000000005</v>
      </c>
      <c r="AL9" s="54">
        <v>81951.004000000001</v>
      </c>
      <c r="AM9" s="54">
        <v>81298.592000000004</v>
      </c>
      <c r="AN9" s="54">
        <v>84098.701000000001</v>
      </c>
      <c r="AO9" s="54"/>
      <c r="AP9" s="84"/>
    </row>
    <row r="10" spans="1:50" s="17" customFormat="1" ht="17.5" x14ac:dyDescent="0.35">
      <c r="A10" s="32"/>
      <c r="B10" s="76" t="s">
        <v>19</v>
      </c>
      <c r="C10" s="76" t="s">
        <v>183</v>
      </c>
      <c r="D10" s="72"/>
      <c r="E10" s="54">
        <v>2361</v>
      </c>
      <c r="F10" s="54">
        <v>1809</v>
      </c>
      <c r="G10" s="54">
        <v>9649</v>
      </c>
      <c r="H10" s="54">
        <v>33061</v>
      </c>
      <c r="I10" s="54">
        <v>68330</v>
      </c>
      <c r="J10" s="54">
        <v>33322</v>
      </c>
      <c r="K10" s="54">
        <f t="shared" si="0"/>
        <v>34155.723000000005</v>
      </c>
      <c r="L10" s="54">
        <v>43443.597999999998</v>
      </c>
      <c r="M10" s="203"/>
      <c r="N10" s="84"/>
      <c r="O10" s="191"/>
      <c r="P10" s="72"/>
      <c r="Q10" s="54">
        <v>2605.25632</v>
      </c>
      <c r="R10" s="54">
        <v>3935</v>
      </c>
      <c r="S10" s="54">
        <v>8234</v>
      </c>
      <c r="T10" s="54">
        <v>9649</v>
      </c>
      <c r="U10" s="54">
        <v>13637</v>
      </c>
      <c r="V10" s="54">
        <v>23986</v>
      </c>
      <c r="W10" s="54">
        <v>36376</v>
      </c>
      <c r="X10" s="54">
        <f t="shared" si="1"/>
        <v>33061</v>
      </c>
      <c r="Y10" s="54">
        <v>38041</v>
      </c>
      <c r="Z10" s="54">
        <v>33942</v>
      </c>
      <c r="AA10" s="54">
        <v>45278</v>
      </c>
      <c r="AB10" s="54">
        <v>68330</v>
      </c>
      <c r="AC10" s="54">
        <v>59467</v>
      </c>
      <c r="AD10" s="54">
        <v>44817</v>
      </c>
      <c r="AE10" s="54">
        <v>29834</v>
      </c>
      <c r="AF10" s="54">
        <v>33322</v>
      </c>
      <c r="AG10" s="54">
        <v>28805</v>
      </c>
      <c r="AH10" s="54">
        <v>34340.072999999997</v>
      </c>
      <c r="AI10" s="54">
        <v>35579.993999999999</v>
      </c>
      <c r="AJ10" s="54">
        <v>34155.723000000005</v>
      </c>
      <c r="AK10" s="54">
        <v>46923.731999999996</v>
      </c>
      <c r="AL10" s="54">
        <v>50676.934999999998</v>
      </c>
      <c r="AM10" s="54">
        <v>50863.376000000004</v>
      </c>
      <c r="AN10" s="54">
        <v>43443.597999999998</v>
      </c>
      <c r="AO10" s="54"/>
      <c r="AP10" s="84"/>
      <c r="AW10" s="38"/>
    </row>
    <row r="11" spans="1:50" s="17" customFormat="1" ht="17.5" x14ac:dyDescent="0.35">
      <c r="A11" s="32"/>
      <c r="B11" s="76" t="s">
        <v>20</v>
      </c>
      <c r="C11" s="76" t="s">
        <v>184</v>
      </c>
      <c r="D11" s="72"/>
      <c r="E11" s="54">
        <v>231</v>
      </c>
      <c r="F11" s="54">
        <v>569</v>
      </c>
      <c r="G11" s="54">
        <v>1970</v>
      </c>
      <c r="H11" s="54">
        <v>8393</v>
      </c>
      <c r="I11" s="54">
        <v>11610</v>
      </c>
      <c r="J11" s="54">
        <v>42898</v>
      </c>
      <c r="K11" s="54">
        <f t="shared" si="0"/>
        <v>50802.406999999999</v>
      </c>
      <c r="L11" s="54">
        <v>47736.970999999998</v>
      </c>
      <c r="M11" s="203"/>
      <c r="N11" s="84"/>
      <c r="O11" s="72"/>
      <c r="P11" s="72"/>
      <c r="Q11" s="54">
        <v>1161</v>
      </c>
      <c r="R11" s="54">
        <v>1476</v>
      </c>
      <c r="S11" s="54">
        <v>2388</v>
      </c>
      <c r="T11" s="54">
        <v>1970</v>
      </c>
      <c r="U11" s="54">
        <v>4575</v>
      </c>
      <c r="V11" s="54">
        <v>5132</v>
      </c>
      <c r="W11" s="54">
        <v>6098</v>
      </c>
      <c r="X11" s="54">
        <f t="shared" si="1"/>
        <v>8393</v>
      </c>
      <c r="Y11" s="54">
        <v>7227.3923700000014</v>
      </c>
      <c r="Z11" s="54">
        <v>16486</v>
      </c>
      <c r="AA11" s="54">
        <v>11140</v>
      </c>
      <c r="AB11" s="54">
        <v>11610</v>
      </c>
      <c r="AC11" s="54">
        <v>30454</v>
      </c>
      <c r="AD11" s="54">
        <v>43377</v>
      </c>
      <c r="AE11" s="54">
        <v>45713</v>
      </c>
      <c r="AF11" s="54">
        <v>42898</v>
      </c>
      <c r="AG11" s="54">
        <v>59483</v>
      </c>
      <c r="AH11" s="54">
        <v>64310.325000000004</v>
      </c>
      <c r="AI11" s="54">
        <v>59417.786</v>
      </c>
      <c r="AJ11" s="54">
        <v>50802.406999999999</v>
      </c>
      <c r="AK11" s="54">
        <v>58541.553999999996</v>
      </c>
      <c r="AL11" s="54">
        <v>83116.60100000001</v>
      </c>
      <c r="AM11" s="54">
        <v>75611.567999999999</v>
      </c>
      <c r="AN11" s="54">
        <v>47736.970999999998</v>
      </c>
      <c r="AO11" s="54"/>
      <c r="AP11" s="84"/>
      <c r="AW11" s="38"/>
    </row>
    <row r="12" spans="1:50" s="17" customFormat="1" ht="17.5" x14ac:dyDescent="0.35">
      <c r="A12" s="32"/>
      <c r="B12" s="73" t="s">
        <v>21</v>
      </c>
      <c r="C12" s="73" t="s">
        <v>185</v>
      </c>
      <c r="D12" s="79"/>
      <c r="E12" s="55">
        <f t="shared" ref="E12:K12" si="2">SUM(E6:E11)</f>
        <v>10663</v>
      </c>
      <c r="F12" s="55">
        <f t="shared" si="2"/>
        <v>17639</v>
      </c>
      <c r="G12" s="55">
        <f t="shared" si="2"/>
        <v>122237</v>
      </c>
      <c r="H12" s="55">
        <f t="shared" si="2"/>
        <v>1897373</v>
      </c>
      <c r="I12" s="55">
        <f t="shared" si="2"/>
        <v>1290609</v>
      </c>
      <c r="J12" s="55">
        <f t="shared" si="2"/>
        <v>1187936</v>
      </c>
      <c r="K12" s="55">
        <f t="shared" si="2"/>
        <v>1364731.6040000001</v>
      </c>
      <c r="L12" s="55">
        <f>SUM(L6:L11)</f>
        <v>1734476.6130600001</v>
      </c>
      <c r="M12" s="74">
        <f>K12/J12-1</f>
        <v>0.14882586603992132</v>
      </c>
      <c r="N12" s="74">
        <f>L12/K12-1</f>
        <v>0.27092873644626181</v>
      </c>
      <c r="O12" s="191"/>
      <c r="P12" s="72"/>
      <c r="Q12" s="55">
        <f t="shared" ref="Q12:AD12" si="3">SUM(Q6:Q11)</f>
        <v>20479.169720000002</v>
      </c>
      <c r="R12" s="55">
        <f t="shared" si="3"/>
        <v>29604</v>
      </c>
      <c r="S12" s="55">
        <f t="shared" si="3"/>
        <v>77540.092210000003</v>
      </c>
      <c r="T12" s="55">
        <f t="shared" si="3"/>
        <v>122237</v>
      </c>
      <c r="U12" s="55">
        <f t="shared" si="3"/>
        <v>168479</v>
      </c>
      <c r="V12" s="55">
        <f t="shared" si="3"/>
        <v>232095</v>
      </c>
      <c r="W12" s="55">
        <f t="shared" si="3"/>
        <v>1038994.2876618756</v>
      </c>
      <c r="X12" s="55">
        <f t="shared" si="3"/>
        <v>1897373</v>
      </c>
      <c r="Y12" s="55">
        <f t="shared" si="3"/>
        <v>1642067.39237</v>
      </c>
      <c r="Z12" s="55">
        <f t="shared" si="3"/>
        <v>1211161</v>
      </c>
      <c r="AA12" s="55">
        <f t="shared" si="3"/>
        <v>1192038</v>
      </c>
      <c r="AB12" s="55">
        <f t="shared" si="3"/>
        <v>1290609</v>
      </c>
      <c r="AC12" s="55">
        <f t="shared" si="3"/>
        <v>1255490</v>
      </c>
      <c r="AD12" s="55">
        <f t="shared" si="3"/>
        <v>1168756</v>
      </c>
      <c r="AE12" s="55">
        <f t="shared" ref="AE12:AL12" si="4">SUM(AE6:AE11)</f>
        <v>1228790</v>
      </c>
      <c r="AF12" s="55">
        <f t="shared" si="4"/>
        <v>1187936</v>
      </c>
      <c r="AG12" s="55">
        <f t="shared" si="4"/>
        <v>1892459</v>
      </c>
      <c r="AH12" s="55">
        <f t="shared" si="4"/>
        <v>1789139.817</v>
      </c>
      <c r="AI12" s="55">
        <f t="shared" si="4"/>
        <v>1792371.8009999997</v>
      </c>
      <c r="AJ12" s="55">
        <f t="shared" si="4"/>
        <v>1364731.6040000001</v>
      </c>
      <c r="AK12" s="55">
        <f t="shared" si="4"/>
        <v>1284101.416</v>
      </c>
      <c r="AL12" s="55">
        <f t="shared" si="4"/>
        <v>1230506.885</v>
      </c>
      <c r="AM12" s="55">
        <f>SUM(AM6:AM11)</f>
        <v>1228506.8589999999</v>
      </c>
      <c r="AN12" s="55">
        <f>SUM(AN6:AN11)</f>
        <v>1734476.6130600001</v>
      </c>
      <c r="AO12" s="74">
        <f>AN12/AJ12-1</f>
        <v>0.27092873644626181</v>
      </c>
      <c r="AP12" s="74">
        <f>AN12/AM12-1</f>
        <v>0.4118574921688738</v>
      </c>
      <c r="AW12" s="38"/>
    </row>
    <row r="13" spans="1:50" s="17" customFormat="1" ht="17.5" x14ac:dyDescent="0.35">
      <c r="A13" s="32"/>
      <c r="B13" s="91" t="s">
        <v>412</v>
      </c>
      <c r="C13" s="91" t="s">
        <v>476</v>
      </c>
      <c r="D13" s="92"/>
      <c r="E13" s="93">
        <v>0</v>
      </c>
      <c r="F13" s="93">
        <v>0</v>
      </c>
      <c r="G13" s="93">
        <v>0</v>
      </c>
      <c r="H13" s="93">
        <v>0</v>
      </c>
      <c r="I13" s="93">
        <v>0</v>
      </c>
      <c r="J13" s="93">
        <v>0</v>
      </c>
      <c r="K13" s="93">
        <v>0</v>
      </c>
      <c r="L13" s="93">
        <v>391827</v>
      </c>
      <c r="M13" s="116"/>
      <c r="N13" s="94"/>
      <c r="O13" s="191"/>
      <c r="P13" s="72"/>
      <c r="Q13" s="93">
        <v>0</v>
      </c>
      <c r="R13" s="93">
        <v>0</v>
      </c>
      <c r="S13" s="93">
        <v>0</v>
      </c>
      <c r="T13" s="93">
        <v>0</v>
      </c>
      <c r="U13" s="93">
        <v>0</v>
      </c>
      <c r="V13" s="93">
        <v>0</v>
      </c>
      <c r="W13" s="93">
        <v>0</v>
      </c>
      <c r="X13" s="93">
        <v>0</v>
      </c>
      <c r="Y13" s="93">
        <v>0</v>
      </c>
      <c r="Z13" s="93">
        <v>0</v>
      </c>
      <c r="AA13" s="93">
        <v>0</v>
      </c>
      <c r="AB13" s="93">
        <v>0</v>
      </c>
      <c r="AC13" s="93">
        <v>0</v>
      </c>
      <c r="AD13" s="93">
        <v>0</v>
      </c>
      <c r="AE13" s="93">
        <v>0</v>
      </c>
      <c r="AF13" s="93">
        <v>0</v>
      </c>
      <c r="AG13" s="93">
        <v>0</v>
      </c>
      <c r="AH13" s="93">
        <v>0</v>
      </c>
      <c r="AI13" s="93">
        <v>0</v>
      </c>
      <c r="AJ13" s="93">
        <v>0</v>
      </c>
      <c r="AK13" s="93">
        <v>107447</v>
      </c>
      <c r="AL13" s="93">
        <v>235042</v>
      </c>
      <c r="AM13" s="93">
        <v>155809</v>
      </c>
      <c r="AN13" s="93">
        <v>391827</v>
      </c>
      <c r="AO13" s="93"/>
      <c r="AP13" s="94"/>
      <c r="AW13" s="38"/>
    </row>
    <row r="14" spans="1:50" s="17" customFormat="1" ht="17.5" x14ac:dyDescent="0.35">
      <c r="A14" s="32"/>
      <c r="B14" s="73" t="s">
        <v>504</v>
      </c>
      <c r="C14" s="73" t="s">
        <v>505</v>
      </c>
      <c r="D14" s="79"/>
      <c r="E14" s="55">
        <f t="shared" ref="E14" si="5">SUM(E12:E13)</f>
        <v>10663</v>
      </c>
      <c r="F14" s="55">
        <f t="shared" ref="F14" si="6">SUM(F12:F13)</f>
        <v>17639</v>
      </c>
      <c r="G14" s="55">
        <f t="shared" ref="G14" si="7">SUM(G12:G13)</f>
        <v>122237</v>
      </c>
      <c r="H14" s="55">
        <f t="shared" ref="H14" si="8">SUM(H12:H13)</f>
        <v>1897373</v>
      </c>
      <c r="I14" s="55">
        <f t="shared" ref="I14" si="9">SUM(I12:I13)</f>
        <v>1290609</v>
      </c>
      <c r="J14" s="55">
        <f t="shared" ref="J14" si="10">SUM(J12:J13)</f>
        <v>1187936</v>
      </c>
      <c r="K14" s="55">
        <f t="shared" ref="K14" si="11">SUM(K12:K13)</f>
        <v>1364731.6040000001</v>
      </c>
      <c r="L14" s="55">
        <f>SUM(L12:L13)</f>
        <v>2126303.6130600004</v>
      </c>
      <c r="M14" s="74">
        <f>K14/J14-1</f>
        <v>0.14882586603992132</v>
      </c>
      <c r="N14" s="74">
        <f>L14/K14-1</f>
        <v>0.5580379371503148</v>
      </c>
      <c r="O14" s="191"/>
      <c r="P14" s="72"/>
      <c r="Q14" s="55">
        <f t="shared" ref="Q14:AL14" si="12">SUM(Q12:Q13)</f>
        <v>20479.169720000002</v>
      </c>
      <c r="R14" s="55">
        <f t="shared" si="12"/>
        <v>29604</v>
      </c>
      <c r="S14" s="55">
        <f t="shared" si="12"/>
        <v>77540.092210000003</v>
      </c>
      <c r="T14" s="55">
        <f t="shared" si="12"/>
        <v>122237</v>
      </c>
      <c r="U14" s="55">
        <f t="shared" si="12"/>
        <v>168479</v>
      </c>
      <c r="V14" s="55">
        <f t="shared" si="12"/>
        <v>232095</v>
      </c>
      <c r="W14" s="55">
        <f t="shared" si="12"/>
        <v>1038994.2876618756</v>
      </c>
      <c r="X14" s="55">
        <f t="shared" si="12"/>
        <v>1897373</v>
      </c>
      <c r="Y14" s="55">
        <f t="shared" si="12"/>
        <v>1642067.39237</v>
      </c>
      <c r="Z14" s="55">
        <f t="shared" si="12"/>
        <v>1211161</v>
      </c>
      <c r="AA14" s="55">
        <f t="shared" si="12"/>
        <v>1192038</v>
      </c>
      <c r="AB14" s="55">
        <f t="shared" si="12"/>
        <v>1290609</v>
      </c>
      <c r="AC14" s="55">
        <f t="shared" si="12"/>
        <v>1255490</v>
      </c>
      <c r="AD14" s="55">
        <f t="shared" si="12"/>
        <v>1168756</v>
      </c>
      <c r="AE14" s="55">
        <f t="shared" si="12"/>
        <v>1228790</v>
      </c>
      <c r="AF14" s="55">
        <f t="shared" si="12"/>
        <v>1187936</v>
      </c>
      <c r="AG14" s="55">
        <f t="shared" si="12"/>
        <v>1892459</v>
      </c>
      <c r="AH14" s="55">
        <f t="shared" si="12"/>
        <v>1789139.817</v>
      </c>
      <c r="AI14" s="55">
        <f t="shared" si="12"/>
        <v>1792371.8009999997</v>
      </c>
      <c r="AJ14" s="55">
        <f t="shared" si="12"/>
        <v>1364731.6040000001</v>
      </c>
      <c r="AK14" s="55">
        <f t="shared" si="12"/>
        <v>1391548.416</v>
      </c>
      <c r="AL14" s="55">
        <f t="shared" si="12"/>
        <v>1465548.885</v>
      </c>
      <c r="AM14" s="55">
        <f>SUM(AM12:AM13)</f>
        <v>1384315.8589999999</v>
      </c>
      <c r="AN14" s="55">
        <f>SUM(AN12:AN13)</f>
        <v>2126303.6130600004</v>
      </c>
      <c r="AO14" s="74"/>
      <c r="AP14" s="74"/>
      <c r="AW14" s="38"/>
    </row>
    <row r="15" spans="1:50" x14ac:dyDescent="0.35">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row>
    <row r="16" spans="1:50" s="17" customFormat="1" ht="17.5" x14ac:dyDescent="0.35">
      <c r="A16" s="32"/>
      <c r="B16" s="72"/>
      <c r="C16" s="72"/>
      <c r="D16" s="72"/>
      <c r="E16" s="72"/>
      <c r="F16" s="72"/>
      <c r="G16" s="72"/>
      <c r="H16" s="72"/>
      <c r="I16" s="72"/>
      <c r="J16" s="72"/>
      <c r="K16" s="72"/>
      <c r="L16" s="72"/>
      <c r="M16" s="72"/>
      <c r="N16" s="72"/>
      <c r="O16" s="191"/>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W16" s="38"/>
      <c r="AX16" s="47"/>
    </row>
    <row r="17" spans="1:50" s="17" customFormat="1" ht="17.5" x14ac:dyDescent="0.35">
      <c r="A17" s="32"/>
      <c r="B17" s="76" t="s">
        <v>357</v>
      </c>
      <c r="C17" s="76" t="s">
        <v>358</v>
      </c>
      <c r="D17" s="72"/>
      <c r="E17" s="54">
        <v>0</v>
      </c>
      <c r="F17" s="54">
        <v>0</v>
      </c>
      <c r="G17" s="54">
        <v>0</v>
      </c>
      <c r="H17" s="54">
        <v>0</v>
      </c>
      <c r="I17" s="54">
        <v>0</v>
      </c>
      <c r="J17" s="54">
        <v>0</v>
      </c>
      <c r="K17" s="54">
        <v>0</v>
      </c>
      <c r="L17" s="54">
        <v>8004</v>
      </c>
      <c r="M17" s="72"/>
      <c r="N17" s="72"/>
      <c r="O17" s="191"/>
      <c r="P17" s="72"/>
      <c r="Q17" s="72"/>
      <c r="R17" s="72"/>
      <c r="S17" s="72"/>
      <c r="T17" s="72"/>
      <c r="U17" s="72"/>
      <c r="V17" s="72"/>
      <c r="W17" s="72"/>
      <c r="X17" s="72"/>
      <c r="Y17" s="72"/>
      <c r="Z17" s="72"/>
      <c r="AA17" s="72"/>
      <c r="AB17" s="72"/>
      <c r="AC17" s="72"/>
      <c r="AD17" s="72"/>
      <c r="AE17" s="54">
        <v>0</v>
      </c>
      <c r="AF17" s="54">
        <v>0</v>
      </c>
      <c r="AG17" s="54">
        <v>0</v>
      </c>
      <c r="AH17" s="54">
        <v>0</v>
      </c>
      <c r="AI17" s="54">
        <v>0</v>
      </c>
      <c r="AJ17" s="54">
        <v>0</v>
      </c>
      <c r="AK17" s="54">
        <v>0</v>
      </c>
      <c r="AL17" s="54">
        <v>0</v>
      </c>
      <c r="AM17" s="54">
        <v>4368</v>
      </c>
      <c r="AN17" s="54">
        <v>8004</v>
      </c>
      <c r="AO17" s="72"/>
      <c r="AP17" s="72"/>
      <c r="AW17" s="38"/>
      <c r="AX17" s="47"/>
    </row>
    <row r="18" spans="1:50" s="17" customFormat="1" ht="17.5" x14ac:dyDescent="0.35">
      <c r="A18" s="32"/>
      <c r="B18" s="76" t="s">
        <v>347</v>
      </c>
      <c r="C18" s="76" t="s">
        <v>348</v>
      </c>
      <c r="D18" s="72"/>
      <c r="E18" s="54"/>
      <c r="F18" s="54"/>
      <c r="G18" s="54"/>
      <c r="H18" s="54"/>
      <c r="I18" s="54"/>
      <c r="J18" s="54">
        <v>1855</v>
      </c>
      <c r="K18" s="54">
        <f>AJ18</f>
        <v>1534.588</v>
      </c>
      <c r="L18" s="54">
        <v>2327.0529999999999</v>
      </c>
      <c r="M18" s="202"/>
      <c r="N18" s="84"/>
      <c r="O18" s="191"/>
      <c r="P18" s="72"/>
      <c r="Q18" s="54"/>
      <c r="R18" s="54"/>
      <c r="S18" s="54"/>
      <c r="T18" s="54"/>
      <c r="U18" s="54"/>
      <c r="V18" s="54"/>
      <c r="W18" s="54"/>
      <c r="X18" s="54"/>
      <c r="Y18" s="54">
        <v>0</v>
      </c>
      <c r="Z18" s="54">
        <v>0</v>
      </c>
      <c r="AA18" s="54">
        <v>0</v>
      </c>
      <c r="AB18" s="54">
        <v>0</v>
      </c>
      <c r="AC18" s="54">
        <v>1635</v>
      </c>
      <c r="AD18" s="54">
        <v>1638</v>
      </c>
      <c r="AE18" s="54">
        <v>1556</v>
      </c>
      <c r="AF18" s="54">
        <v>1855</v>
      </c>
      <c r="AG18" s="54">
        <v>1960</v>
      </c>
      <c r="AH18" s="54">
        <v>2184</v>
      </c>
      <c r="AI18" s="54">
        <v>2199.422</v>
      </c>
      <c r="AJ18" s="54">
        <v>1534.588</v>
      </c>
      <c r="AK18" s="54">
        <v>1886.2950000000001</v>
      </c>
      <c r="AL18" s="54">
        <v>2466.2960000000003</v>
      </c>
      <c r="AM18" s="54">
        <v>2371.4430000000002</v>
      </c>
      <c r="AN18" s="54">
        <v>2327.0529999999999</v>
      </c>
      <c r="AO18" s="54"/>
      <c r="AP18" s="84"/>
    </row>
    <row r="19" spans="1:50" s="17" customFormat="1" ht="17.5" x14ac:dyDescent="0.35">
      <c r="A19" s="32"/>
      <c r="B19" s="76" t="s">
        <v>20</v>
      </c>
      <c r="C19" s="76" t="s">
        <v>184</v>
      </c>
      <c r="D19" s="72"/>
      <c r="E19" s="54">
        <v>203</v>
      </c>
      <c r="F19" s="54">
        <v>229</v>
      </c>
      <c r="G19" s="54">
        <v>715</v>
      </c>
      <c r="H19" s="54">
        <v>839</v>
      </c>
      <c r="I19" s="54">
        <v>2104</v>
      </c>
      <c r="J19" s="54">
        <v>28040</v>
      </c>
      <c r="K19" s="54">
        <f>AJ19</f>
        <v>40803.47911</v>
      </c>
      <c r="L19" s="54">
        <v>23066.326000000001</v>
      </c>
      <c r="M19" s="203"/>
      <c r="N19" s="84"/>
      <c r="O19" s="191"/>
      <c r="P19" s="72"/>
      <c r="Q19" s="54">
        <v>333</v>
      </c>
      <c r="R19" s="54">
        <v>191</v>
      </c>
      <c r="S19" s="54">
        <v>663</v>
      </c>
      <c r="T19" s="54">
        <v>715</v>
      </c>
      <c r="U19" s="54">
        <v>488</v>
      </c>
      <c r="V19" s="54">
        <v>570</v>
      </c>
      <c r="W19" s="54">
        <v>410</v>
      </c>
      <c r="X19" s="54">
        <f>H19</f>
        <v>839</v>
      </c>
      <c r="Y19" s="54">
        <v>1145</v>
      </c>
      <c r="Z19" s="54">
        <v>1138</v>
      </c>
      <c r="AA19" s="54">
        <v>2059</v>
      </c>
      <c r="AB19" s="54">
        <v>2104</v>
      </c>
      <c r="AC19" s="54">
        <v>2637</v>
      </c>
      <c r="AD19" s="54">
        <v>3134</v>
      </c>
      <c r="AE19" s="54">
        <v>13288</v>
      </c>
      <c r="AF19" s="54">
        <v>28040</v>
      </c>
      <c r="AG19" s="54">
        <v>30153</v>
      </c>
      <c r="AH19" s="54">
        <v>38234.663</v>
      </c>
      <c r="AI19" s="54">
        <v>42745.030000000006</v>
      </c>
      <c r="AJ19" s="54">
        <v>40803.47911</v>
      </c>
      <c r="AK19" s="54">
        <v>36451.199999999997</v>
      </c>
      <c r="AL19" s="54">
        <v>34425.771000000001</v>
      </c>
      <c r="AM19" s="54">
        <v>31998.771000000001</v>
      </c>
      <c r="AN19" s="54">
        <v>23066.326000000001</v>
      </c>
      <c r="AO19" s="54"/>
      <c r="AP19" s="84"/>
    </row>
    <row r="20" spans="1:50" s="17" customFormat="1" ht="17.5" x14ac:dyDescent="0.35">
      <c r="A20" s="32"/>
      <c r="B20" s="76" t="s">
        <v>394</v>
      </c>
      <c r="C20" s="76" t="s">
        <v>395</v>
      </c>
      <c r="D20" s="72"/>
      <c r="E20" s="54">
        <v>0</v>
      </c>
      <c r="F20" s="54">
        <v>0</v>
      </c>
      <c r="G20" s="54">
        <v>0</v>
      </c>
      <c r="H20" s="54">
        <v>0</v>
      </c>
      <c r="I20" s="54">
        <v>0</v>
      </c>
      <c r="J20" s="54">
        <v>0</v>
      </c>
      <c r="K20" s="54">
        <f>AJ20</f>
        <v>17866</v>
      </c>
      <c r="L20" s="54">
        <v>22741</v>
      </c>
      <c r="M20" s="203"/>
      <c r="N20" s="84"/>
      <c r="O20" s="72"/>
      <c r="P20" s="72"/>
      <c r="Q20" s="54"/>
      <c r="R20" s="54"/>
      <c r="S20" s="54"/>
      <c r="T20" s="54"/>
      <c r="U20" s="54"/>
      <c r="V20" s="54"/>
      <c r="W20" s="54"/>
      <c r="X20" s="54">
        <f>H20</f>
        <v>0</v>
      </c>
      <c r="Y20" s="54"/>
      <c r="Z20" s="54"/>
      <c r="AA20" s="54"/>
      <c r="AB20" s="54"/>
      <c r="AC20" s="54"/>
      <c r="AD20" s="54"/>
      <c r="AE20" s="54">
        <v>0</v>
      </c>
      <c r="AF20" s="54">
        <v>0</v>
      </c>
      <c r="AG20" s="54">
        <v>0</v>
      </c>
      <c r="AH20" s="54">
        <v>0</v>
      </c>
      <c r="AI20" s="54">
        <v>8116</v>
      </c>
      <c r="AJ20" s="54">
        <v>17866</v>
      </c>
      <c r="AK20" s="54">
        <v>18463</v>
      </c>
      <c r="AL20" s="54">
        <v>19148</v>
      </c>
      <c r="AM20" s="54">
        <v>22090</v>
      </c>
      <c r="AN20" s="54">
        <v>22741</v>
      </c>
      <c r="AO20" s="54"/>
      <c r="AP20" s="84"/>
    </row>
    <row r="21" spans="1:50" s="17" customFormat="1" ht="17.5" x14ac:dyDescent="0.35">
      <c r="A21" s="32"/>
      <c r="B21" s="76" t="s">
        <v>525</v>
      </c>
      <c r="C21" s="76"/>
      <c r="D21" s="72"/>
      <c r="E21" s="54"/>
      <c r="F21" s="54"/>
      <c r="G21" s="54"/>
      <c r="H21" s="54"/>
      <c r="I21" s="54"/>
      <c r="J21" s="54"/>
      <c r="K21" s="54"/>
      <c r="L21" s="54">
        <v>3173</v>
      </c>
      <c r="M21" s="203"/>
      <c r="N21" s="84"/>
      <c r="O21" s="72"/>
      <c r="P21" s="72"/>
      <c r="Q21" s="54"/>
      <c r="R21" s="54"/>
      <c r="S21" s="54"/>
      <c r="T21" s="54"/>
      <c r="U21" s="54"/>
      <c r="V21" s="54"/>
      <c r="W21" s="54"/>
      <c r="X21" s="54"/>
      <c r="Y21" s="54"/>
      <c r="Z21" s="54"/>
      <c r="AA21" s="54"/>
      <c r="AB21" s="54"/>
      <c r="AC21" s="54"/>
      <c r="AD21" s="54"/>
      <c r="AE21" s="54"/>
      <c r="AF21" s="54"/>
      <c r="AG21" s="54"/>
      <c r="AH21" s="54"/>
      <c r="AI21" s="54"/>
      <c r="AJ21" s="54"/>
      <c r="AK21" s="54"/>
      <c r="AL21" s="54"/>
      <c r="AM21" s="54"/>
      <c r="AN21" s="54">
        <v>3173</v>
      </c>
      <c r="AO21" s="54"/>
      <c r="AP21" s="84"/>
    </row>
    <row r="22" spans="1:50" s="17" customFormat="1" ht="17.5" x14ac:dyDescent="0.35">
      <c r="A22" s="32"/>
      <c r="B22" s="76" t="s">
        <v>22</v>
      </c>
      <c r="C22" s="76" t="s">
        <v>186</v>
      </c>
      <c r="D22" s="72"/>
      <c r="E22" s="54">
        <v>64345</v>
      </c>
      <c r="F22" s="54">
        <v>98431</v>
      </c>
      <c r="G22" s="54">
        <v>306305</v>
      </c>
      <c r="H22" s="54">
        <v>1251287</v>
      </c>
      <c r="I22" s="54">
        <v>2313223</v>
      </c>
      <c r="J22" s="54">
        <v>2639478</v>
      </c>
      <c r="K22" s="54">
        <f>AJ22</f>
        <v>3011348.7573700007</v>
      </c>
      <c r="L22" s="54">
        <v>2963781.4590000003</v>
      </c>
      <c r="M22" s="203"/>
      <c r="N22" s="84"/>
      <c r="O22" s="191"/>
      <c r="P22" s="72"/>
      <c r="Q22" s="54">
        <v>122397</v>
      </c>
      <c r="R22" s="54">
        <v>151463</v>
      </c>
      <c r="S22" s="54">
        <v>238215</v>
      </c>
      <c r="T22" s="54">
        <v>306305</v>
      </c>
      <c r="U22" s="54">
        <v>429219</v>
      </c>
      <c r="V22" s="54">
        <v>613945</v>
      </c>
      <c r="W22" s="54">
        <v>902750</v>
      </c>
      <c r="X22" s="54">
        <f>H22</f>
        <v>1251287</v>
      </c>
      <c r="Y22" s="54">
        <v>1437500</v>
      </c>
      <c r="Z22" s="54">
        <v>1632763</v>
      </c>
      <c r="AA22" s="54">
        <v>2132161</v>
      </c>
      <c r="AB22" s="54">
        <v>2313223</v>
      </c>
      <c r="AC22" s="54">
        <v>2373128</v>
      </c>
      <c r="AD22" s="54">
        <v>2453478</v>
      </c>
      <c r="AE22" s="54">
        <v>2588697</v>
      </c>
      <c r="AF22" s="54">
        <v>2639478</v>
      </c>
      <c r="AG22" s="54">
        <v>2673707</v>
      </c>
      <c r="AH22" s="54">
        <v>2948959.4180000001</v>
      </c>
      <c r="AI22" s="54">
        <v>3050996.4610000001</v>
      </c>
      <c r="AJ22" s="54">
        <v>3011348.7573700007</v>
      </c>
      <c r="AK22" s="54">
        <v>2931651.1478900001</v>
      </c>
      <c r="AL22" s="54">
        <v>2873303.6604100005</v>
      </c>
      <c r="AM22" s="54">
        <v>3003913.2029300001</v>
      </c>
      <c r="AN22" s="54">
        <v>2963781.4590000003</v>
      </c>
      <c r="AO22" s="54"/>
      <c r="AP22" s="84"/>
    </row>
    <row r="23" spans="1:50" s="17" customFormat="1" ht="17.5" x14ac:dyDescent="0.35">
      <c r="A23" s="32"/>
      <c r="B23" s="76" t="s">
        <v>23</v>
      </c>
      <c r="C23" s="76" t="s">
        <v>187</v>
      </c>
      <c r="D23" s="72"/>
      <c r="E23" s="54">
        <v>110</v>
      </c>
      <c r="F23" s="54">
        <v>79</v>
      </c>
      <c r="G23" s="54">
        <v>453</v>
      </c>
      <c r="H23" s="54">
        <v>131988</v>
      </c>
      <c r="I23" s="54">
        <v>125039</v>
      </c>
      <c r="J23" s="54">
        <v>125418</v>
      </c>
      <c r="K23" s="54">
        <f t="shared" ref="K23" si="13">AJ23</f>
        <v>201068.09357</v>
      </c>
      <c r="L23" s="54">
        <v>191417.995</v>
      </c>
      <c r="M23" s="203"/>
      <c r="N23" s="84"/>
      <c r="O23" s="191"/>
      <c r="P23" s="72"/>
      <c r="Q23" s="54">
        <v>90</v>
      </c>
      <c r="R23" s="54">
        <v>75</v>
      </c>
      <c r="S23" s="54">
        <v>235</v>
      </c>
      <c r="T23" s="54">
        <v>453</v>
      </c>
      <c r="U23" s="54">
        <v>520</v>
      </c>
      <c r="V23" s="54">
        <v>608</v>
      </c>
      <c r="W23" s="54">
        <v>16580</v>
      </c>
      <c r="X23" s="54">
        <f t="shared" ref="X23" si="14">H23</f>
        <v>131988</v>
      </c>
      <c r="Y23" s="54">
        <v>126672</v>
      </c>
      <c r="Z23" s="54">
        <v>125134</v>
      </c>
      <c r="AA23" s="54">
        <v>123927</v>
      </c>
      <c r="AB23" s="54">
        <v>125039</v>
      </c>
      <c r="AC23" s="54">
        <v>127661</v>
      </c>
      <c r="AD23" s="54">
        <v>130746</v>
      </c>
      <c r="AE23" s="54">
        <v>132126</v>
      </c>
      <c r="AF23" s="54">
        <v>125418</v>
      </c>
      <c r="AG23" s="54">
        <v>122072</v>
      </c>
      <c r="AH23" s="54">
        <v>119989</v>
      </c>
      <c r="AI23" s="54">
        <v>206182.245</v>
      </c>
      <c r="AJ23" s="54">
        <v>201068.09357</v>
      </c>
      <c r="AK23" s="54">
        <v>195716.12907</v>
      </c>
      <c r="AL23" s="54">
        <v>190410.63733999999</v>
      </c>
      <c r="AM23" s="54">
        <v>184413.36809999999</v>
      </c>
      <c r="AN23" s="54">
        <v>191417.995</v>
      </c>
      <c r="AO23" s="54"/>
      <c r="AP23" s="84"/>
    </row>
    <row r="24" spans="1:50" s="17" customFormat="1" ht="17.5" x14ac:dyDescent="0.35">
      <c r="A24" s="32"/>
      <c r="B24" s="91" t="s">
        <v>19</v>
      </c>
      <c r="C24" s="91" t="s">
        <v>183</v>
      </c>
      <c r="D24" s="92"/>
      <c r="E24" s="93">
        <v>0</v>
      </c>
      <c r="F24" s="93">
        <v>0</v>
      </c>
      <c r="G24" s="93">
        <v>318</v>
      </c>
      <c r="H24" s="93">
        <v>0</v>
      </c>
      <c r="I24" s="93">
        <v>0</v>
      </c>
      <c r="J24" s="93">
        <v>0</v>
      </c>
      <c r="K24" s="93">
        <f>AJ24</f>
        <v>0</v>
      </c>
      <c r="L24" s="93">
        <v>0</v>
      </c>
      <c r="M24" s="116"/>
      <c r="N24" s="94"/>
      <c r="O24" s="191"/>
      <c r="P24" s="72"/>
      <c r="Q24" s="93">
        <v>300</v>
      </c>
      <c r="R24" s="93">
        <v>316</v>
      </c>
      <c r="S24" s="93">
        <v>342</v>
      </c>
      <c r="T24" s="93">
        <v>318</v>
      </c>
      <c r="U24" s="93">
        <v>295</v>
      </c>
      <c r="V24" s="93">
        <v>272</v>
      </c>
      <c r="W24" s="93">
        <v>248</v>
      </c>
      <c r="X24" s="93">
        <f>H24</f>
        <v>0</v>
      </c>
      <c r="Y24" s="93">
        <v>202</v>
      </c>
      <c r="Z24" s="93">
        <v>10531</v>
      </c>
      <c r="AA24" s="93">
        <v>18593</v>
      </c>
      <c r="AB24" s="93">
        <v>0</v>
      </c>
      <c r="AC24" s="93">
        <v>0</v>
      </c>
      <c r="AD24" s="93">
        <v>0</v>
      </c>
      <c r="AE24" s="93">
        <v>0</v>
      </c>
      <c r="AF24" s="93">
        <v>0</v>
      </c>
      <c r="AG24" s="93">
        <v>0</v>
      </c>
      <c r="AH24" s="93">
        <v>0</v>
      </c>
      <c r="AI24" s="93">
        <v>0</v>
      </c>
      <c r="AJ24" s="93">
        <v>0</v>
      </c>
      <c r="AK24" s="93">
        <v>0</v>
      </c>
      <c r="AL24" s="93">
        <v>0</v>
      </c>
      <c r="AM24" s="93">
        <v>0</v>
      </c>
      <c r="AN24" s="93">
        <v>0</v>
      </c>
      <c r="AO24" s="93"/>
      <c r="AP24" s="94"/>
    </row>
    <row r="25" spans="1:50" s="17" customFormat="1" ht="17.5" x14ac:dyDescent="0.35">
      <c r="A25" s="32"/>
      <c r="B25" s="73" t="s">
        <v>24</v>
      </c>
      <c r="C25" s="73" t="s">
        <v>188</v>
      </c>
      <c r="D25" s="79"/>
      <c r="E25" s="55">
        <f t="shared" ref="E25:K25" si="15">SUM(E17:E24)</f>
        <v>64658</v>
      </c>
      <c r="F25" s="55">
        <f t="shared" si="15"/>
        <v>98739</v>
      </c>
      <c r="G25" s="55">
        <f t="shared" si="15"/>
        <v>307791</v>
      </c>
      <c r="H25" s="55">
        <f t="shared" si="15"/>
        <v>1384114</v>
      </c>
      <c r="I25" s="55">
        <f t="shared" si="15"/>
        <v>2440366</v>
      </c>
      <c r="J25" s="55">
        <f t="shared" si="15"/>
        <v>2794791</v>
      </c>
      <c r="K25" s="55">
        <f t="shared" si="15"/>
        <v>3272620.9180500009</v>
      </c>
      <c r="L25" s="55">
        <f t="shared" ref="L25" si="16">SUM(L17:L24)</f>
        <v>3214510.8330000006</v>
      </c>
      <c r="M25" s="74">
        <f>K25/J25-1</f>
        <v>0.1709716104173804</v>
      </c>
      <c r="N25" s="74">
        <f>L25/K25-1</f>
        <v>-1.775643635640678E-2</v>
      </c>
      <c r="O25" s="191"/>
      <c r="P25" s="55"/>
      <c r="Q25" s="55">
        <f t="shared" ref="Q25:AN25" si="17">SUM(Q17:Q24)</f>
        <v>123120</v>
      </c>
      <c r="R25" s="55">
        <f t="shared" si="17"/>
        <v>152045</v>
      </c>
      <c r="S25" s="55">
        <f t="shared" si="17"/>
        <v>239455</v>
      </c>
      <c r="T25" s="55">
        <f t="shared" si="17"/>
        <v>307791</v>
      </c>
      <c r="U25" s="55">
        <f t="shared" si="17"/>
        <v>430522</v>
      </c>
      <c r="V25" s="55">
        <f t="shared" si="17"/>
        <v>615395</v>
      </c>
      <c r="W25" s="55">
        <f t="shared" si="17"/>
        <v>919988</v>
      </c>
      <c r="X25" s="55">
        <f t="shared" si="17"/>
        <v>1384114</v>
      </c>
      <c r="Y25" s="55">
        <f t="shared" si="17"/>
        <v>1565519</v>
      </c>
      <c r="Z25" s="55">
        <f t="shared" si="17"/>
        <v>1769566</v>
      </c>
      <c r="AA25" s="55">
        <f t="shared" si="17"/>
        <v>2276740</v>
      </c>
      <c r="AB25" s="55">
        <f t="shared" si="17"/>
        <v>2440366</v>
      </c>
      <c r="AC25" s="55">
        <f t="shared" si="17"/>
        <v>2505061</v>
      </c>
      <c r="AD25" s="55">
        <f t="shared" si="17"/>
        <v>2588996</v>
      </c>
      <c r="AE25" s="55">
        <f t="shared" si="17"/>
        <v>2735667</v>
      </c>
      <c r="AF25" s="55">
        <f t="shared" si="17"/>
        <v>2794791</v>
      </c>
      <c r="AG25" s="55">
        <f t="shared" si="17"/>
        <v>2827892</v>
      </c>
      <c r="AH25" s="55">
        <f t="shared" si="17"/>
        <v>3109367.0810000002</v>
      </c>
      <c r="AI25" s="55">
        <f t="shared" si="17"/>
        <v>3310239.1580000003</v>
      </c>
      <c r="AJ25" s="55">
        <f t="shared" si="17"/>
        <v>3272620.9180500009</v>
      </c>
      <c r="AK25" s="55">
        <f t="shared" si="17"/>
        <v>3184167.77196</v>
      </c>
      <c r="AL25" s="55">
        <f t="shared" si="17"/>
        <v>3119754.3647500002</v>
      </c>
      <c r="AM25" s="55">
        <f t="shared" si="17"/>
        <v>3249154.7850300004</v>
      </c>
      <c r="AN25" s="55">
        <f t="shared" si="17"/>
        <v>3214510.8330000006</v>
      </c>
      <c r="AO25" s="74">
        <f>AN25/AJ25-1</f>
        <v>-1.775643635640678E-2</v>
      </c>
      <c r="AP25" s="74">
        <f>AN25/AM25-1</f>
        <v>-1.0662450490083408E-2</v>
      </c>
    </row>
    <row r="26" spans="1:50" s="17" customFormat="1" ht="17.5" x14ac:dyDescent="0.35">
      <c r="A26" s="32"/>
      <c r="B26" s="72"/>
      <c r="C26" s="72"/>
      <c r="D26" s="72"/>
      <c r="E26" s="72"/>
      <c r="F26" s="72"/>
      <c r="G26" s="72"/>
      <c r="H26" s="72"/>
      <c r="I26" s="72"/>
      <c r="J26" s="72"/>
      <c r="K26" s="72"/>
      <c r="L26" s="72"/>
      <c r="M26" s="72"/>
      <c r="N26" s="72"/>
      <c r="O26" s="191"/>
      <c r="P26" s="72"/>
      <c r="Q26" s="72"/>
      <c r="R26" s="72"/>
      <c r="S26" s="72"/>
      <c r="T26" s="72" t="s">
        <v>82</v>
      </c>
      <c r="U26" s="72"/>
      <c r="V26" s="72"/>
      <c r="W26" s="72"/>
      <c r="X26" s="72"/>
      <c r="Y26" s="72"/>
      <c r="Z26" s="72"/>
      <c r="AA26" s="72"/>
      <c r="AB26" s="72"/>
      <c r="AC26" s="72"/>
      <c r="AD26" s="72"/>
      <c r="AE26" s="72"/>
      <c r="AF26" s="72"/>
      <c r="AG26" s="72"/>
      <c r="AH26" s="72"/>
      <c r="AI26" s="72"/>
      <c r="AJ26" s="72"/>
      <c r="AK26" s="72"/>
      <c r="AL26" s="72"/>
      <c r="AM26" s="72"/>
      <c r="AN26" s="72"/>
      <c r="AO26" s="72"/>
      <c r="AP26" s="72"/>
    </row>
    <row r="27" spans="1:50" s="17" customFormat="1" ht="17.5" x14ac:dyDescent="0.35">
      <c r="A27" s="32"/>
      <c r="B27" s="69" t="s">
        <v>25</v>
      </c>
      <c r="C27" s="69" t="s">
        <v>189</v>
      </c>
      <c r="D27" s="70"/>
      <c r="E27" s="199">
        <f t="shared" ref="E27:L27" si="18">E25+E14</f>
        <v>75321</v>
      </c>
      <c r="F27" s="199">
        <f t="shared" si="18"/>
        <v>116378</v>
      </c>
      <c r="G27" s="199">
        <f t="shared" si="18"/>
        <v>430028</v>
      </c>
      <c r="H27" s="199">
        <f t="shared" si="18"/>
        <v>3281487</v>
      </c>
      <c r="I27" s="199">
        <f t="shared" si="18"/>
        <v>3730975</v>
      </c>
      <c r="J27" s="199">
        <f t="shared" si="18"/>
        <v>3982727</v>
      </c>
      <c r="K27" s="199">
        <f t="shared" si="18"/>
        <v>4637352.5220500007</v>
      </c>
      <c r="L27" s="199">
        <f t="shared" si="18"/>
        <v>5340814.4460600009</v>
      </c>
      <c r="M27" s="204">
        <f>K27/J27-1</f>
        <v>0.16436615465986004</v>
      </c>
      <c r="N27" s="204">
        <f>L27/K27-1</f>
        <v>0.15169472682206742</v>
      </c>
      <c r="O27" s="191"/>
      <c r="P27" s="72"/>
      <c r="Q27" s="199">
        <f t="shared" ref="Q27:AN27" si="19">Q25+Q14</f>
        <v>143599.16972000001</v>
      </c>
      <c r="R27" s="199">
        <f t="shared" si="19"/>
        <v>181649</v>
      </c>
      <c r="S27" s="199">
        <f t="shared" si="19"/>
        <v>316995.09221000003</v>
      </c>
      <c r="T27" s="199">
        <f t="shared" si="19"/>
        <v>430028</v>
      </c>
      <c r="U27" s="199">
        <f t="shared" si="19"/>
        <v>599001</v>
      </c>
      <c r="V27" s="199">
        <f t="shared" si="19"/>
        <v>847490</v>
      </c>
      <c r="W27" s="199">
        <f t="shared" si="19"/>
        <v>1958982.2876618756</v>
      </c>
      <c r="X27" s="199">
        <f t="shared" si="19"/>
        <v>3281487</v>
      </c>
      <c r="Y27" s="199">
        <f t="shared" si="19"/>
        <v>3207586.39237</v>
      </c>
      <c r="Z27" s="199">
        <f t="shared" si="19"/>
        <v>2980727</v>
      </c>
      <c r="AA27" s="199">
        <f t="shared" si="19"/>
        <v>3468778</v>
      </c>
      <c r="AB27" s="199">
        <f t="shared" si="19"/>
        <v>3730975</v>
      </c>
      <c r="AC27" s="199">
        <f t="shared" si="19"/>
        <v>3760551</v>
      </c>
      <c r="AD27" s="199">
        <f t="shared" si="19"/>
        <v>3757752</v>
      </c>
      <c r="AE27" s="199">
        <f t="shared" si="19"/>
        <v>3964457</v>
      </c>
      <c r="AF27" s="199">
        <f t="shared" si="19"/>
        <v>3982727</v>
      </c>
      <c r="AG27" s="199">
        <f t="shared" si="19"/>
        <v>4720351</v>
      </c>
      <c r="AH27" s="199">
        <f t="shared" si="19"/>
        <v>4898506.898</v>
      </c>
      <c r="AI27" s="199">
        <f t="shared" si="19"/>
        <v>5102610.9589999998</v>
      </c>
      <c r="AJ27" s="199">
        <f t="shared" si="19"/>
        <v>4637352.5220500007</v>
      </c>
      <c r="AK27" s="199">
        <f t="shared" si="19"/>
        <v>4575716.1879599998</v>
      </c>
      <c r="AL27" s="199">
        <f t="shared" si="19"/>
        <v>4585303.2497500004</v>
      </c>
      <c r="AM27" s="199">
        <f t="shared" si="19"/>
        <v>4633470.6440300001</v>
      </c>
      <c r="AN27" s="199">
        <f t="shared" si="19"/>
        <v>5340814.4460600009</v>
      </c>
      <c r="AO27" s="204">
        <f>AN27/AJ27-1</f>
        <v>0.15169472682206742</v>
      </c>
      <c r="AP27" s="204">
        <f>AN27/AM27-1</f>
        <v>0.15265960580572124</v>
      </c>
    </row>
    <row r="28" spans="1:50" s="17" customFormat="1" ht="17.5" x14ac:dyDescent="0.35">
      <c r="A28" s="32"/>
      <c r="B28" s="72"/>
      <c r="C28" s="72"/>
      <c r="D28" s="72"/>
      <c r="E28" s="72"/>
      <c r="F28" s="72"/>
      <c r="G28" s="72"/>
      <c r="H28" s="72"/>
      <c r="I28" s="72"/>
      <c r="J28" s="72"/>
      <c r="K28" s="72"/>
      <c r="L28" s="72"/>
      <c r="M28" s="72"/>
      <c r="N28" s="72"/>
      <c r="O28" s="191"/>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row>
    <row r="29" spans="1:50" s="17" customFormat="1" ht="17.5" x14ac:dyDescent="0.35">
      <c r="A29" s="32"/>
      <c r="B29" s="76" t="s">
        <v>26</v>
      </c>
      <c r="C29" s="76" t="s">
        <v>190</v>
      </c>
      <c r="D29" s="72"/>
      <c r="E29" s="54">
        <v>2138</v>
      </c>
      <c r="F29" s="54">
        <v>6729</v>
      </c>
      <c r="G29" s="54">
        <v>12781</v>
      </c>
      <c r="H29" s="54">
        <v>49583</v>
      </c>
      <c r="I29" s="54">
        <v>116768</v>
      </c>
      <c r="J29" s="54">
        <v>36175.975144991418</v>
      </c>
      <c r="K29" s="54">
        <f t="shared" ref="K29:K37" si="20">AJ29</f>
        <v>36090.789075037261</v>
      </c>
      <c r="L29" s="54">
        <v>327027.62288200168</v>
      </c>
      <c r="M29" s="203"/>
      <c r="N29" s="84"/>
      <c r="O29" s="191"/>
      <c r="P29" s="72"/>
      <c r="Q29" s="54">
        <v>5344</v>
      </c>
      <c r="R29" s="54">
        <v>15905</v>
      </c>
      <c r="S29" s="54">
        <v>15353</v>
      </c>
      <c r="T29" s="54">
        <v>12781</v>
      </c>
      <c r="U29" s="54">
        <v>10947</v>
      </c>
      <c r="V29" s="54">
        <v>29156</v>
      </c>
      <c r="W29" s="54">
        <v>61535</v>
      </c>
      <c r="X29" s="54">
        <f t="shared" ref="X29:X36" si="21">H29</f>
        <v>49583</v>
      </c>
      <c r="Y29" s="54">
        <v>107902</v>
      </c>
      <c r="Z29" s="54">
        <v>95080</v>
      </c>
      <c r="AA29" s="54">
        <v>284313</v>
      </c>
      <c r="AB29" s="54">
        <v>116768</v>
      </c>
      <c r="AC29" s="54">
        <v>83735</v>
      </c>
      <c r="AD29" s="54">
        <v>48670.691239999986</v>
      </c>
      <c r="AE29" s="54">
        <v>59840.2686829546</v>
      </c>
      <c r="AF29" s="54">
        <v>36175.975144991418</v>
      </c>
      <c r="AG29" s="54">
        <v>34891</v>
      </c>
      <c r="AH29" s="54">
        <v>53751.479353010647</v>
      </c>
      <c r="AI29" s="54">
        <v>50045.292167928797</v>
      </c>
      <c r="AJ29" s="54">
        <v>36090.789075037261</v>
      </c>
      <c r="AK29" s="54">
        <v>92691</v>
      </c>
      <c r="AL29" s="54">
        <v>141972.49527311494</v>
      </c>
      <c r="AM29" s="54">
        <v>154145.09391199995</v>
      </c>
      <c r="AN29" s="54">
        <v>327027.62288200168</v>
      </c>
      <c r="AO29" s="54"/>
      <c r="AP29" s="84"/>
    </row>
    <row r="30" spans="1:50" s="17" customFormat="1" ht="17.5" x14ac:dyDescent="0.35">
      <c r="A30" s="32"/>
      <c r="B30" s="76" t="s">
        <v>311</v>
      </c>
      <c r="C30" s="76" t="s">
        <v>316</v>
      </c>
      <c r="D30" s="72"/>
      <c r="E30" s="54">
        <v>0</v>
      </c>
      <c r="F30" s="54">
        <v>0</v>
      </c>
      <c r="G30" s="54">
        <v>0</v>
      </c>
      <c r="H30" s="54">
        <v>0</v>
      </c>
      <c r="I30" s="54">
        <v>167472</v>
      </c>
      <c r="J30" s="54">
        <v>360128.02485500858</v>
      </c>
      <c r="K30" s="54">
        <f t="shared" si="20"/>
        <v>398261.21222776273</v>
      </c>
      <c r="L30" s="54">
        <v>298786.19902999967</v>
      </c>
      <c r="M30" s="203"/>
      <c r="N30" s="84"/>
      <c r="O30" s="191"/>
      <c r="P30" s="72"/>
      <c r="Q30" s="54">
        <v>0</v>
      </c>
      <c r="R30" s="54">
        <v>0</v>
      </c>
      <c r="S30" s="54">
        <v>0</v>
      </c>
      <c r="T30" s="54">
        <v>0</v>
      </c>
      <c r="U30" s="54">
        <v>0</v>
      </c>
      <c r="V30" s="54">
        <v>0</v>
      </c>
      <c r="W30" s="54">
        <v>0</v>
      </c>
      <c r="X30" s="54">
        <v>0</v>
      </c>
      <c r="Y30" s="54">
        <v>0</v>
      </c>
      <c r="Z30" s="54">
        <v>0</v>
      </c>
      <c r="AA30" s="54">
        <v>0</v>
      </c>
      <c r="AB30" s="54">
        <v>167472</v>
      </c>
      <c r="AC30" s="54">
        <v>155376</v>
      </c>
      <c r="AD30" s="54">
        <v>210871.30876000001</v>
      </c>
      <c r="AE30" s="54">
        <v>253457.73131704499</v>
      </c>
      <c r="AF30" s="54">
        <v>360128.02485500858</v>
      </c>
      <c r="AG30" s="54">
        <v>256415</v>
      </c>
      <c r="AH30" s="54">
        <v>408885.40564698935</v>
      </c>
      <c r="AI30" s="54">
        <v>421302.07983207121</v>
      </c>
      <c r="AJ30" s="54">
        <v>398261.21222776273</v>
      </c>
      <c r="AK30" s="54">
        <v>271398</v>
      </c>
      <c r="AL30" s="54">
        <v>188577.73159488506</v>
      </c>
      <c r="AM30" s="54">
        <v>269228.78139000002</v>
      </c>
      <c r="AN30" s="54">
        <v>298786.19902999967</v>
      </c>
      <c r="AO30" s="54"/>
      <c r="AP30" s="84"/>
    </row>
    <row r="31" spans="1:50" s="17" customFormat="1" ht="17.5" x14ac:dyDescent="0.35">
      <c r="A31" s="32"/>
      <c r="B31" s="76" t="s">
        <v>27</v>
      </c>
      <c r="C31" s="76" t="s">
        <v>191</v>
      </c>
      <c r="D31" s="72"/>
      <c r="E31" s="54">
        <v>15247</v>
      </c>
      <c r="F31" s="54">
        <v>27070</v>
      </c>
      <c r="G31" s="54">
        <v>64963</v>
      </c>
      <c r="H31" s="54">
        <v>163742</v>
      </c>
      <c r="I31" s="54">
        <v>56580</v>
      </c>
      <c r="J31" s="54">
        <v>261370</v>
      </c>
      <c r="K31" s="54">
        <f t="shared" si="20"/>
        <v>73555.362999999998</v>
      </c>
      <c r="L31" s="54">
        <v>60807.046000000002</v>
      </c>
      <c r="M31" s="203"/>
      <c r="N31" s="84"/>
      <c r="O31" s="191"/>
      <c r="P31" s="72"/>
      <c r="Q31" s="54">
        <v>27221</v>
      </c>
      <c r="R31" s="54">
        <v>27029</v>
      </c>
      <c r="S31" s="54">
        <v>41489</v>
      </c>
      <c r="T31" s="54">
        <v>64963</v>
      </c>
      <c r="U31" s="54">
        <v>78358</v>
      </c>
      <c r="V31" s="54">
        <v>83984</v>
      </c>
      <c r="W31" s="54">
        <v>124893</v>
      </c>
      <c r="X31" s="54">
        <f t="shared" si="21"/>
        <v>163742</v>
      </c>
      <c r="Y31" s="54">
        <v>190376</v>
      </c>
      <c r="Z31" s="54">
        <v>124856</v>
      </c>
      <c r="AA31" s="54">
        <v>95102</v>
      </c>
      <c r="AB31" s="54">
        <v>56580</v>
      </c>
      <c r="AC31" s="54">
        <v>126671</v>
      </c>
      <c r="AD31" s="54">
        <v>64454</v>
      </c>
      <c r="AE31" s="54">
        <v>126640</v>
      </c>
      <c r="AF31" s="54">
        <v>261370</v>
      </c>
      <c r="AG31" s="54">
        <v>366950</v>
      </c>
      <c r="AH31" s="54">
        <v>343902</v>
      </c>
      <c r="AI31" s="54">
        <v>379004.86200000002</v>
      </c>
      <c r="AJ31" s="54">
        <v>73555.362999999998</v>
      </c>
      <c r="AK31" s="54">
        <v>50478.559000000001</v>
      </c>
      <c r="AL31" s="54">
        <v>83573.263000000006</v>
      </c>
      <c r="AM31" s="54">
        <v>50678.697999999997</v>
      </c>
      <c r="AN31" s="54">
        <v>60807.046000000002</v>
      </c>
      <c r="AO31" s="54"/>
      <c r="AP31" s="84"/>
    </row>
    <row r="32" spans="1:50" s="17" customFormat="1" ht="17.5" x14ac:dyDescent="0.35">
      <c r="A32" s="32"/>
      <c r="B32" s="76" t="s">
        <v>28</v>
      </c>
      <c r="C32" s="76" t="s">
        <v>192</v>
      </c>
      <c r="D32" s="72"/>
      <c r="E32" s="54">
        <v>0</v>
      </c>
      <c r="F32" s="54">
        <v>0</v>
      </c>
      <c r="G32" s="54">
        <v>1156</v>
      </c>
      <c r="H32" s="54">
        <v>6882</v>
      </c>
      <c r="I32" s="54">
        <v>5138</v>
      </c>
      <c r="J32" s="54">
        <v>8505</v>
      </c>
      <c r="K32" s="54">
        <f t="shared" si="20"/>
        <v>8237.5419999999995</v>
      </c>
      <c r="L32" s="54">
        <v>11884.335999999999</v>
      </c>
      <c r="M32" s="202"/>
      <c r="N32" s="84"/>
      <c r="O32" s="191"/>
      <c r="P32" s="72"/>
      <c r="Q32" s="54">
        <v>270</v>
      </c>
      <c r="R32" s="54">
        <v>1323</v>
      </c>
      <c r="S32" s="54">
        <v>2366</v>
      </c>
      <c r="T32" s="54">
        <v>1156</v>
      </c>
      <c r="U32" s="54">
        <v>1203</v>
      </c>
      <c r="V32" s="54">
        <v>1303</v>
      </c>
      <c r="W32" s="54">
        <v>1612</v>
      </c>
      <c r="X32" s="54">
        <f t="shared" si="21"/>
        <v>6882</v>
      </c>
      <c r="Y32" s="54">
        <v>7440</v>
      </c>
      <c r="Z32" s="54">
        <v>9611</v>
      </c>
      <c r="AA32" s="54">
        <v>4625</v>
      </c>
      <c r="AB32" s="54">
        <v>5138</v>
      </c>
      <c r="AC32" s="54">
        <v>4979</v>
      </c>
      <c r="AD32" s="54">
        <v>5105</v>
      </c>
      <c r="AE32" s="54">
        <v>7584</v>
      </c>
      <c r="AF32" s="54">
        <v>8505</v>
      </c>
      <c r="AG32" s="54">
        <v>6993</v>
      </c>
      <c r="AH32" s="54">
        <v>8451</v>
      </c>
      <c r="AI32" s="54">
        <v>9013.2010000000009</v>
      </c>
      <c r="AJ32" s="54">
        <v>8237.5419999999995</v>
      </c>
      <c r="AK32" s="54">
        <v>9621</v>
      </c>
      <c r="AL32" s="54">
        <v>11819.813</v>
      </c>
      <c r="AM32" s="54">
        <v>11182.026</v>
      </c>
      <c r="AN32" s="54">
        <v>11884.335999999999</v>
      </c>
      <c r="AO32" s="54"/>
      <c r="AP32" s="84"/>
    </row>
    <row r="33" spans="1:45" s="17" customFormat="1" ht="17.5" x14ac:dyDescent="0.35">
      <c r="A33" s="32"/>
      <c r="B33" s="76" t="s">
        <v>29</v>
      </c>
      <c r="C33" s="76" t="s">
        <v>193</v>
      </c>
      <c r="D33" s="72"/>
      <c r="E33" s="54">
        <v>921</v>
      </c>
      <c r="F33" s="54">
        <v>1772</v>
      </c>
      <c r="G33" s="54">
        <v>4283</v>
      </c>
      <c r="H33" s="54">
        <v>20911</v>
      </c>
      <c r="I33" s="54">
        <v>35682</v>
      </c>
      <c r="J33" s="54">
        <v>54578</v>
      </c>
      <c r="K33" s="54">
        <f t="shared" si="20"/>
        <v>64850.740000000005</v>
      </c>
      <c r="L33" s="54">
        <v>49169.93</v>
      </c>
      <c r="M33" s="203"/>
      <c r="N33" s="84"/>
      <c r="O33" s="191"/>
      <c r="P33" s="72"/>
      <c r="Q33" s="54">
        <v>2436</v>
      </c>
      <c r="R33" s="54">
        <v>3898</v>
      </c>
      <c r="S33" s="54">
        <v>4669</v>
      </c>
      <c r="T33" s="54">
        <v>4283</v>
      </c>
      <c r="U33" s="54">
        <v>5612</v>
      </c>
      <c r="V33" s="54">
        <v>8000</v>
      </c>
      <c r="W33" s="54">
        <v>13823</v>
      </c>
      <c r="X33" s="54">
        <f t="shared" si="21"/>
        <v>20911</v>
      </c>
      <c r="Y33" s="54">
        <v>19930</v>
      </c>
      <c r="Z33" s="54">
        <v>27965</v>
      </c>
      <c r="AA33" s="54">
        <v>33950</v>
      </c>
      <c r="AB33" s="54">
        <v>35682</v>
      </c>
      <c r="AC33" s="54">
        <v>44745</v>
      </c>
      <c r="AD33" s="54">
        <v>44316</v>
      </c>
      <c r="AE33" s="54">
        <v>58876</v>
      </c>
      <c r="AF33" s="54">
        <v>54578</v>
      </c>
      <c r="AG33" s="54">
        <v>65838</v>
      </c>
      <c r="AH33" s="54">
        <v>65181.175000000003</v>
      </c>
      <c r="AI33" s="54">
        <v>84801.50499999999</v>
      </c>
      <c r="AJ33" s="54">
        <v>64850.740000000005</v>
      </c>
      <c r="AK33" s="54">
        <v>62294.875000000007</v>
      </c>
      <c r="AL33" s="54">
        <v>66378.09</v>
      </c>
      <c r="AM33" s="54">
        <v>73393.328999999998</v>
      </c>
      <c r="AN33" s="54">
        <v>49169.93</v>
      </c>
      <c r="AO33" s="54"/>
      <c r="AP33" s="84"/>
    </row>
    <row r="34" spans="1:45" s="17" customFormat="1" ht="17.5" x14ac:dyDescent="0.35">
      <c r="A34" s="32"/>
      <c r="B34" s="76" t="s">
        <v>30</v>
      </c>
      <c r="C34" s="76" t="s">
        <v>194</v>
      </c>
      <c r="D34" s="72"/>
      <c r="E34" s="54">
        <v>21</v>
      </c>
      <c r="F34" s="54">
        <v>21</v>
      </c>
      <c r="G34" s="54">
        <v>250</v>
      </c>
      <c r="H34" s="54">
        <v>5398</v>
      </c>
      <c r="I34" s="54">
        <v>5822</v>
      </c>
      <c r="J34" s="54">
        <v>9313</v>
      </c>
      <c r="K34" s="54">
        <f t="shared" si="20"/>
        <v>19277.909</v>
      </c>
      <c r="L34" s="54">
        <v>25038.985999999997</v>
      </c>
      <c r="M34" s="203"/>
      <c r="N34" s="84"/>
      <c r="O34" s="191"/>
      <c r="P34" s="72"/>
      <c r="Q34" s="54">
        <v>0</v>
      </c>
      <c r="R34" s="54">
        <v>210</v>
      </c>
      <c r="S34" s="54">
        <v>6</v>
      </c>
      <c r="T34" s="54">
        <v>250</v>
      </c>
      <c r="U34" s="54">
        <v>406</v>
      </c>
      <c r="V34" s="54">
        <v>1553</v>
      </c>
      <c r="W34" s="54">
        <v>3603</v>
      </c>
      <c r="X34" s="54">
        <f t="shared" si="21"/>
        <v>5398</v>
      </c>
      <c r="Y34" s="54">
        <v>8646</v>
      </c>
      <c r="Z34" s="54">
        <v>8181</v>
      </c>
      <c r="AA34" s="54">
        <v>8228</v>
      </c>
      <c r="AB34" s="54">
        <v>5822</v>
      </c>
      <c r="AC34" s="54">
        <v>7351</v>
      </c>
      <c r="AD34" s="54">
        <v>7138</v>
      </c>
      <c r="AE34" s="54">
        <v>14994</v>
      </c>
      <c r="AF34" s="54">
        <v>9313</v>
      </c>
      <c r="AG34" s="54">
        <v>28387</v>
      </c>
      <c r="AH34" s="54">
        <v>26321</v>
      </c>
      <c r="AI34" s="54">
        <v>30863.557999999997</v>
      </c>
      <c r="AJ34" s="54">
        <v>19277.909</v>
      </c>
      <c r="AK34" s="54">
        <v>23269.75</v>
      </c>
      <c r="AL34" s="54">
        <v>22743.405999999999</v>
      </c>
      <c r="AM34" s="54">
        <v>21922.919000000002</v>
      </c>
      <c r="AN34" s="54">
        <v>25038.985999999997</v>
      </c>
      <c r="AO34" s="54"/>
      <c r="AP34" s="84"/>
    </row>
    <row r="35" spans="1:45" s="17" customFormat="1" ht="17.5" x14ac:dyDescent="0.35">
      <c r="A35" s="32"/>
      <c r="B35" s="76" t="s">
        <v>34</v>
      </c>
      <c r="C35" s="76" t="s">
        <v>195</v>
      </c>
      <c r="D35" s="72"/>
      <c r="E35" s="54">
        <v>62</v>
      </c>
      <c r="F35" s="54">
        <v>60</v>
      </c>
      <c r="G35" s="54">
        <v>130</v>
      </c>
      <c r="H35" s="54">
        <v>383</v>
      </c>
      <c r="I35" s="54">
        <v>154</v>
      </c>
      <c r="J35" s="54">
        <v>171</v>
      </c>
      <c r="K35" s="54">
        <f t="shared" si="20"/>
        <v>2379</v>
      </c>
      <c r="L35" s="54">
        <v>2247.009</v>
      </c>
      <c r="M35" s="203"/>
      <c r="N35" s="84"/>
      <c r="O35" s="191"/>
      <c r="P35" s="72"/>
      <c r="Q35" s="54">
        <v>55</v>
      </c>
      <c r="R35" s="54">
        <v>122</v>
      </c>
      <c r="S35" s="54">
        <v>110</v>
      </c>
      <c r="T35" s="54">
        <v>0</v>
      </c>
      <c r="U35" s="54">
        <v>0</v>
      </c>
      <c r="V35" s="54">
        <v>0</v>
      </c>
      <c r="W35" s="54">
        <v>132</v>
      </c>
      <c r="X35" s="54">
        <f t="shared" si="21"/>
        <v>383</v>
      </c>
      <c r="Y35" s="54">
        <v>127</v>
      </c>
      <c r="Z35" s="54">
        <v>143</v>
      </c>
      <c r="AA35" s="54">
        <v>153</v>
      </c>
      <c r="AB35" s="54">
        <v>154</v>
      </c>
      <c r="AC35" s="54">
        <v>157</v>
      </c>
      <c r="AD35" s="54">
        <v>159</v>
      </c>
      <c r="AE35" s="54">
        <v>166</v>
      </c>
      <c r="AF35" s="54">
        <v>171</v>
      </c>
      <c r="AG35" s="54">
        <v>147</v>
      </c>
      <c r="AH35" s="54">
        <v>2342</v>
      </c>
      <c r="AI35" s="54">
        <v>2348</v>
      </c>
      <c r="AJ35" s="54">
        <v>2379</v>
      </c>
      <c r="AK35" s="54">
        <v>2427</v>
      </c>
      <c r="AL35" s="54">
        <v>4227.009</v>
      </c>
      <c r="AM35" s="54">
        <v>4100.009</v>
      </c>
      <c r="AN35" s="54">
        <v>2247.009</v>
      </c>
      <c r="AO35" s="54"/>
      <c r="AP35" s="84"/>
    </row>
    <row r="36" spans="1:45" s="17" customFormat="1" ht="17.5" x14ac:dyDescent="0.35">
      <c r="A36" s="32"/>
      <c r="B36" s="76" t="s">
        <v>31</v>
      </c>
      <c r="C36" s="76" t="s">
        <v>196</v>
      </c>
      <c r="D36" s="72"/>
      <c r="E36" s="54">
        <v>0</v>
      </c>
      <c r="F36" s="54">
        <v>500</v>
      </c>
      <c r="G36" s="54">
        <v>5500</v>
      </c>
      <c r="H36" s="54">
        <v>0</v>
      </c>
      <c r="I36" s="54">
        <v>0</v>
      </c>
      <c r="J36" s="54">
        <v>0</v>
      </c>
      <c r="K36" s="54">
        <f t="shared" si="20"/>
        <v>0</v>
      </c>
      <c r="L36" s="72"/>
      <c r="M36" s="202"/>
      <c r="N36" s="84"/>
      <c r="O36" s="191"/>
      <c r="P36" s="72"/>
      <c r="Q36" s="54">
        <v>16</v>
      </c>
      <c r="R36" s="54">
        <v>0</v>
      </c>
      <c r="S36" s="54">
        <v>0</v>
      </c>
      <c r="T36" s="54">
        <v>5500</v>
      </c>
      <c r="U36" s="54">
        <v>0</v>
      </c>
      <c r="V36" s="54">
        <v>20428</v>
      </c>
      <c r="W36" s="54">
        <v>0</v>
      </c>
      <c r="X36" s="54">
        <f t="shared" si="21"/>
        <v>0</v>
      </c>
      <c r="Y36" s="54">
        <v>0</v>
      </c>
      <c r="Z36" s="54">
        <v>0</v>
      </c>
      <c r="AA36" s="54">
        <v>0</v>
      </c>
      <c r="AB36" s="54">
        <v>0</v>
      </c>
      <c r="AC36" s="54">
        <v>0</v>
      </c>
      <c r="AD36" s="54">
        <v>0</v>
      </c>
      <c r="AE36" s="54">
        <v>0</v>
      </c>
      <c r="AF36" s="54">
        <v>0</v>
      </c>
      <c r="AG36" s="54">
        <v>0</v>
      </c>
      <c r="AH36" s="54">
        <v>0</v>
      </c>
      <c r="AI36" s="54">
        <v>0</v>
      </c>
      <c r="AJ36" s="54"/>
      <c r="AK36" s="54"/>
      <c r="AL36" s="54"/>
      <c r="AM36" s="72"/>
      <c r="AN36" s="72"/>
      <c r="AO36" s="54"/>
      <c r="AP36" s="84"/>
    </row>
    <row r="37" spans="1:45" s="17" customFormat="1" ht="17.5" x14ac:dyDescent="0.35">
      <c r="A37" s="32"/>
      <c r="B37" s="76" t="s">
        <v>152</v>
      </c>
      <c r="C37" s="76" t="s">
        <v>197</v>
      </c>
      <c r="D37" s="72"/>
      <c r="E37" s="54">
        <v>0</v>
      </c>
      <c r="F37" s="54">
        <v>0</v>
      </c>
      <c r="G37" s="54">
        <v>0</v>
      </c>
      <c r="H37" s="54">
        <v>0</v>
      </c>
      <c r="I37" s="54">
        <v>0</v>
      </c>
      <c r="J37" s="54">
        <v>0</v>
      </c>
      <c r="K37" s="54">
        <f t="shared" si="20"/>
        <v>402.97600000000011</v>
      </c>
      <c r="L37" s="54">
        <v>20403.372759999998</v>
      </c>
      <c r="M37" s="202"/>
      <c r="N37" s="84"/>
      <c r="O37" s="191"/>
      <c r="P37" s="72"/>
      <c r="Q37" s="54">
        <v>0</v>
      </c>
      <c r="R37" s="54">
        <v>0</v>
      </c>
      <c r="S37" s="54">
        <v>0</v>
      </c>
      <c r="T37" s="54">
        <v>0</v>
      </c>
      <c r="U37" s="54">
        <v>0</v>
      </c>
      <c r="V37" s="54">
        <v>0</v>
      </c>
      <c r="W37" s="54">
        <v>0</v>
      </c>
      <c r="X37" s="54">
        <v>0</v>
      </c>
      <c r="Y37" s="54">
        <v>6212</v>
      </c>
      <c r="Z37" s="54">
        <v>7709</v>
      </c>
      <c r="AA37" s="54">
        <v>0</v>
      </c>
      <c r="AB37" s="54">
        <v>0</v>
      </c>
      <c r="AC37" s="54">
        <v>6227.7250000000004</v>
      </c>
      <c r="AD37" s="54">
        <v>15957</v>
      </c>
      <c r="AE37" s="54">
        <v>27914</v>
      </c>
      <c r="AF37" s="54">
        <v>0</v>
      </c>
      <c r="AG37" s="54">
        <v>12615</v>
      </c>
      <c r="AH37" s="54">
        <v>583</v>
      </c>
      <c r="AI37" s="54">
        <v>0</v>
      </c>
      <c r="AJ37" s="54">
        <v>402.97600000000011</v>
      </c>
      <c r="AK37" s="54">
        <v>3257</v>
      </c>
      <c r="AL37" s="54">
        <v>1841.94838</v>
      </c>
      <c r="AM37" s="54">
        <v>872.82396999999992</v>
      </c>
      <c r="AN37" s="54">
        <v>20403.372759999998</v>
      </c>
      <c r="AO37" s="54"/>
      <c r="AP37" s="84"/>
    </row>
    <row r="38" spans="1:45" s="17" customFormat="1" ht="17.5" x14ac:dyDescent="0.35">
      <c r="A38" s="32"/>
      <c r="B38" s="76" t="s">
        <v>139</v>
      </c>
      <c r="C38" s="76" t="s">
        <v>199</v>
      </c>
      <c r="D38" s="72"/>
      <c r="E38" s="54">
        <v>0</v>
      </c>
      <c r="F38" s="54">
        <v>0</v>
      </c>
      <c r="G38" s="54">
        <v>0</v>
      </c>
      <c r="H38" s="54">
        <v>63539</v>
      </c>
      <c r="I38" s="54">
        <v>3519</v>
      </c>
      <c r="J38" s="54">
        <v>1959</v>
      </c>
      <c r="K38" s="54">
        <f>AJ38</f>
        <v>18244</v>
      </c>
      <c r="L38" s="54">
        <v>19380</v>
      </c>
      <c r="M38" s="202"/>
      <c r="N38" s="84"/>
      <c r="O38" s="191"/>
      <c r="P38" s="72"/>
      <c r="Q38" s="54">
        <v>0</v>
      </c>
      <c r="R38" s="54">
        <v>0</v>
      </c>
      <c r="S38" s="54">
        <v>0</v>
      </c>
      <c r="T38" s="54">
        <v>0</v>
      </c>
      <c r="U38" s="54">
        <v>0</v>
      </c>
      <c r="V38" s="54">
        <v>0</v>
      </c>
      <c r="W38" s="54">
        <v>0</v>
      </c>
      <c r="X38" s="54">
        <f>H38</f>
        <v>63539</v>
      </c>
      <c r="Y38" s="54">
        <v>0</v>
      </c>
      <c r="Z38" s="54">
        <v>0</v>
      </c>
      <c r="AA38" s="54">
        <v>0</v>
      </c>
      <c r="AB38" s="54">
        <v>3519</v>
      </c>
      <c r="AC38" s="54">
        <v>3569</v>
      </c>
      <c r="AD38" s="54">
        <v>3681</v>
      </c>
      <c r="AE38" s="54">
        <v>0</v>
      </c>
      <c r="AF38" s="54">
        <v>1959</v>
      </c>
      <c r="AG38" s="54">
        <v>2010</v>
      </c>
      <c r="AH38" s="54">
        <v>2062</v>
      </c>
      <c r="AI38" s="54">
        <v>19483</v>
      </c>
      <c r="AJ38" s="54">
        <v>18244</v>
      </c>
      <c r="AK38" s="54">
        <v>19002</v>
      </c>
      <c r="AL38" s="54">
        <v>19002</v>
      </c>
      <c r="AM38" s="54">
        <v>19380</v>
      </c>
      <c r="AN38" s="54">
        <v>19380</v>
      </c>
      <c r="AO38" s="54"/>
      <c r="AP38" s="84"/>
    </row>
    <row r="39" spans="1:45" s="17" customFormat="1" ht="17.5" x14ac:dyDescent="0.35">
      <c r="A39" s="32"/>
      <c r="B39" s="76" t="s">
        <v>32</v>
      </c>
      <c r="C39" s="76" t="s">
        <v>200</v>
      </c>
      <c r="D39" s="72"/>
      <c r="E39" s="54">
        <v>110</v>
      </c>
      <c r="F39" s="54">
        <v>0</v>
      </c>
      <c r="G39" s="54">
        <v>169</v>
      </c>
      <c r="H39" s="54">
        <v>975.0579099310562</v>
      </c>
      <c r="I39" s="54">
        <v>1915</v>
      </c>
      <c r="J39" s="54">
        <v>15654</v>
      </c>
      <c r="K39" s="54">
        <f>AJ39</f>
        <v>19155.062380000003</v>
      </c>
      <c r="L39" s="54">
        <v>16432.437590653575</v>
      </c>
      <c r="M39" s="203"/>
      <c r="N39" s="84"/>
      <c r="O39" s="72"/>
      <c r="P39" s="72"/>
      <c r="Q39" s="54">
        <v>319</v>
      </c>
      <c r="R39" s="54">
        <v>84</v>
      </c>
      <c r="S39" s="54">
        <v>239.49</v>
      </c>
      <c r="T39" s="54">
        <v>907</v>
      </c>
      <c r="U39" s="54">
        <v>1446</v>
      </c>
      <c r="V39" s="54">
        <v>656</v>
      </c>
      <c r="W39" s="54">
        <v>5183</v>
      </c>
      <c r="X39" s="54">
        <f>H39</f>
        <v>975.0579099310562</v>
      </c>
      <c r="Y39" s="54">
        <v>2774</v>
      </c>
      <c r="Z39" s="54">
        <v>5169</v>
      </c>
      <c r="AA39" s="54">
        <v>978</v>
      </c>
      <c r="AB39" s="54">
        <v>1915</v>
      </c>
      <c r="AC39" s="54">
        <v>8166</v>
      </c>
      <c r="AD39" s="54">
        <v>2731</v>
      </c>
      <c r="AE39" s="54">
        <v>4401</v>
      </c>
      <c r="AF39" s="54">
        <v>15654</v>
      </c>
      <c r="AG39" s="54">
        <v>13635</v>
      </c>
      <c r="AH39" s="54">
        <v>13416.692999999999</v>
      </c>
      <c r="AI39" s="54">
        <v>23048.870999999999</v>
      </c>
      <c r="AJ39" s="54">
        <v>19155.062380000003</v>
      </c>
      <c r="AK39" s="54">
        <v>41216</v>
      </c>
      <c r="AL39" s="54">
        <v>65475.371394258131</v>
      </c>
      <c r="AM39" s="54">
        <v>20807.604465999997</v>
      </c>
      <c r="AN39" s="54">
        <v>16432.437590653575</v>
      </c>
      <c r="AO39" s="54"/>
      <c r="AP39" s="84"/>
    </row>
    <row r="40" spans="1:45" s="17" customFormat="1" ht="17.5" x14ac:dyDescent="0.35">
      <c r="A40" s="32"/>
      <c r="B40" s="91" t="s">
        <v>95</v>
      </c>
      <c r="C40" s="91" t="s">
        <v>198</v>
      </c>
      <c r="D40" s="92"/>
      <c r="E40" s="93">
        <v>0</v>
      </c>
      <c r="F40" s="93">
        <v>0</v>
      </c>
      <c r="G40" s="93">
        <v>608</v>
      </c>
      <c r="H40" s="93">
        <v>0</v>
      </c>
      <c r="I40" s="93">
        <v>0</v>
      </c>
      <c r="J40" s="93">
        <v>0</v>
      </c>
      <c r="K40" s="93">
        <f>AJ40</f>
        <v>0</v>
      </c>
      <c r="L40" s="93">
        <v>0</v>
      </c>
      <c r="M40" s="116"/>
      <c r="N40" s="94"/>
      <c r="O40" s="191"/>
      <c r="P40" s="72"/>
      <c r="Q40" s="93">
        <v>0</v>
      </c>
      <c r="R40" s="93">
        <v>0</v>
      </c>
      <c r="S40" s="93">
        <v>217</v>
      </c>
      <c r="T40" s="93">
        <v>0</v>
      </c>
      <c r="U40" s="93">
        <v>0</v>
      </c>
      <c r="V40" s="93">
        <v>0</v>
      </c>
      <c r="W40" s="93">
        <v>0</v>
      </c>
      <c r="X40" s="93">
        <f>H40</f>
        <v>0</v>
      </c>
      <c r="Y40" s="93">
        <v>0</v>
      </c>
      <c r="Z40" s="93">
        <v>0</v>
      </c>
      <c r="AA40" s="93">
        <v>0</v>
      </c>
      <c r="AB40" s="93">
        <v>0</v>
      </c>
      <c r="AC40" s="93">
        <v>0</v>
      </c>
      <c r="AD40" s="93">
        <v>0</v>
      </c>
      <c r="AE40" s="93">
        <v>0</v>
      </c>
      <c r="AF40" s="93">
        <v>0</v>
      </c>
      <c r="AG40" s="93">
        <v>0</v>
      </c>
      <c r="AH40" s="93">
        <v>0</v>
      </c>
      <c r="AI40" s="93">
        <v>0</v>
      </c>
      <c r="AJ40" s="93">
        <v>0</v>
      </c>
      <c r="AK40" s="93">
        <v>0</v>
      </c>
      <c r="AL40" s="93">
        <v>0</v>
      </c>
      <c r="AM40" s="93">
        <v>0</v>
      </c>
      <c r="AN40" s="93">
        <v>0</v>
      </c>
      <c r="AO40" s="93"/>
      <c r="AP40" s="94"/>
    </row>
    <row r="41" spans="1:45" s="17" customFormat="1" ht="17.5" x14ac:dyDescent="0.35">
      <c r="A41" s="32"/>
      <c r="B41" s="73" t="s">
        <v>33</v>
      </c>
      <c r="C41" s="73" t="s">
        <v>201</v>
      </c>
      <c r="D41" s="79"/>
      <c r="E41" s="55">
        <f t="shared" ref="E41:K41" si="22">SUM(E29:E40)</f>
        <v>18499</v>
      </c>
      <c r="F41" s="55">
        <f t="shared" si="22"/>
        <v>36152</v>
      </c>
      <c r="G41" s="55">
        <f t="shared" si="22"/>
        <v>89840</v>
      </c>
      <c r="H41" s="55">
        <f t="shared" si="22"/>
        <v>311413.05790993106</v>
      </c>
      <c r="I41" s="55">
        <f t="shared" si="22"/>
        <v>393050</v>
      </c>
      <c r="J41" s="55">
        <f t="shared" si="22"/>
        <v>747854</v>
      </c>
      <c r="K41" s="55">
        <f t="shared" si="22"/>
        <v>640454.59368280007</v>
      </c>
      <c r="L41" s="55">
        <f>SUM(L29:L40)</f>
        <v>831176.93926265487</v>
      </c>
      <c r="M41" s="74">
        <f>K41/J41-1</f>
        <v>-0.14361012486019986</v>
      </c>
      <c r="N41" s="74">
        <f>L41/K41-1</f>
        <v>0.29779214242675023</v>
      </c>
      <c r="O41" s="191"/>
      <c r="P41" s="72"/>
      <c r="Q41" s="55">
        <f t="shared" ref="Q41:AL41" si="23">SUM(Q29:Q40)</f>
        <v>35661</v>
      </c>
      <c r="R41" s="55">
        <f t="shared" si="23"/>
        <v>48571</v>
      </c>
      <c r="S41" s="55">
        <f t="shared" si="23"/>
        <v>64449.49</v>
      </c>
      <c r="T41" s="55">
        <f t="shared" si="23"/>
        <v>89840</v>
      </c>
      <c r="U41" s="55">
        <f t="shared" si="23"/>
        <v>97972</v>
      </c>
      <c r="V41" s="55">
        <f t="shared" si="23"/>
        <v>145080</v>
      </c>
      <c r="W41" s="55">
        <f t="shared" si="23"/>
        <v>210781</v>
      </c>
      <c r="X41" s="55">
        <f t="shared" si="23"/>
        <v>311413.05790993106</v>
      </c>
      <c r="Y41" s="55">
        <f t="shared" si="23"/>
        <v>343407</v>
      </c>
      <c r="Z41" s="55">
        <f t="shared" si="23"/>
        <v>278714</v>
      </c>
      <c r="AA41" s="55">
        <f t="shared" si="23"/>
        <v>427349</v>
      </c>
      <c r="AB41" s="55">
        <f t="shared" si="23"/>
        <v>393050</v>
      </c>
      <c r="AC41" s="55">
        <f t="shared" si="23"/>
        <v>440976.72499999998</v>
      </c>
      <c r="AD41" s="55">
        <f t="shared" si="23"/>
        <v>403083</v>
      </c>
      <c r="AE41" s="55">
        <f t="shared" si="23"/>
        <v>553872.99999999953</v>
      </c>
      <c r="AF41" s="55">
        <f t="shared" si="23"/>
        <v>747854</v>
      </c>
      <c r="AG41" s="55">
        <f t="shared" si="23"/>
        <v>787881</v>
      </c>
      <c r="AH41" s="55">
        <f t="shared" si="23"/>
        <v>924895.75300000003</v>
      </c>
      <c r="AI41" s="55">
        <f t="shared" si="23"/>
        <v>1019910.3689999999</v>
      </c>
      <c r="AJ41" s="55">
        <f t="shared" si="23"/>
        <v>640454.59368280007</v>
      </c>
      <c r="AK41" s="55">
        <f t="shared" si="23"/>
        <v>575655.18400000001</v>
      </c>
      <c r="AL41" s="55">
        <f t="shared" si="23"/>
        <v>605611.12764225819</v>
      </c>
      <c r="AM41" s="55">
        <f>SUM(AM29:AM40)</f>
        <v>625711.2847379999</v>
      </c>
      <c r="AN41" s="55">
        <f>SUM(AN29:AN40)</f>
        <v>831176.93926265487</v>
      </c>
      <c r="AO41" s="74">
        <f>AN41/AJ41-1</f>
        <v>0.29779214242675023</v>
      </c>
      <c r="AP41" s="74">
        <f>AN41/AM41-1</f>
        <v>0.32837134240065424</v>
      </c>
      <c r="AS41" s="23"/>
    </row>
    <row r="42" spans="1:45" s="17" customFormat="1" ht="17.5" x14ac:dyDescent="0.35">
      <c r="A42" s="32"/>
      <c r="B42" s="76" t="s">
        <v>26</v>
      </c>
      <c r="C42" s="76" t="s">
        <v>190</v>
      </c>
      <c r="D42" s="72"/>
      <c r="E42" s="72"/>
      <c r="F42" s="72"/>
      <c r="G42" s="72"/>
      <c r="H42" s="72"/>
      <c r="I42" s="72"/>
      <c r="J42" s="72"/>
      <c r="K42" s="72"/>
      <c r="L42" s="107">
        <v>56752.728279998642</v>
      </c>
      <c r="M42" s="72"/>
      <c r="N42" s="72"/>
      <c r="O42" s="191"/>
      <c r="P42" s="72"/>
      <c r="Q42" s="72"/>
      <c r="R42" s="72"/>
      <c r="S42" s="72"/>
      <c r="T42" s="72"/>
      <c r="U42" s="72"/>
      <c r="V42" s="72"/>
      <c r="W42" s="72"/>
      <c r="X42" s="72"/>
      <c r="Y42" s="72"/>
      <c r="Z42" s="72"/>
      <c r="AA42" s="107"/>
      <c r="AB42" s="107"/>
      <c r="AC42" s="107"/>
      <c r="AD42" s="107"/>
      <c r="AE42" s="107"/>
      <c r="AF42" s="107"/>
      <c r="AG42" s="107"/>
      <c r="AH42" s="107"/>
      <c r="AI42" s="107"/>
      <c r="AJ42" s="107"/>
      <c r="AK42" s="107"/>
      <c r="AL42" s="107"/>
      <c r="AM42" s="107"/>
      <c r="AN42" s="54">
        <v>56752.728279998642</v>
      </c>
      <c r="AO42" s="72"/>
      <c r="AP42" s="72"/>
    </row>
    <row r="43" spans="1:45" s="17" customFormat="1" ht="17.5" x14ac:dyDescent="0.35">
      <c r="A43" s="32"/>
      <c r="B43" s="76" t="s">
        <v>27</v>
      </c>
      <c r="C43" s="76" t="s">
        <v>191</v>
      </c>
      <c r="D43" s="72"/>
      <c r="E43" s="54">
        <v>33543</v>
      </c>
      <c r="F43" s="54">
        <v>45754</v>
      </c>
      <c r="G43" s="54">
        <v>223592</v>
      </c>
      <c r="H43" s="54">
        <v>1710082</v>
      </c>
      <c r="I43" s="54">
        <v>2008093</v>
      </c>
      <c r="J43" s="54">
        <v>1788717</v>
      </c>
      <c r="K43" s="54">
        <f>AJ43</f>
        <v>2316814.16</v>
      </c>
      <c r="L43" s="54">
        <v>2796072.93506</v>
      </c>
      <c r="M43" s="203"/>
      <c r="N43" s="84"/>
      <c r="O43" s="191"/>
      <c r="P43" s="72"/>
      <c r="Q43" s="54">
        <v>67713</v>
      </c>
      <c r="R43" s="54">
        <v>83162</v>
      </c>
      <c r="S43" s="54">
        <v>180474</v>
      </c>
      <c r="T43" s="54">
        <v>223592</v>
      </c>
      <c r="U43" s="54">
        <v>323020</v>
      </c>
      <c r="V43" s="54">
        <v>524767</v>
      </c>
      <c r="W43" s="54">
        <v>597846</v>
      </c>
      <c r="X43" s="54">
        <f>H43</f>
        <v>1710082</v>
      </c>
      <c r="Y43" s="54">
        <v>1600634</v>
      </c>
      <c r="Z43" s="54">
        <v>1445087</v>
      </c>
      <c r="AA43" s="54">
        <v>1716675</v>
      </c>
      <c r="AB43" s="54">
        <v>2008093</v>
      </c>
      <c r="AC43" s="54">
        <v>2001548</v>
      </c>
      <c r="AD43" s="54">
        <v>1992595</v>
      </c>
      <c r="AE43" s="54">
        <v>1990287</v>
      </c>
      <c r="AF43" s="54">
        <v>1788717</v>
      </c>
      <c r="AG43" s="54">
        <v>2433112</v>
      </c>
      <c r="AH43" s="54">
        <v>2423527</v>
      </c>
      <c r="AI43" s="54">
        <v>2425763.02</v>
      </c>
      <c r="AJ43" s="54">
        <v>2316814.16</v>
      </c>
      <c r="AK43" s="54">
        <v>2327233.0669999998</v>
      </c>
      <c r="AL43" s="54">
        <v>2333031.1919999998</v>
      </c>
      <c r="AM43" s="54">
        <v>2335330.7519999999</v>
      </c>
      <c r="AN43" s="54">
        <v>2796072.93506</v>
      </c>
      <c r="AO43" s="54"/>
      <c r="AP43" s="84"/>
    </row>
    <row r="44" spans="1:45" s="17" customFormat="1" ht="17.5" x14ac:dyDescent="0.35">
      <c r="A44" s="32"/>
      <c r="B44" s="76" t="s">
        <v>28</v>
      </c>
      <c r="C44" s="76" t="s">
        <v>202</v>
      </c>
      <c r="D44" s="72"/>
      <c r="E44" s="54">
        <v>0</v>
      </c>
      <c r="F44" s="54">
        <v>0</v>
      </c>
      <c r="G44" s="54">
        <v>13059</v>
      </c>
      <c r="H44" s="54">
        <v>30301</v>
      </c>
      <c r="I44" s="54">
        <v>70012</v>
      </c>
      <c r="J44" s="54">
        <v>78128</v>
      </c>
      <c r="K44" s="54">
        <f>AJ44</f>
        <v>80432.159</v>
      </c>
      <c r="L44" s="54">
        <v>106254.11900000001</v>
      </c>
      <c r="M44" s="202"/>
      <c r="N44" s="84"/>
      <c r="O44" s="191"/>
      <c r="P44" s="72"/>
      <c r="Q44" s="54">
        <v>808</v>
      </c>
      <c r="R44" s="54">
        <v>0</v>
      </c>
      <c r="S44" s="54">
        <v>0</v>
      </c>
      <c r="T44" s="54">
        <v>13059</v>
      </c>
      <c r="U44" s="54">
        <v>13198</v>
      </c>
      <c r="V44" s="54">
        <v>16545</v>
      </c>
      <c r="W44" s="54">
        <v>25918</v>
      </c>
      <c r="X44" s="54">
        <f>H44</f>
        <v>30301</v>
      </c>
      <c r="Y44" s="54">
        <v>31336</v>
      </c>
      <c r="Z44" s="54">
        <v>32041</v>
      </c>
      <c r="AA44" s="54">
        <v>70381</v>
      </c>
      <c r="AB44" s="54">
        <v>70012</v>
      </c>
      <c r="AC44" s="54">
        <v>72045</v>
      </c>
      <c r="AD44" s="54">
        <v>75673</v>
      </c>
      <c r="AE44" s="54">
        <v>78956</v>
      </c>
      <c r="AF44" s="54">
        <v>78128</v>
      </c>
      <c r="AG44" s="54">
        <v>75036</v>
      </c>
      <c r="AH44" s="54">
        <v>78605</v>
      </c>
      <c r="AI44" s="54">
        <v>78323.210999999996</v>
      </c>
      <c r="AJ44" s="54">
        <v>80432.159</v>
      </c>
      <c r="AK44" s="54">
        <v>83190.851999999999</v>
      </c>
      <c r="AL44" s="54">
        <v>101263.13200000001</v>
      </c>
      <c r="AM44" s="54">
        <v>101092.32100000001</v>
      </c>
      <c r="AN44" s="54">
        <v>106254.11900000001</v>
      </c>
      <c r="AO44" s="54"/>
      <c r="AP44" s="84"/>
    </row>
    <row r="45" spans="1:45" s="17" customFormat="1" ht="17.5" x14ac:dyDescent="0.35">
      <c r="A45" s="32"/>
      <c r="B45" s="76" t="s">
        <v>139</v>
      </c>
      <c r="C45" s="76" t="s">
        <v>294</v>
      </c>
      <c r="D45" s="72"/>
      <c r="E45" s="54">
        <v>0</v>
      </c>
      <c r="F45" s="54">
        <v>0</v>
      </c>
      <c r="G45" s="54">
        <v>0</v>
      </c>
      <c r="H45" s="54">
        <v>42201</v>
      </c>
      <c r="I45" s="54">
        <v>14205</v>
      </c>
      <c r="J45" s="54">
        <v>16128</v>
      </c>
      <c r="K45" s="54">
        <f>AJ45</f>
        <v>106625</v>
      </c>
      <c r="L45" s="54">
        <v>84503</v>
      </c>
      <c r="M45" s="203"/>
      <c r="N45" s="84"/>
      <c r="O45" s="191"/>
      <c r="P45" s="72"/>
      <c r="Q45" s="54">
        <v>0</v>
      </c>
      <c r="R45" s="54">
        <v>0</v>
      </c>
      <c r="S45" s="54">
        <v>0</v>
      </c>
      <c r="T45" s="54">
        <v>0</v>
      </c>
      <c r="U45" s="54">
        <v>0</v>
      </c>
      <c r="V45" s="54">
        <v>0</v>
      </c>
      <c r="W45" s="54">
        <v>0</v>
      </c>
      <c r="X45" s="54">
        <f>H45</f>
        <v>42201</v>
      </c>
      <c r="Y45" s="54">
        <v>16119</v>
      </c>
      <c r="Z45" s="54">
        <v>16624</v>
      </c>
      <c r="AA45" s="54">
        <v>17175</v>
      </c>
      <c r="AB45" s="54">
        <v>14205</v>
      </c>
      <c r="AC45" s="54">
        <v>14732</v>
      </c>
      <c r="AD45" s="54">
        <v>15195</v>
      </c>
      <c r="AE45" s="54">
        <v>17588</v>
      </c>
      <c r="AF45" s="54">
        <v>16128</v>
      </c>
      <c r="AG45" s="54">
        <v>16551</v>
      </c>
      <c r="AH45" s="54">
        <v>16980</v>
      </c>
      <c r="AI45" s="54">
        <v>102619</v>
      </c>
      <c r="AJ45" s="54">
        <v>106625</v>
      </c>
      <c r="AK45" s="54">
        <v>101344</v>
      </c>
      <c r="AL45" s="54">
        <v>105928</v>
      </c>
      <c r="AM45" s="54">
        <v>80738</v>
      </c>
      <c r="AN45" s="54">
        <v>84503</v>
      </c>
      <c r="AO45" s="54"/>
      <c r="AP45" s="84"/>
    </row>
    <row r="46" spans="1:45" s="17" customFormat="1" ht="17.5" x14ac:dyDescent="0.35">
      <c r="A46" s="32"/>
      <c r="B46" s="76" t="s">
        <v>34</v>
      </c>
      <c r="C46" s="76" t="s">
        <v>203</v>
      </c>
      <c r="D46" s="72"/>
      <c r="E46" s="54">
        <v>454</v>
      </c>
      <c r="F46" s="54">
        <v>389</v>
      </c>
      <c r="G46" s="54">
        <v>557</v>
      </c>
      <c r="H46" s="54">
        <v>1405</v>
      </c>
      <c r="I46" s="54">
        <v>344</v>
      </c>
      <c r="J46" s="54">
        <v>213</v>
      </c>
      <c r="K46" s="54">
        <f t="shared" ref="K46" si="24">AJ46</f>
        <v>5176</v>
      </c>
      <c r="L46" s="54">
        <v>1239.336</v>
      </c>
      <c r="M46" s="203"/>
      <c r="N46" s="84"/>
      <c r="O46" s="191"/>
      <c r="P46" s="72"/>
      <c r="Q46" s="54">
        <v>408</v>
      </c>
      <c r="R46" s="54">
        <v>607</v>
      </c>
      <c r="S46" s="54">
        <v>601</v>
      </c>
      <c r="T46" s="54">
        <v>557</v>
      </c>
      <c r="U46" s="54">
        <v>552</v>
      </c>
      <c r="V46" s="54">
        <v>497</v>
      </c>
      <c r="W46" s="54">
        <v>461</v>
      </c>
      <c r="X46" s="54">
        <f t="shared" ref="X46" si="25">H46</f>
        <v>1405</v>
      </c>
      <c r="Y46" s="54">
        <v>415</v>
      </c>
      <c r="Z46" s="54">
        <v>426</v>
      </c>
      <c r="AA46" s="54">
        <v>378</v>
      </c>
      <c r="AB46" s="54">
        <v>344</v>
      </c>
      <c r="AC46" s="54">
        <v>323</v>
      </c>
      <c r="AD46" s="54">
        <v>287</v>
      </c>
      <c r="AE46" s="54">
        <v>267</v>
      </c>
      <c r="AF46" s="54">
        <v>213</v>
      </c>
      <c r="AG46" s="54">
        <v>196</v>
      </c>
      <c r="AH46" s="54">
        <v>6115</v>
      </c>
      <c r="AI46" s="54">
        <v>5632</v>
      </c>
      <c r="AJ46" s="54">
        <v>5176</v>
      </c>
      <c r="AK46" s="54">
        <v>4708</v>
      </c>
      <c r="AL46" s="54">
        <v>5489.3410000000003</v>
      </c>
      <c r="AM46" s="54">
        <v>4593.3379999999997</v>
      </c>
      <c r="AN46" s="54">
        <v>1239.336</v>
      </c>
      <c r="AO46" s="54"/>
      <c r="AP46" s="84"/>
    </row>
    <row r="47" spans="1:45" s="17" customFormat="1" ht="17.5" x14ac:dyDescent="0.35">
      <c r="A47" s="32"/>
      <c r="B47" s="205" t="s">
        <v>340</v>
      </c>
      <c r="C47" s="205" t="s">
        <v>205</v>
      </c>
      <c r="D47" s="195"/>
      <c r="E47" s="196">
        <v>47</v>
      </c>
      <c r="F47" s="196">
        <v>0</v>
      </c>
      <c r="G47" s="196">
        <v>0</v>
      </c>
      <c r="H47" s="196">
        <v>692</v>
      </c>
      <c r="I47" s="196">
        <v>722</v>
      </c>
      <c r="J47" s="196">
        <v>166</v>
      </c>
      <c r="K47" s="196">
        <f>AJ47</f>
        <v>7792.9669999999996</v>
      </c>
      <c r="L47" s="196">
        <v>8122.18</v>
      </c>
      <c r="M47" s="206"/>
      <c r="N47" s="207"/>
      <c r="O47" s="195"/>
      <c r="P47" s="195"/>
      <c r="Q47" s="196">
        <v>0</v>
      </c>
      <c r="R47" s="196">
        <v>0</v>
      </c>
      <c r="S47" s="196">
        <v>0</v>
      </c>
      <c r="T47" s="196">
        <v>0</v>
      </c>
      <c r="U47" s="196">
        <v>0</v>
      </c>
      <c r="V47" s="196">
        <v>0</v>
      </c>
      <c r="W47" s="196">
        <v>0</v>
      </c>
      <c r="X47" s="196">
        <f>H47</f>
        <v>692</v>
      </c>
      <c r="Y47" s="196">
        <v>692</v>
      </c>
      <c r="Z47" s="196">
        <v>692</v>
      </c>
      <c r="AA47" s="196">
        <v>535</v>
      </c>
      <c r="AB47" s="196">
        <v>722</v>
      </c>
      <c r="AC47" s="196">
        <v>656</v>
      </c>
      <c r="AD47" s="196">
        <v>842</v>
      </c>
      <c r="AE47" s="196">
        <v>285</v>
      </c>
      <c r="AF47" s="196">
        <v>166</v>
      </c>
      <c r="AG47" s="196">
        <v>119</v>
      </c>
      <c r="AH47" s="196">
        <v>250</v>
      </c>
      <c r="AI47" s="196">
        <v>7123.9669999999996</v>
      </c>
      <c r="AJ47" s="196">
        <v>7792.9669999999996</v>
      </c>
      <c r="AK47" s="196">
        <v>7975.9669999999996</v>
      </c>
      <c r="AL47" s="196">
        <v>2048.7919999999999</v>
      </c>
      <c r="AM47" s="196">
        <v>2532.8620000000001</v>
      </c>
      <c r="AN47" s="196">
        <v>8122.18</v>
      </c>
      <c r="AO47" s="54"/>
      <c r="AP47" s="84"/>
    </row>
    <row r="48" spans="1:45" s="17" customFormat="1" ht="17.5" x14ac:dyDescent="0.35">
      <c r="A48" s="32"/>
      <c r="B48" s="76" t="s">
        <v>482</v>
      </c>
      <c r="C48" s="76" t="s">
        <v>483</v>
      </c>
      <c r="D48" s="76"/>
      <c r="E48" s="54"/>
      <c r="F48" s="54"/>
      <c r="G48" s="54"/>
      <c r="H48" s="54"/>
      <c r="I48" s="54"/>
      <c r="J48" s="54"/>
      <c r="K48" s="54"/>
      <c r="L48" s="196">
        <v>0</v>
      </c>
      <c r="M48" s="203"/>
      <c r="N48" s="84"/>
      <c r="O48" s="191"/>
      <c r="P48" s="72"/>
      <c r="Q48" s="54"/>
      <c r="R48" s="54"/>
      <c r="S48" s="54"/>
      <c r="T48" s="54"/>
      <c r="U48" s="54"/>
      <c r="V48" s="54"/>
      <c r="W48" s="54"/>
      <c r="X48" s="54"/>
      <c r="Y48" s="54"/>
      <c r="Z48" s="54"/>
      <c r="AA48" s="54"/>
      <c r="AB48" s="54"/>
      <c r="AC48" s="54"/>
      <c r="AD48" s="54"/>
      <c r="AE48" s="54">
        <v>0</v>
      </c>
      <c r="AF48" s="54">
        <v>0</v>
      </c>
      <c r="AG48" s="54">
        <v>0</v>
      </c>
      <c r="AH48" s="54">
        <v>0</v>
      </c>
      <c r="AI48" s="54">
        <v>0</v>
      </c>
      <c r="AJ48" s="54">
        <v>0</v>
      </c>
      <c r="AK48" s="54">
        <v>0</v>
      </c>
      <c r="AL48" s="54">
        <v>0</v>
      </c>
      <c r="AM48" s="54">
        <v>2819</v>
      </c>
      <c r="AN48" s="196">
        <v>0</v>
      </c>
      <c r="AO48" s="54"/>
      <c r="AP48" s="84"/>
    </row>
    <row r="49" spans="1:42" s="17" customFormat="1" ht="17.5" x14ac:dyDescent="0.35">
      <c r="A49" s="32"/>
      <c r="B49" s="76" t="s">
        <v>35</v>
      </c>
      <c r="C49" s="76" t="s">
        <v>204</v>
      </c>
      <c r="D49" s="72"/>
      <c r="E49" s="54">
        <v>5155</v>
      </c>
      <c r="F49" s="54">
        <v>10974</v>
      </c>
      <c r="G49" s="54">
        <v>17920</v>
      </c>
      <c r="H49" s="54">
        <v>72696.292749069296</v>
      </c>
      <c r="I49" s="54">
        <v>86028</v>
      </c>
      <c r="J49" s="54">
        <v>121579</v>
      </c>
      <c r="K49" s="54">
        <f>AJ49</f>
        <v>169041.06299999999</v>
      </c>
      <c r="L49" s="54">
        <v>126355.79542199994</v>
      </c>
      <c r="M49" s="203"/>
      <c r="N49" s="84"/>
      <c r="O49" s="191"/>
      <c r="P49" s="72"/>
      <c r="Q49" s="54">
        <v>12852</v>
      </c>
      <c r="R49" s="54">
        <v>14638</v>
      </c>
      <c r="S49" s="54">
        <v>17026</v>
      </c>
      <c r="T49" s="54">
        <v>17920</v>
      </c>
      <c r="U49" s="54">
        <v>22099</v>
      </c>
      <c r="V49" s="54">
        <v>28065</v>
      </c>
      <c r="W49" s="54">
        <v>15496</v>
      </c>
      <c r="X49" s="54">
        <f>H49</f>
        <v>72696.292749069296</v>
      </c>
      <c r="Y49" s="54">
        <v>79748</v>
      </c>
      <c r="Z49" s="54">
        <v>87722</v>
      </c>
      <c r="AA49" s="54">
        <v>97018</v>
      </c>
      <c r="AB49" s="54">
        <v>86028</v>
      </c>
      <c r="AC49" s="54">
        <v>90538</v>
      </c>
      <c r="AD49" s="54">
        <v>94829</v>
      </c>
      <c r="AE49" s="54">
        <v>109906</v>
      </c>
      <c r="AF49" s="54">
        <v>121579</v>
      </c>
      <c r="AG49" s="54">
        <v>136614</v>
      </c>
      <c r="AH49" s="54">
        <v>159514</v>
      </c>
      <c r="AI49" s="54">
        <v>173103.639</v>
      </c>
      <c r="AJ49" s="54">
        <v>169041.06299999999</v>
      </c>
      <c r="AK49" s="54">
        <v>163172</v>
      </c>
      <c r="AL49" s="54">
        <v>150709.36300000001</v>
      </c>
      <c r="AM49" s="54">
        <v>161257.26542199994</v>
      </c>
      <c r="AN49" s="54">
        <v>126355.79542199994</v>
      </c>
      <c r="AO49" s="54"/>
      <c r="AP49" s="84"/>
    </row>
    <row r="50" spans="1:42" s="17" customFormat="1" ht="17.5" x14ac:dyDescent="0.35">
      <c r="A50" s="32"/>
      <c r="B50" s="91" t="s">
        <v>26</v>
      </c>
      <c r="C50" s="91" t="s">
        <v>190</v>
      </c>
      <c r="D50" s="92"/>
      <c r="E50" s="93">
        <v>991</v>
      </c>
      <c r="F50" s="93">
        <v>0</v>
      </c>
      <c r="G50" s="93">
        <v>0</v>
      </c>
      <c r="H50" s="93">
        <v>0</v>
      </c>
      <c r="I50" s="93">
        <v>0</v>
      </c>
      <c r="J50" s="93">
        <v>0</v>
      </c>
      <c r="K50" s="93">
        <f>AJ50</f>
        <v>0</v>
      </c>
      <c r="L50" s="93"/>
      <c r="M50" s="116"/>
      <c r="N50" s="94"/>
      <c r="O50" s="191"/>
      <c r="P50" s="72"/>
      <c r="Q50" s="93">
        <v>0</v>
      </c>
      <c r="R50" s="93">
        <v>0</v>
      </c>
      <c r="S50" s="93">
        <v>0</v>
      </c>
      <c r="T50" s="93">
        <v>0</v>
      </c>
      <c r="U50" s="93">
        <v>0</v>
      </c>
      <c r="V50" s="93">
        <v>0</v>
      </c>
      <c r="W50" s="93">
        <v>0</v>
      </c>
      <c r="X50" s="93">
        <v>0</v>
      </c>
      <c r="Y50" s="93">
        <v>0</v>
      </c>
      <c r="Z50" s="93">
        <v>0</v>
      </c>
      <c r="AA50" s="93">
        <v>0</v>
      </c>
      <c r="AB50" s="93">
        <v>0</v>
      </c>
      <c r="AC50" s="93">
        <v>0</v>
      </c>
      <c r="AD50" s="93">
        <v>0</v>
      </c>
      <c r="AE50" s="93">
        <v>0</v>
      </c>
      <c r="AF50" s="93">
        <v>0</v>
      </c>
      <c r="AG50" s="93">
        <v>0</v>
      </c>
      <c r="AH50" s="93">
        <v>0</v>
      </c>
      <c r="AI50" s="93">
        <v>0</v>
      </c>
      <c r="AJ50" s="93"/>
      <c r="AK50" s="93"/>
      <c r="AL50" s="93"/>
      <c r="AM50" s="93"/>
      <c r="AN50" s="93"/>
      <c r="AO50" s="54"/>
      <c r="AP50" s="84"/>
    </row>
    <row r="51" spans="1:42" s="17" customFormat="1" ht="17.5" x14ac:dyDescent="0.35">
      <c r="A51" s="32"/>
      <c r="B51" s="73" t="s">
        <v>37</v>
      </c>
      <c r="C51" s="73" t="s">
        <v>206</v>
      </c>
      <c r="D51" s="79"/>
      <c r="E51" s="55">
        <f t="shared" ref="E51" si="26">SUM(E43:E50)</f>
        <v>40190</v>
      </c>
      <c r="F51" s="55">
        <f t="shared" ref="F51" si="27">SUM(F43:F50)</f>
        <v>57117</v>
      </c>
      <c r="G51" s="55">
        <f t="shared" ref="G51" si="28">SUM(G43:G50)</f>
        <v>255128</v>
      </c>
      <c r="H51" s="55">
        <f t="shared" ref="H51" si="29">SUM(H43:H50)</f>
        <v>1857377.2927490694</v>
      </c>
      <c r="I51" s="55">
        <f t="shared" ref="I51" si="30">SUM(I43:I50)</f>
        <v>2179404</v>
      </c>
      <c r="J51" s="55">
        <f t="shared" ref="J51" si="31">SUM(J43:J50)</f>
        <v>2004931</v>
      </c>
      <c r="K51" s="55">
        <f t="shared" ref="K51" si="32">SUM(K43:K50)</f>
        <v>2685881.3490000004</v>
      </c>
      <c r="L51" s="55">
        <f>SUM(L42:L50)</f>
        <v>3179300.0937619987</v>
      </c>
      <c r="M51" s="74">
        <f>K51/J51-1</f>
        <v>0.3396377975102387</v>
      </c>
      <c r="N51" s="74">
        <f>L51/K51-1</f>
        <v>0.1837083179216783</v>
      </c>
      <c r="O51" s="191"/>
      <c r="P51" s="72"/>
      <c r="Q51" s="55">
        <f t="shared" ref="Q51:AL51" si="33">SUM(Q43:Q50)</f>
        <v>81781</v>
      </c>
      <c r="R51" s="55">
        <f t="shared" si="33"/>
        <v>98407</v>
      </c>
      <c r="S51" s="55">
        <f t="shared" si="33"/>
        <v>198101</v>
      </c>
      <c r="T51" s="55">
        <f t="shared" si="33"/>
        <v>255128</v>
      </c>
      <c r="U51" s="55">
        <f t="shared" si="33"/>
        <v>358869</v>
      </c>
      <c r="V51" s="55">
        <f t="shared" si="33"/>
        <v>569874</v>
      </c>
      <c r="W51" s="55">
        <f t="shared" si="33"/>
        <v>639721</v>
      </c>
      <c r="X51" s="55">
        <f t="shared" si="33"/>
        <v>1857377.2927490694</v>
      </c>
      <c r="Y51" s="55">
        <f t="shared" si="33"/>
        <v>1728944</v>
      </c>
      <c r="Z51" s="55">
        <f t="shared" si="33"/>
        <v>1582592</v>
      </c>
      <c r="AA51" s="55">
        <f t="shared" si="33"/>
        <v>1902162</v>
      </c>
      <c r="AB51" s="55">
        <f t="shared" si="33"/>
        <v>2179404</v>
      </c>
      <c r="AC51" s="55">
        <f t="shared" si="33"/>
        <v>2179842</v>
      </c>
      <c r="AD51" s="55">
        <f t="shared" si="33"/>
        <v>2179421</v>
      </c>
      <c r="AE51" s="55">
        <f t="shared" si="33"/>
        <v>2197289</v>
      </c>
      <c r="AF51" s="55">
        <f t="shared" si="33"/>
        <v>2004931</v>
      </c>
      <c r="AG51" s="55">
        <f t="shared" si="33"/>
        <v>2661628</v>
      </c>
      <c r="AH51" s="55">
        <f t="shared" si="33"/>
        <v>2684991</v>
      </c>
      <c r="AI51" s="55">
        <f t="shared" si="33"/>
        <v>2792564.8370000003</v>
      </c>
      <c r="AJ51" s="55">
        <f t="shared" si="33"/>
        <v>2685881.3490000004</v>
      </c>
      <c r="AK51" s="55">
        <f t="shared" si="33"/>
        <v>2687623.8859999999</v>
      </c>
      <c r="AL51" s="55">
        <f t="shared" si="33"/>
        <v>2698469.82</v>
      </c>
      <c r="AM51" s="55">
        <f>SUM(AM43:AM50)</f>
        <v>2688363.5384220001</v>
      </c>
      <c r="AN51" s="55">
        <f>SUM(AN42:AN50)</f>
        <v>3179300.0937619987</v>
      </c>
      <c r="AO51" s="89">
        <f>AN51/AJ51-1</f>
        <v>0.1837083179216783</v>
      </c>
      <c r="AP51" s="89">
        <f>AN51/AM51-1</f>
        <v>0.18261538974307223</v>
      </c>
    </row>
    <row r="52" spans="1:42" x14ac:dyDescent="0.35">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row>
    <row r="53" spans="1:42" s="17" customFormat="1" ht="17.5" x14ac:dyDescent="0.35">
      <c r="A53" s="32"/>
      <c r="B53" s="72"/>
      <c r="C53" s="72"/>
      <c r="D53" s="72"/>
      <c r="E53" s="72"/>
      <c r="F53" s="72"/>
      <c r="G53" s="72"/>
      <c r="H53" s="72"/>
      <c r="I53" s="72"/>
      <c r="J53" s="72"/>
      <c r="K53" s="72"/>
      <c r="L53" s="72"/>
      <c r="M53" s="72"/>
      <c r="N53" s="72"/>
      <c r="O53" s="191"/>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row>
    <row r="54" spans="1:42" s="17" customFormat="1" ht="17.5" x14ac:dyDescent="0.35">
      <c r="A54" s="32"/>
      <c r="B54" s="76" t="s">
        <v>143</v>
      </c>
      <c r="C54" s="76" t="s">
        <v>207</v>
      </c>
      <c r="D54" s="72"/>
      <c r="E54" s="54">
        <v>230</v>
      </c>
      <c r="F54" s="54">
        <v>230</v>
      </c>
      <c r="G54" s="54">
        <v>971</v>
      </c>
      <c r="H54" s="54">
        <v>1002351</v>
      </c>
      <c r="I54" s="54">
        <v>1004034</v>
      </c>
      <c r="J54" s="54">
        <v>1004034</v>
      </c>
      <c r="K54" s="54">
        <f t="shared" ref="K54" si="34">AJ54</f>
        <v>1008876</v>
      </c>
      <c r="L54" s="54">
        <v>1008876.0000000001</v>
      </c>
      <c r="M54" s="203"/>
      <c r="N54" s="84"/>
      <c r="O54" s="191"/>
      <c r="P54" s="72"/>
      <c r="Q54" s="54">
        <v>230</v>
      </c>
      <c r="R54" s="54">
        <v>971</v>
      </c>
      <c r="S54" s="54">
        <v>971</v>
      </c>
      <c r="T54" s="54">
        <v>971</v>
      </c>
      <c r="U54" s="54">
        <v>1147</v>
      </c>
      <c r="V54" s="54">
        <v>1147</v>
      </c>
      <c r="W54" s="54">
        <v>1002351</v>
      </c>
      <c r="X54" s="54">
        <f t="shared" ref="X54" si="35">H54</f>
        <v>1002351</v>
      </c>
      <c r="Y54" s="54">
        <v>1002351</v>
      </c>
      <c r="Z54" s="54">
        <v>1002351</v>
      </c>
      <c r="AA54" s="54">
        <v>1002351</v>
      </c>
      <c r="AB54" s="54">
        <v>1004034</v>
      </c>
      <c r="AC54" s="54">
        <v>1004034</v>
      </c>
      <c r="AD54" s="54">
        <v>1004034</v>
      </c>
      <c r="AE54" s="54">
        <v>1004034</v>
      </c>
      <c r="AF54" s="54">
        <v>1004034</v>
      </c>
      <c r="AG54" s="54">
        <v>1004034</v>
      </c>
      <c r="AH54" s="54">
        <v>1008876</v>
      </c>
      <c r="AI54" s="54">
        <v>1008876</v>
      </c>
      <c r="AJ54" s="54">
        <v>1008876</v>
      </c>
      <c r="AK54" s="54">
        <v>1008876</v>
      </c>
      <c r="AL54" s="54">
        <v>1008876</v>
      </c>
      <c r="AM54" s="54">
        <v>1008876</v>
      </c>
      <c r="AN54" s="54">
        <v>1008876.0000000001</v>
      </c>
      <c r="AO54" s="54"/>
      <c r="AP54" s="72"/>
    </row>
    <row r="55" spans="1:42" s="17" customFormat="1" ht="17.5" x14ac:dyDescent="0.35">
      <c r="A55" s="32"/>
      <c r="B55" s="76" t="s">
        <v>153</v>
      </c>
      <c r="C55" s="76" t="s">
        <v>208</v>
      </c>
      <c r="D55" s="72"/>
      <c r="E55" s="54">
        <v>0</v>
      </c>
      <c r="F55" s="54">
        <v>0</v>
      </c>
      <c r="G55" s="54">
        <v>0</v>
      </c>
      <c r="H55" s="54">
        <v>0</v>
      </c>
      <c r="I55" s="54">
        <v>-45072</v>
      </c>
      <c r="J55" s="54">
        <v>-45072</v>
      </c>
      <c r="K55" s="54">
        <f t="shared" ref="K55:K60" si="36">AJ55</f>
        <v>-45072</v>
      </c>
      <c r="L55" s="54">
        <v>-45072</v>
      </c>
      <c r="M55" s="203"/>
      <c r="N55" s="84"/>
      <c r="O55" s="191"/>
      <c r="P55" s="72"/>
      <c r="Q55" s="54">
        <v>0</v>
      </c>
      <c r="R55" s="54">
        <v>0</v>
      </c>
      <c r="S55" s="54">
        <v>0</v>
      </c>
      <c r="T55" s="54">
        <v>0</v>
      </c>
      <c r="U55" s="54">
        <v>0</v>
      </c>
      <c r="V55" s="54">
        <v>0</v>
      </c>
      <c r="W55" s="54">
        <v>0</v>
      </c>
      <c r="X55" s="54">
        <v>0</v>
      </c>
      <c r="Y55" s="54">
        <v>-45072</v>
      </c>
      <c r="Z55" s="54">
        <v>0</v>
      </c>
      <c r="AA55" s="54">
        <v>-45072</v>
      </c>
      <c r="AB55" s="54">
        <v>-45072</v>
      </c>
      <c r="AC55" s="54">
        <v>-45072</v>
      </c>
      <c r="AD55" s="54">
        <v>-45072</v>
      </c>
      <c r="AE55" s="54">
        <v>0</v>
      </c>
      <c r="AF55" s="54">
        <v>-45072</v>
      </c>
      <c r="AG55" s="54">
        <v>-45072</v>
      </c>
      <c r="AH55" s="54">
        <v>-45072</v>
      </c>
      <c r="AI55" s="54">
        <v>-45072</v>
      </c>
      <c r="AJ55" s="54">
        <v>-45072</v>
      </c>
      <c r="AK55" s="54">
        <v>-45072</v>
      </c>
      <c r="AL55" s="54">
        <v>-45072</v>
      </c>
      <c r="AM55" s="54">
        <v>-45072</v>
      </c>
      <c r="AN55" s="54">
        <v>-45072</v>
      </c>
      <c r="AO55" s="54"/>
      <c r="AP55" s="72"/>
    </row>
    <row r="56" spans="1:42" s="17" customFormat="1" ht="17.5" x14ac:dyDescent="0.35">
      <c r="A56" s="32"/>
      <c r="B56" s="76" t="s">
        <v>96</v>
      </c>
      <c r="C56" s="76" t="s">
        <v>209</v>
      </c>
      <c r="D56" s="72"/>
      <c r="E56" s="54">
        <v>0</v>
      </c>
      <c r="F56" s="54">
        <v>0</v>
      </c>
      <c r="G56" s="54">
        <v>70066</v>
      </c>
      <c r="H56" s="54">
        <v>81943</v>
      </c>
      <c r="I56" s="54">
        <v>130167</v>
      </c>
      <c r="J56" s="54">
        <v>135008</v>
      </c>
      <c r="K56" s="54">
        <f t="shared" si="36"/>
        <v>132816</v>
      </c>
      <c r="L56" s="54">
        <v>125572</v>
      </c>
      <c r="M56" s="203"/>
      <c r="N56" s="84"/>
      <c r="O56" s="191"/>
      <c r="P56" s="72"/>
      <c r="Q56" s="54">
        <v>0</v>
      </c>
      <c r="R56" s="54">
        <v>19734</v>
      </c>
      <c r="S56" s="54">
        <v>42071</v>
      </c>
      <c r="T56" s="54">
        <v>70066</v>
      </c>
      <c r="U56" s="54">
        <v>119325</v>
      </c>
      <c r="V56" s="54">
        <v>119325</v>
      </c>
      <c r="W56" s="54">
        <v>80388</v>
      </c>
      <c r="X56" s="54">
        <f>H56</f>
        <v>81943</v>
      </c>
      <c r="Y56" s="54">
        <v>127801</v>
      </c>
      <c r="Z56" s="54">
        <v>83507</v>
      </c>
      <c r="AA56" s="54">
        <v>129365</v>
      </c>
      <c r="AB56" s="54">
        <v>130167</v>
      </c>
      <c r="AC56" s="54">
        <v>132384</v>
      </c>
      <c r="AD56" s="54">
        <v>134781</v>
      </c>
      <c r="AE56" s="54">
        <v>88549</v>
      </c>
      <c r="AF56" s="54">
        <v>135008</v>
      </c>
      <c r="AG56" s="54">
        <v>131754</v>
      </c>
      <c r="AH56" s="54">
        <v>132211</v>
      </c>
      <c r="AI56" s="54">
        <v>132895</v>
      </c>
      <c r="AJ56" s="54">
        <v>132816</v>
      </c>
      <c r="AK56" s="54">
        <v>127296</v>
      </c>
      <c r="AL56" s="54">
        <v>127458</v>
      </c>
      <c r="AM56" s="54">
        <v>125295</v>
      </c>
      <c r="AN56" s="54">
        <v>125572</v>
      </c>
      <c r="AO56" s="54"/>
      <c r="AP56" s="72"/>
    </row>
    <row r="57" spans="1:42" s="17" customFormat="1" ht="17.5" x14ac:dyDescent="0.35">
      <c r="A57" s="32"/>
      <c r="B57" s="76" t="s">
        <v>38</v>
      </c>
      <c r="C57" s="76" t="s">
        <v>210</v>
      </c>
      <c r="D57" s="72"/>
      <c r="E57" s="54">
        <v>16402</v>
      </c>
      <c r="F57" s="54">
        <v>22879</v>
      </c>
      <c r="G57" s="54">
        <v>14023</v>
      </c>
      <c r="H57" s="54">
        <v>28402.211268395618</v>
      </c>
      <c r="I57" s="54">
        <v>77511</v>
      </c>
      <c r="J57" s="54">
        <v>140794</v>
      </c>
      <c r="K57" s="54">
        <f t="shared" si="36"/>
        <v>204191</v>
      </c>
      <c r="L57" s="54">
        <v>229341</v>
      </c>
      <c r="M57" s="203"/>
      <c r="N57" s="84"/>
      <c r="O57" s="191"/>
      <c r="P57" s="72"/>
      <c r="Q57" s="54">
        <v>25927</v>
      </c>
      <c r="R57" s="54">
        <v>13966</v>
      </c>
      <c r="S57" s="54">
        <v>11403</v>
      </c>
      <c r="T57" s="54">
        <v>14023</v>
      </c>
      <c r="U57" s="54">
        <v>21688</v>
      </c>
      <c r="V57" s="54">
        <v>12064</v>
      </c>
      <c r="W57" s="54">
        <v>25741</v>
      </c>
      <c r="X57" s="54">
        <v>28402.649340999313</v>
      </c>
      <c r="Y57" s="54">
        <v>50155.392370000016</v>
      </c>
      <c r="Z57" s="54">
        <v>39316</v>
      </c>
      <c r="AA57" s="54">
        <v>60742</v>
      </c>
      <c r="AB57" s="54">
        <v>77511</v>
      </c>
      <c r="AC57" s="54">
        <v>56505</v>
      </c>
      <c r="AD57" s="54">
        <v>89624</v>
      </c>
      <c r="AE57" s="54">
        <v>126126.79999999999</v>
      </c>
      <c r="AF57" s="54">
        <v>140794</v>
      </c>
      <c r="AG57" s="54">
        <v>181293.5</v>
      </c>
      <c r="AH57" s="54">
        <v>196918.91699999999</v>
      </c>
      <c r="AI57" s="54">
        <v>194438.51</v>
      </c>
      <c r="AJ57" s="54">
        <v>204191</v>
      </c>
      <c r="AK57" s="54">
        <v>214221</v>
      </c>
      <c r="AL57" s="54">
        <v>183270.00000000003</v>
      </c>
      <c r="AM57" s="54">
        <v>222623</v>
      </c>
      <c r="AN57" s="54">
        <v>229341</v>
      </c>
      <c r="AO57" s="54"/>
      <c r="AP57" s="72"/>
    </row>
    <row r="58" spans="1:42" s="17" customFormat="1" ht="17.5" x14ac:dyDescent="0.35">
      <c r="A58" s="32"/>
      <c r="B58" s="76" t="s">
        <v>396</v>
      </c>
      <c r="C58" s="76" t="s">
        <v>397</v>
      </c>
      <c r="D58" s="72"/>
      <c r="E58" s="54">
        <v>0</v>
      </c>
      <c r="F58" s="54">
        <v>0</v>
      </c>
      <c r="G58" s="54">
        <v>0</v>
      </c>
      <c r="H58" s="54">
        <v>0</v>
      </c>
      <c r="I58" s="54">
        <v>0</v>
      </c>
      <c r="J58" s="54">
        <v>0</v>
      </c>
      <c r="K58" s="54">
        <f t="shared" si="36"/>
        <v>-38703</v>
      </c>
      <c r="L58" s="54">
        <v>-38703</v>
      </c>
      <c r="M58" s="203"/>
      <c r="N58" s="84"/>
      <c r="O58" s="191"/>
      <c r="P58" s="72"/>
      <c r="Q58" s="54">
        <v>0</v>
      </c>
      <c r="R58" s="54">
        <v>0</v>
      </c>
      <c r="S58" s="54">
        <v>0</v>
      </c>
      <c r="T58" s="54">
        <v>0</v>
      </c>
      <c r="U58" s="54">
        <v>0</v>
      </c>
      <c r="V58" s="54">
        <v>0</v>
      </c>
      <c r="W58" s="54">
        <v>0</v>
      </c>
      <c r="X58" s="54">
        <v>0</v>
      </c>
      <c r="Y58" s="54">
        <v>0</v>
      </c>
      <c r="Z58" s="54">
        <v>0</v>
      </c>
      <c r="AA58" s="54">
        <v>0</v>
      </c>
      <c r="AB58" s="54">
        <v>0</v>
      </c>
      <c r="AC58" s="54">
        <v>0</v>
      </c>
      <c r="AD58" s="54">
        <v>0</v>
      </c>
      <c r="AE58" s="54">
        <v>0</v>
      </c>
      <c r="AF58" s="54">
        <v>0</v>
      </c>
      <c r="AG58" s="54">
        <v>0</v>
      </c>
      <c r="AH58" s="54">
        <v>0</v>
      </c>
      <c r="AI58" s="54">
        <v>-38674</v>
      </c>
      <c r="AJ58" s="54">
        <v>-38703</v>
      </c>
      <c r="AK58" s="54">
        <v>-38703</v>
      </c>
      <c r="AL58" s="54">
        <v>-38703</v>
      </c>
      <c r="AM58" s="54">
        <v>-38703</v>
      </c>
      <c r="AN58" s="54">
        <v>-38703</v>
      </c>
      <c r="AO58" s="54"/>
      <c r="AP58" s="72"/>
    </row>
    <row r="59" spans="1:42" s="17" customFormat="1" ht="17.5" x14ac:dyDescent="0.35">
      <c r="A59" s="32"/>
      <c r="B59" s="76" t="s">
        <v>179</v>
      </c>
      <c r="C59" s="76" t="s">
        <v>213</v>
      </c>
      <c r="D59" s="72"/>
      <c r="E59" s="54">
        <v>0</v>
      </c>
      <c r="F59" s="54">
        <v>0</v>
      </c>
      <c r="G59" s="54">
        <v>0</v>
      </c>
      <c r="H59" s="54">
        <v>0</v>
      </c>
      <c r="I59" s="54">
        <v>-8119</v>
      </c>
      <c r="J59" s="54">
        <v>-4822</v>
      </c>
      <c r="K59" s="54">
        <f t="shared" si="36"/>
        <v>-3483</v>
      </c>
      <c r="L59" s="54">
        <v>-558</v>
      </c>
      <c r="M59" s="203"/>
      <c r="N59" s="84"/>
      <c r="O59" s="191"/>
      <c r="P59" s="54"/>
      <c r="Q59" s="54">
        <v>0</v>
      </c>
      <c r="R59" s="54">
        <v>0</v>
      </c>
      <c r="S59" s="54">
        <v>0</v>
      </c>
      <c r="T59" s="54">
        <v>0</v>
      </c>
      <c r="U59" s="54">
        <v>0</v>
      </c>
      <c r="V59" s="54">
        <v>0</v>
      </c>
      <c r="W59" s="54">
        <v>0</v>
      </c>
      <c r="X59" s="54">
        <v>0</v>
      </c>
      <c r="Y59" s="54">
        <v>0</v>
      </c>
      <c r="Z59" s="54">
        <v>-5753</v>
      </c>
      <c r="AA59" s="54">
        <v>-8119</v>
      </c>
      <c r="AB59" s="54">
        <v>-8119</v>
      </c>
      <c r="AC59" s="54">
        <v>-8119</v>
      </c>
      <c r="AD59" s="54">
        <v>-8119</v>
      </c>
      <c r="AE59" s="54">
        <v>-5415</v>
      </c>
      <c r="AF59" s="54">
        <v>-4822</v>
      </c>
      <c r="AG59" s="54">
        <v>-1168</v>
      </c>
      <c r="AH59" s="54">
        <v>-4314</v>
      </c>
      <c r="AI59" s="54">
        <v>-4101</v>
      </c>
      <c r="AJ59" s="54">
        <v>-3483</v>
      </c>
      <c r="AK59" s="54">
        <v>-3216</v>
      </c>
      <c r="AL59" s="54">
        <v>-3199</v>
      </c>
      <c r="AM59" s="54">
        <v>-1674</v>
      </c>
      <c r="AN59" s="54">
        <v>-558</v>
      </c>
      <c r="AO59" s="54"/>
      <c r="AP59" s="72"/>
    </row>
    <row r="60" spans="1:42" s="17" customFormat="1" ht="17.5" x14ac:dyDescent="0.35">
      <c r="A60" s="32"/>
      <c r="B60" s="91" t="s">
        <v>398</v>
      </c>
      <c r="C60" s="91" t="s">
        <v>399</v>
      </c>
      <c r="D60" s="92"/>
      <c r="E60" s="93">
        <v>0</v>
      </c>
      <c r="F60" s="93">
        <v>0</v>
      </c>
      <c r="G60" s="93">
        <v>0</v>
      </c>
      <c r="H60" s="93">
        <v>0</v>
      </c>
      <c r="I60" s="93">
        <v>0</v>
      </c>
      <c r="J60" s="93">
        <v>0</v>
      </c>
      <c r="K60" s="93">
        <f t="shared" si="36"/>
        <v>52392.138612307695</v>
      </c>
      <c r="L60" s="93">
        <v>50882.103622269235</v>
      </c>
      <c r="M60" s="93"/>
      <c r="N60" s="93"/>
      <c r="O60" s="191"/>
      <c r="P60" s="72"/>
      <c r="Q60" s="93">
        <v>0</v>
      </c>
      <c r="R60" s="93">
        <v>0</v>
      </c>
      <c r="S60" s="93">
        <v>0</v>
      </c>
      <c r="T60" s="93">
        <v>0</v>
      </c>
      <c r="U60" s="93">
        <v>0</v>
      </c>
      <c r="V60" s="93">
        <v>0</v>
      </c>
      <c r="W60" s="93">
        <v>0</v>
      </c>
      <c r="X60" s="93">
        <v>0</v>
      </c>
      <c r="Y60" s="93">
        <v>0</v>
      </c>
      <c r="Z60" s="93">
        <v>0</v>
      </c>
      <c r="AA60" s="93">
        <v>0</v>
      </c>
      <c r="AB60" s="93">
        <v>0</v>
      </c>
      <c r="AC60" s="93">
        <v>0</v>
      </c>
      <c r="AD60" s="93">
        <v>0</v>
      </c>
      <c r="AE60" s="93">
        <v>0</v>
      </c>
      <c r="AF60" s="93">
        <v>0</v>
      </c>
      <c r="AG60" s="93">
        <v>0</v>
      </c>
      <c r="AH60" s="93">
        <v>0</v>
      </c>
      <c r="AI60" s="93">
        <v>41773</v>
      </c>
      <c r="AJ60" s="93">
        <v>52392.138612307695</v>
      </c>
      <c r="AK60" s="93">
        <v>49035.215915384622</v>
      </c>
      <c r="AL60" s="93">
        <v>48591.904864307697</v>
      </c>
      <c r="AM60" s="93">
        <v>48050.693093846159</v>
      </c>
      <c r="AN60" s="93">
        <v>50882.103622269235</v>
      </c>
      <c r="AO60" s="93"/>
      <c r="AP60" s="94"/>
    </row>
    <row r="61" spans="1:42" s="17" customFormat="1" ht="17.5" x14ac:dyDescent="0.35">
      <c r="A61" s="32"/>
      <c r="B61" s="73" t="s">
        <v>39</v>
      </c>
      <c r="C61" s="73" t="s">
        <v>211</v>
      </c>
      <c r="D61" s="79"/>
      <c r="E61" s="55">
        <f t="shared" ref="E61:L61" si="37">SUM(E54:E60)</f>
        <v>16632</v>
      </c>
      <c r="F61" s="55">
        <f t="shared" si="37"/>
        <v>23109</v>
      </c>
      <c r="G61" s="55">
        <f t="shared" si="37"/>
        <v>85060</v>
      </c>
      <c r="H61" s="55">
        <f t="shared" si="37"/>
        <v>1112696.2112683957</v>
      </c>
      <c r="I61" s="55">
        <f t="shared" si="37"/>
        <v>1158521</v>
      </c>
      <c r="J61" s="55">
        <f t="shared" si="37"/>
        <v>1229942</v>
      </c>
      <c r="K61" s="55">
        <f t="shared" si="37"/>
        <v>1311017.1386123076</v>
      </c>
      <c r="L61" s="55">
        <f t="shared" si="37"/>
        <v>1330338.1036222694</v>
      </c>
      <c r="M61" s="74">
        <f>K61/J61-1</f>
        <v>6.5917855160899874E-2</v>
      </c>
      <c r="N61" s="74">
        <f>L61/K61-1</f>
        <v>1.4737385531369052E-2</v>
      </c>
      <c r="O61" s="191"/>
      <c r="P61" s="72"/>
      <c r="Q61" s="55">
        <f t="shared" ref="Q61:AN61" si="38">SUM(Q54:Q60)</f>
        <v>26157</v>
      </c>
      <c r="R61" s="55">
        <f t="shared" si="38"/>
        <v>34671</v>
      </c>
      <c r="S61" s="55">
        <f t="shared" si="38"/>
        <v>54445</v>
      </c>
      <c r="T61" s="55">
        <f t="shared" si="38"/>
        <v>85060</v>
      </c>
      <c r="U61" s="55">
        <f t="shared" si="38"/>
        <v>142160</v>
      </c>
      <c r="V61" s="55">
        <f t="shared" si="38"/>
        <v>132536</v>
      </c>
      <c r="W61" s="55">
        <f t="shared" si="38"/>
        <v>1108480</v>
      </c>
      <c r="X61" s="55">
        <f t="shared" si="38"/>
        <v>1112696.6493409993</v>
      </c>
      <c r="Y61" s="55">
        <f t="shared" si="38"/>
        <v>1135235.39237</v>
      </c>
      <c r="Z61" s="55">
        <f t="shared" si="38"/>
        <v>1119421</v>
      </c>
      <c r="AA61" s="55">
        <f t="shared" si="38"/>
        <v>1139267</v>
      </c>
      <c r="AB61" s="55">
        <f t="shared" si="38"/>
        <v>1158521</v>
      </c>
      <c r="AC61" s="55">
        <f t="shared" si="38"/>
        <v>1139732</v>
      </c>
      <c r="AD61" s="55">
        <f t="shared" si="38"/>
        <v>1175248</v>
      </c>
      <c r="AE61" s="55">
        <f t="shared" si="38"/>
        <v>1213294.8</v>
      </c>
      <c r="AF61" s="55">
        <f t="shared" si="38"/>
        <v>1229942</v>
      </c>
      <c r="AG61" s="55">
        <f t="shared" si="38"/>
        <v>1270841.5</v>
      </c>
      <c r="AH61" s="55">
        <f t="shared" si="38"/>
        <v>1288619.9169999999</v>
      </c>
      <c r="AI61" s="55">
        <f t="shared" si="38"/>
        <v>1290135.51</v>
      </c>
      <c r="AJ61" s="55">
        <f t="shared" si="38"/>
        <v>1311017.1386123076</v>
      </c>
      <c r="AK61" s="55">
        <f t="shared" si="38"/>
        <v>1312437.2159153847</v>
      </c>
      <c r="AL61" s="55">
        <f t="shared" si="38"/>
        <v>1281221.9048643077</v>
      </c>
      <c r="AM61" s="55">
        <f t="shared" si="38"/>
        <v>1319395.6930938461</v>
      </c>
      <c r="AN61" s="55">
        <f t="shared" si="38"/>
        <v>1330338.1036222694</v>
      </c>
      <c r="AO61" s="74">
        <f>AN61/AJ61-1</f>
        <v>1.4737385531369052E-2</v>
      </c>
      <c r="AP61" s="74">
        <f>AN61/AM61-1</f>
        <v>8.293501779412793E-3</v>
      </c>
    </row>
    <row r="62" spans="1:42" x14ac:dyDescent="0.35">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row>
    <row r="63" spans="1:42" s="17" customFormat="1" ht="17.5" x14ac:dyDescent="0.35">
      <c r="A63" s="32"/>
      <c r="B63" s="69" t="s">
        <v>40</v>
      </c>
      <c r="C63" s="69" t="s">
        <v>212</v>
      </c>
      <c r="D63" s="70"/>
      <c r="E63" s="199">
        <f t="shared" ref="E63:L63" si="39">E61+E51+E41</f>
        <v>75321</v>
      </c>
      <c r="F63" s="199">
        <f t="shared" si="39"/>
        <v>116378</v>
      </c>
      <c r="G63" s="199">
        <f t="shared" si="39"/>
        <v>430028</v>
      </c>
      <c r="H63" s="199">
        <f t="shared" si="39"/>
        <v>3281486.5619273959</v>
      </c>
      <c r="I63" s="199">
        <f t="shared" si="39"/>
        <v>3730975</v>
      </c>
      <c r="J63" s="199">
        <f t="shared" si="39"/>
        <v>3982727</v>
      </c>
      <c r="K63" s="199">
        <f t="shared" si="39"/>
        <v>4637353.0812951084</v>
      </c>
      <c r="L63" s="199">
        <f t="shared" si="39"/>
        <v>5340815.1366469227</v>
      </c>
      <c r="M63" s="204">
        <f>K63/J63-1</f>
        <v>0.16436629507749556</v>
      </c>
      <c r="N63" s="204">
        <f>L63/K63-1</f>
        <v>0.15169473685090917</v>
      </c>
      <c r="O63" s="191"/>
      <c r="P63" s="72"/>
      <c r="Q63" s="199">
        <f t="shared" ref="Q63:AN63" si="40">Q61+Q51+Q41</f>
        <v>143599</v>
      </c>
      <c r="R63" s="199">
        <f t="shared" si="40"/>
        <v>181649</v>
      </c>
      <c r="S63" s="199">
        <f t="shared" si="40"/>
        <v>316995.49</v>
      </c>
      <c r="T63" s="199">
        <f t="shared" si="40"/>
        <v>430028</v>
      </c>
      <c r="U63" s="199">
        <f t="shared" si="40"/>
        <v>599001</v>
      </c>
      <c r="V63" s="199">
        <f t="shared" si="40"/>
        <v>847490</v>
      </c>
      <c r="W63" s="199">
        <f t="shared" si="40"/>
        <v>1958982</v>
      </c>
      <c r="X63" s="199">
        <f t="shared" si="40"/>
        <v>3281487</v>
      </c>
      <c r="Y63" s="199">
        <f t="shared" si="40"/>
        <v>3207586.39237</v>
      </c>
      <c r="Z63" s="199">
        <f t="shared" si="40"/>
        <v>2980727</v>
      </c>
      <c r="AA63" s="199">
        <f t="shared" si="40"/>
        <v>3468778</v>
      </c>
      <c r="AB63" s="199">
        <f t="shared" si="40"/>
        <v>3730975</v>
      </c>
      <c r="AC63" s="199">
        <f t="shared" si="40"/>
        <v>3760550.7250000001</v>
      </c>
      <c r="AD63" s="199">
        <f t="shared" si="40"/>
        <v>3757752</v>
      </c>
      <c r="AE63" s="199">
        <f t="shared" si="40"/>
        <v>3964456.7999999993</v>
      </c>
      <c r="AF63" s="199">
        <f t="shared" si="40"/>
        <v>3982727</v>
      </c>
      <c r="AG63" s="199">
        <f t="shared" si="40"/>
        <v>4720350.5</v>
      </c>
      <c r="AH63" s="199">
        <f t="shared" si="40"/>
        <v>4898506.67</v>
      </c>
      <c r="AI63" s="199">
        <f t="shared" si="40"/>
        <v>5102610.716</v>
      </c>
      <c r="AJ63" s="199">
        <f t="shared" si="40"/>
        <v>4637353.0812951084</v>
      </c>
      <c r="AK63" s="199">
        <f t="shared" si="40"/>
        <v>4575716.285915385</v>
      </c>
      <c r="AL63" s="199">
        <f t="shared" si="40"/>
        <v>4585302.8525065659</v>
      </c>
      <c r="AM63" s="199">
        <f t="shared" si="40"/>
        <v>4633470.5162538458</v>
      </c>
      <c r="AN63" s="199">
        <f t="shared" si="40"/>
        <v>5340815.1366469227</v>
      </c>
      <c r="AO63" s="204">
        <f>AN63/AJ63-1</f>
        <v>0.15169473685090917</v>
      </c>
      <c r="AP63" s="204">
        <f>AN63/AM63-1</f>
        <v>0.15265978663547508</v>
      </c>
    </row>
    <row r="65" spans="1:40" s="17" customFormat="1" ht="17.5" x14ac:dyDescent="0.35">
      <c r="A65" s="32"/>
      <c r="O65" s="18"/>
    </row>
    <row r="67" spans="1:40" s="17" customFormat="1" x14ac:dyDescent="0.35">
      <c r="A67" s="23"/>
      <c r="X67" s="23"/>
      <c r="Y67" s="23"/>
      <c r="Z67" s="23"/>
      <c r="AA67" s="23"/>
      <c r="AB67" s="23"/>
      <c r="AC67" s="23"/>
      <c r="AD67" s="23"/>
      <c r="AE67" s="23"/>
      <c r="AF67" s="23"/>
      <c r="AG67" s="23"/>
      <c r="AH67" s="23"/>
      <c r="AI67" s="23"/>
      <c r="AJ67" s="23"/>
      <c r="AK67" s="23"/>
      <c r="AL67" s="23"/>
      <c r="AM67" s="23"/>
      <c r="AN67" s="23"/>
    </row>
    <row r="68" spans="1:40" x14ac:dyDescent="0.35">
      <c r="Q68" s="40"/>
      <c r="R68" s="40"/>
      <c r="S68" s="40"/>
      <c r="T68" s="40"/>
      <c r="U68" s="40"/>
      <c r="V68" s="40"/>
      <c r="W68" s="40"/>
      <c r="X68" s="40"/>
      <c r="Y68" s="40"/>
      <c r="Z68" s="40"/>
      <c r="AA68" s="40"/>
      <c r="AB68" s="40"/>
      <c r="AC68" s="40"/>
      <c r="AD68" s="40"/>
      <c r="AE68" s="40"/>
      <c r="AF68" s="40"/>
      <c r="AG68" s="40"/>
      <c r="AH68" s="40"/>
      <c r="AI68" s="40"/>
      <c r="AJ68" s="40"/>
      <c r="AK68" s="40"/>
      <c r="AL68" s="40"/>
      <c r="AM68" s="40"/>
      <c r="AN68" s="40"/>
    </row>
    <row r="69" spans="1:40" x14ac:dyDescent="0.35">
      <c r="AE69" s="43"/>
      <c r="AF69" s="43"/>
      <c r="AG69" s="43"/>
      <c r="AH69" s="43"/>
      <c r="AI69" s="43"/>
      <c r="AJ69" s="43"/>
      <c r="AK69" s="43"/>
      <c r="AL69" s="43"/>
      <c r="AM69" s="43"/>
      <c r="AN69" s="43"/>
    </row>
    <row r="70" spans="1:40" x14ac:dyDescent="0.35">
      <c r="AE70" s="44"/>
      <c r="AF70" s="44"/>
      <c r="AG70" s="44"/>
      <c r="AH70" s="44"/>
      <c r="AI70" s="44"/>
      <c r="AJ70" s="44"/>
      <c r="AK70" s="44"/>
      <c r="AL70" s="44"/>
      <c r="AM70" s="44"/>
      <c r="AN70" s="44"/>
    </row>
    <row r="71" spans="1:40" x14ac:dyDescent="0.35">
      <c r="AE71" s="44"/>
      <c r="AF71" s="44"/>
      <c r="AG71" s="44"/>
      <c r="AH71" s="44"/>
      <c r="AI71" s="44"/>
      <c r="AJ71" s="44"/>
      <c r="AK71" s="44"/>
      <c r="AL71" s="44"/>
      <c r="AM71" s="44"/>
      <c r="AN71" s="44"/>
    </row>
  </sheetData>
  <phoneticPr fontId="9" type="noConversion"/>
  <pageMargins left="0.7" right="0.7" top="0.75" bottom="0.75" header="0.3" footer="0.3"/>
  <pageSetup paperSize="9" orientation="portrait" r:id="rId1"/>
  <cellWatches>
    <cellWatch r="Q6"/>
    <cellWatch r="R6"/>
    <cellWatch r="S6"/>
    <cellWatch r="T6"/>
    <cellWatch r="U6"/>
    <cellWatch r="V6"/>
    <cellWatch r="W6"/>
  </cellWatche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271A-5858-439A-BC1B-0B21963563B4}">
  <sheetPr codeName="Planilha4">
    <tabColor theme="4" tint="-0.249977111117893"/>
  </sheetPr>
  <dimension ref="B1:AL92"/>
  <sheetViews>
    <sheetView showGridLines="0" zoomScaleNormal="100" workbookViewId="0">
      <pane xSplit="3" ySplit="4" topLeftCell="I60" activePane="bottomRight" state="frozen"/>
      <selection pane="topRight" activeCell="D1" sqref="D1"/>
      <selection pane="bottomLeft" activeCell="A5" sqref="A5"/>
      <selection pane="bottomRight" activeCell="L85" sqref="L85"/>
    </sheetView>
  </sheetViews>
  <sheetFormatPr defaultRowHeight="14.5" outlineLevelRow="1" outlineLevelCol="1" x14ac:dyDescent="0.35"/>
  <cols>
    <col min="1" max="1" width="2.7265625" customWidth="1"/>
    <col min="2" max="2" width="54.453125" customWidth="1"/>
    <col min="3" max="3" width="47.26953125" hidden="1" customWidth="1" outlineLevel="1"/>
    <col min="4" max="4" width="8" customWidth="1" collapsed="1"/>
    <col min="5" max="12" width="11.54296875" customWidth="1" outlineLevel="1"/>
    <col min="13" max="13" width="2.7265625" customWidth="1" outlineLevel="1"/>
    <col min="14" max="14" width="2.7265625" customWidth="1"/>
    <col min="15" max="30" width="11.54296875" hidden="1" customWidth="1" outlineLevel="1"/>
    <col min="31" max="31" width="11.54296875" customWidth="1" collapsed="1"/>
    <col min="32" max="38" width="11.54296875" customWidth="1"/>
  </cols>
  <sheetData>
    <row r="1" spans="2:38" ht="12" customHeight="1" x14ac:dyDescent="0.35"/>
    <row r="2" spans="2:38" ht="21" x14ac:dyDescent="0.35">
      <c r="B2" s="7" t="s">
        <v>41</v>
      </c>
      <c r="C2" s="7" t="s">
        <v>214</v>
      </c>
      <c r="D2" s="6"/>
      <c r="E2" s="6"/>
      <c r="F2" s="6"/>
      <c r="G2" s="6"/>
      <c r="H2" s="6"/>
      <c r="I2" s="6"/>
      <c r="J2" s="6"/>
      <c r="K2" s="6"/>
      <c r="L2" s="6"/>
      <c r="M2" s="6"/>
      <c r="N2" s="6"/>
      <c r="O2" s="6"/>
      <c r="P2" s="6"/>
      <c r="Q2" s="6"/>
      <c r="R2" s="6"/>
      <c r="S2" s="6"/>
      <c r="T2" s="6"/>
      <c r="U2" s="6"/>
      <c r="V2" s="6"/>
      <c r="W2" s="31"/>
      <c r="X2" s="31"/>
      <c r="Y2" s="31"/>
      <c r="Z2" s="31"/>
      <c r="AA2" s="31"/>
      <c r="AB2" s="31"/>
      <c r="AC2" s="31"/>
      <c r="AD2" s="31"/>
      <c r="AE2" s="31"/>
      <c r="AF2" s="31"/>
      <c r="AG2" s="31"/>
      <c r="AH2" s="31"/>
      <c r="AI2" s="31"/>
      <c r="AJ2" s="31"/>
      <c r="AK2" s="31"/>
      <c r="AL2" s="31"/>
    </row>
    <row r="3" spans="2:38" ht="12" customHeight="1" x14ac:dyDescent="0.5">
      <c r="B3" s="1"/>
      <c r="C3" s="1"/>
      <c r="O3" s="10" t="s">
        <v>298</v>
      </c>
      <c r="P3" s="10" t="s">
        <v>299</v>
      </c>
      <c r="Q3" s="10" t="s">
        <v>300</v>
      </c>
      <c r="R3" s="10" t="s">
        <v>301</v>
      </c>
      <c r="S3" s="10" t="s">
        <v>302</v>
      </c>
      <c r="T3" s="10" t="s">
        <v>303</v>
      </c>
      <c r="U3" s="10" t="s">
        <v>304</v>
      </c>
      <c r="V3" s="10" t="s">
        <v>305</v>
      </c>
      <c r="W3" s="10" t="s">
        <v>306</v>
      </c>
      <c r="X3" s="10" t="s">
        <v>307</v>
      </c>
      <c r="Y3" s="10" t="s">
        <v>308</v>
      </c>
      <c r="Z3" s="10" t="s">
        <v>309</v>
      </c>
      <c r="AA3" s="10" t="s">
        <v>335</v>
      </c>
      <c r="AB3" s="10" t="s">
        <v>349</v>
      </c>
      <c r="AC3" s="10" t="s">
        <v>355</v>
      </c>
      <c r="AD3" s="10" t="s">
        <v>362</v>
      </c>
      <c r="AE3" s="10" t="s">
        <v>375</v>
      </c>
      <c r="AF3" s="10" t="s">
        <v>390</v>
      </c>
      <c r="AG3" s="10" t="s">
        <v>392</v>
      </c>
      <c r="AH3" s="10" t="s">
        <v>403</v>
      </c>
      <c r="AI3" s="10" t="s">
        <v>410</v>
      </c>
      <c r="AJ3" s="10" t="s">
        <v>416</v>
      </c>
      <c r="AK3" s="10" t="s">
        <v>481</v>
      </c>
      <c r="AL3" s="10" t="s">
        <v>523</v>
      </c>
    </row>
    <row r="4" spans="2:38" x14ac:dyDescent="0.35">
      <c r="B4" s="186" t="s">
        <v>0</v>
      </c>
      <c r="C4" s="186" t="s">
        <v>158</v>
      </c>
      <c r="D4" s="187"/>
      <c r="E4" s="188">
        <v>2018</v>
      </c>
      <c r="F4" s="188">
        <v>2019</v>
      </c>
      <c r="G4" s="188">
        <v>2020</v>
      </c>
      <c r="H4" s="189">
        <v>2021</v>
      </c>
      <c r="I4" s="189">
        <v>2022</v>
      </c>
      <c r="J4" s="189">
        <v>2023</v>
      </c>
      <c r="K4" s="189">
        <v>2024</v>
      </c>
      <c r="L4" s="189">
        <v>2025</v>
      </c>
      <c r="M4" s="190"/>
      <c r="N4" s="58"/>
      <c r="O4" s="188" t="s">
        <v>83</v>
      </c>
      <c r="P4" s="188" t="s">
        <v>84</v>
      </c>
      <c r="Q4" s="188" t="s">
        <v>92</v>
      </c>
      <c r="R4" s="188" t="s">
        <v>93</v>
      </c>
      <c r="S4" s="188" t="s">
        <v>1</v>
      </c>
      <c r="T4" s="188" t="s">
        <v>2</v>
      </c>
      <c r="U4" s="188" t="s">
        <v>94</v>
      </c>
      <c r="V4" s="188" t="s">
        <v>138</v>
      </c>
      <c r="W4" s="188" t="s">
        <v>151</v>
      </c>
      <c r="X4" s="188" t="s">
        <v>178</v>
      </c>
      <c r="Y4" s="188" t="s">
        <v>297</v>
      </c>
      <c r="Z4" s="188" t="s">
        <v>310</v>
      </c>
      <c r="AA4" s="188" t="s">
        <v>336</v>
      </c>
      <c r="AB4" s="188" t="s">
        <v>350</v>
      </c>
      <c r="AC4" s="188" t="s">
        <v>356</v>
      </c>
      <c r="AD4" s="188" t="s">
        <v>363</v>
      </c>
      <c r="AE4" s="188" t="s">
        <v>376</v>
      </c>
      <c r="AF4" s="188" t="s">
        <v>391</v>
      </c>
      <c r="AG4" s="188" t="s">
        <v>393</v>
      </c>
      <c r="AH4" s="188" t="s">
        <v>404</v>
      </c>
      <c r="AI4" s="188" t="s">
        <v>411</v>
      </c>
      <c r="AJ4" s="188" t="s">
        <v>417</v>
      </c>
      <c r="AK4" s="188" t="s">
        <v>480</v>
      </c>
      <c r="AL4" s="188" t="s">
        <v>522</v>
      </c>
    </row>
    <row r="5" spans="2:38" ht="6" customHeight="1" x14ac:dyDescent="0.35">
      <c r="B5" s="72"/>
      <c r="C5" s="72"/>
      <c r="D5" s="72"/>
      <c r="E5" s="72"/>
      <c r="F5" s="72"/>
      <c r="G5" s="72"/>
      <c r="H5" s="72"/>
      <c r="I5" s="72"/>
      <c r="J5" s="72"/>
      <c r="K5" s="72"/>
      <c r="L5" s="72"/>
      <c r="M5" s="191"/>
      <c r="N5" s="72"/>
      <c r="O5" s="72"/>
      <c r="P5" s="72"/>
      <c r="Q5" s="72"/>
      <c r="R5" s="72"/>
      <c r="S5" s="72"/>
      <c r="T5" s="72"/>
      <c r="U5" s="72"/>
      <c r="V5" s="72"/>
      <c r="W5" s="72"/>
      <c r="X5" s="72"/>
      <c r="Y5" s="72"/>
      <c r="Z5" s="72"/>
      <c r="AA5" s="72"/>
      <c r="AB5" s="72"/>
      <c r="AC5" s="72"/>
      <c r="AD5" s="72"/>
      <c r="AE5" s="72"/>
      <c r="AF5" s="72"/>
      <c r="AG5" s="72"/>
      <c r="AH5" s="72"/>
      <c r="AI5" s="72"/>
      <c r="AJ5" s="72"/>
      <c r="AK5" s="72"/>
      <c r="AL5" s="72"/>
    </row>
    <row r="6" spans="2:38" s="17" customFormat="1" x14ac:dyDescent="0.35">
      <c r="B6" s="73" t="s">
        <v>42</v>
      </c>
      <c r="C6" s="73" t="s">
        <v>215</v>
      </c>
      <c r="D6" s="58"/>
      <c r="E6" s="55">
        <v>9652</v>
      </c>
      <c r="F6" s="55">
        <v>15088</v>
      </c>
      <c r="G6" s="55">
        <v>24479</v>
      </c>
      <c r="H6" s="55">
        <v>89589</v>
      </c>
      <c r="I6" s="55">
        <v>167991</v>
      </c>
      <c r="J6" s="55">
        <v>198835.19999999998</v>
      </c>
      <c r="K6" s="55">
        <f>SUM(AE6:AH6)</f>
        <v>225843.09831999993</v>
      </c>
      <c r="L6" s="55">
        <f>'DRE - Income Statement'!L34</f>
        <v>46625.327000000398</v>
      </c>
      <c r="M6" s="191"/>
      <c r="N6" s="72"/>
      <c r="O6" s="55">
        <v>4926</v>
      </c>
      <c r="P6" s="55">
        <v>5209</v>
      </c>
      <c r="Q6" s="55">
        <v>6320.1579099999999</v>
      </c>
      <c r="R6" s="55">
        <v>8023.8420899999983</v>
      </c>
      <c r="S6" s="55">
        <v>11978</v>
      </c>
      <c r="T6" s="55">
        <v>17251</v>
      </c>
      <c r="U6" s="55">
        <v>20929</v>
      </c>
      <c r="V6" s="55">
        <v>39431</v>
      </c>
      <c r="W6" s="55">
        <v>36817</v>
      </c>
      <c r="X6" s="55">
        <v>40546</v>
      </c>
      <c r="Y6" s="55">
        <v>50675</v>
      </c>
      <c r="Z6" s="55">
        <v>39953</v>
      </c>
      <c r="AA6" s="55">
        <v>30732</v>
      </c>
      <c r="AB6" s="55">
        <v>47725</v>
      </c>
      <c r="AC6" s="55">
        <v>62951.599999999977</v>
      </c>
      <c r="AD6" s="55">
        <v>57426.599999999977</v>
      </c>
      <c r="AE6" s="55">
        <v>68149</v>
      </c>
      <c r="AF6" s="55">
        <v>64716.917000000147</v>
      </c>
      <c r="AG6" s="55">
        <v>74430.476999999781</v>
      </c>
      <c r="AH6" s="55">
        <v>18546.704320000004</v>
      </c>
      <c r="AI6" s="55">
        <f>'DRE - Income Statement'!AK34</f>
        <v>7258.2634100000905</v>
      </c>
      <c r="AJ6" s="55">
        <f>'DRE - Income Statement'!AL34</f>
        <v>-17663.01893048354</v>
      </c>
      <c r="AK6" s="55">
        <f>'DRE - Income Statement'!AM34</f>
        <v>50090.570792999977</v>
      </c>
      <c r="AL6" s="54">
        <v>6939.4101300002803</v>
      </c>
    </row>
    <row r="7" spans="2:38" x14ac:dyDescent="0.35">
      <c r="B7" s="72"/>
      <c r="C7" s="72"/>
      <c r="D7" s="72"/>
      <c r="E7" s="72"/>
      <c r="F7" s="72"/>
      <c r="G7" s="72"/>
      <c r="H7" s="72"/>
      <c r="I7" s="72"/>
      <c r="J7" s="72"/>
      <c r="K7" s="72"/>
      <c r="L7" s="72"/>
      <c r="M7" s="191"/>
      <c r="N7" s="72"/>
      <c r="O7" s="72"/>
      <c r="P7" s="72"/>
      <c r="Q7" s="72"/>
      <c r="R7" s="72"/>
      <c r="S7" s="72"/>
      <c r="T7" s="72"/>
      <c r="U7" s="72"/>
      <c r="V7" s="72"/>
      <c r="W7" s="72"/>
      <c r="X7" s="72"/>
      <c r="Y7" s="72"/>
      <c r="Z7" s="72"/>
      <c r="AA7" s="72"/>
      <c r="AB7" s="72"/>
      <c r="AC7" s="72"/>
      <c r="AD7" s="72"/>
      <c r="AE7" s="72"/>
      <c r="AF7" s="72"/>
      <c r="AG7" s="72"/>
      <c r="AH7" s="72"/>
      <c r="AI7" s="72"/>
      <c r="AJ7" s="72"/>
      <c r="AK7" s="72"/>
      <c r="AL7" s="72"/>
    </row>
    <row r="8" spans="2:38" ht="15" customHeight="1" x14ac:dyDescent="0.35">
      <c r="B8" s="192" t="s">
        <v>43</v>
      </c>
      <c r="C8" s="192" t="s">
        <v>216</v>
      </c>
      <c r="D8" s="72"/>
      <c r="E8" s="72"/>
      <c r="F8" s="72"/>
      <c r="G8" s="72"/>
      <c r="H8" s="72"/>
      <c r="I8" s="72"/>
      <c r="J8" s="72"/>
      <c r="K8" s="72"/>
      <c r="L8" s="72"/>
      <c r="M8" s="191"/>
      <c r="N8" s="72"/>
      <c r="O8" s="72"/>
      <c r="P8" s="72"/>
      <c r="Q8" s="72"/>
      <c r="R8" s="72"/>
      <c r="S8" s="72"/>
      <c r="T8" s="72"/>
      <c r="U8" s="72"/>
      <c r="V8" s="72"/>
      <c r="W8" s="72"/>
      <c r="X8" s="72"/>
      <c r="Y8" s="72"/>
      <c r="Z8" s="72"/>
      <c r="AA8" s="72"/>
      <c r="AB8" s="72"/>
      <c r="AC8" s="72"/>
      <c r="AD8" s="72"/>
      <c r="AE8" s="72"/>
      <c r="AF8" s="72"/>
      <c r="AG8" s="72"/>
      <c r="AH8" s="72"/>
      <c r="AI8" s="72"/>
      <c r="AJ8" s="72"/>
      <c r="AK8" s="72"/>
      <c r="AL8" s="72"/>
    </row>
    <row r="9" spans="2:38" s="17" customFormat="1" ht="15" customHeight="1" x14ac:dyDescent="0.35">
      <c r="B9" s="193" t="s">
        <v>44</v>
      </c>
      <c r="C9" s="193" t="s">
        <v>217</v>
      </c>
      <c r="D9" s="72"/>
      <c r="E9" s="54">
        <v>4557</v>
      </c>
      <c r="F9" s="54">
        <v>7001</v>
      </c>
      <c r="G9" s="54">
        <v>16130</v>
      </c>
      <c r="H9" s="54">
        <v>54614</v>
      </c>
      <c r="I9" s="54">
        <v>137166</v>
      </c>
      <c r="J9" s="54">
        <v>185652</v>
      </c>
      <c r="K9" s="54">
        <f t="shared" ref="K9:K76" si="0">SUM(AE9:AH9)</f>
        <v>203479.147</v>
      </c>
      <c r="L9" s="54">
        <v>240443.47987074617</v>
      </c>
      <c r="M9" s="191"/>
      <c r="N9" s="72"/>
      <c r="O9" s="54">
        <v>2383</v>
      </c>
      <c r="P9" s="54">
        <v>3071</v>
      </c>
      <c r="Q9" s="54">
        <v>3319</v>
      </c>
      <c r="R9" s="54">
        <v>7357</v>
      </c>
      <c r="S9" s="54">
        <v>8083</v>
      </c>
      <c r="T9" s="54">
        <v>11084</v>
      </c>
      <c r="U9" s="54">
        <v>11751</v>
      </c>
      <c r="V9" s="54">
        <v>23696</v>
      </c>
      <c r="W9" s="54">
        <v>27027</v>
      </c>
      <c r="X9" s="54">
        <v>31014</v>
      </c>
      <c r="Y9" s="54">
        <v>36067</v>
      </c>
      <c r="Z9" s="54">
        <v>43058</v>
      </c>
      <c r="AA9" s="54">
        <v>41718</v>
      </c>
      <c r="AB9" s="54">
        <v>43989</v>
      </c>
      <c r="AC9" s="54">
        <v>47879</v>
      </c>
      <c r="AD9" s="54">
        <v>52066</v>
      </c>
      <c r="AE9" s="54">
        <v>44249.999999999993</v>
      </c>
      <c r="AF9" s="54">
        <v>35248</v>
      </c>
      <c r="AG9" s="54">
        <v>42512</v>
      </c>
      <c r="AH9" s="54">
        <v>81469.146999999997</v>
      </c>
      <c r="AI9" s="54">
        <v>56326</v>
      </c>
      <c r="AJ9" s="54">
        <v>59152.963000000003</v>
      </c>
      <c r="AK9" s="54">
        <v>58043.036999999997</v>
      </c>
      <c r="AL9" s="54">
        <v>66921.479870746189</v>
      </c>
    </row>
    <row r="10" spans="2:38" s="17" customFormat="1" ht="15" customHeight="1" x14ac:dyDescent="0.35">
      <c r="B10" s="193" t="s">
        <v>490</v>
      </c>
      <c r="C10" s="193" t="s">
        <v>491</v>
      </c>
      <c r="D10" s="72"/>
      <c r="E10" s="54"/>
      <c r="F10" s="54"/>
      <c r="G10" s="54"/>
      <c r="H10" s="54"/>
      <c r="I10" s="54"/>
      <c r="J10" s="54"/>
      <c r="K10" s="54"/>
      <c r="L10" s="54">
        <v>-15554</v>
      </c>
      <c r="M10" s="191"/>
      <c r="N10" s="72"/>
      <c r="O10" s="54"/>
      <c r="P10" s="54"/>
      <c r="Q10" s="54"/>
      <c r="R10" s="54"/>
      <c r="S10" s="54"/>
      <c r="T10" s="54"/>
      <c r="U10" s="54"/>
      <c r="V10" s="54"/>
      <c r="W10" s="54"/>
      <c r="X10" s="54"/>
      <c r="Y10" s="54"/>
      <c r="Z10" s="54"/>
      <c r="AA10" s="54"/>
      <c r="AB10" s="54"/>
      <c r="AC10" s="54"/>
      <c r="AD10" s="54"/>
      <c r="AE10" s="54"/>
      <c r="AF10" s="54"/>
      <c r="AG10" s="54"/>
      <c r="AH10" s="54"/>
      <c r="AI10" s="54">
        <v>-6133.5805499999988</v>
      </c>
      <c r="AJ10" s="54">
        <v>-3508.4194500000012</v>
      </c>
      <c r="AK10" s="54">
        <v>-7858.0000000000146</v>
      </c>
      <c r="AL10" s="54">
        <v>1946.0000000000146</v>
      </c>
    </row>
    <row r="11" spans="2:38" s="17" customFormat="1" ht="15" customHeight="1" x14ac:dyDescent="0.35">
      <c r="B11" s="193" t="s">
        <v>97</v>
      </c>
      <c r="C11" s="193" t="s">
        <v>318</v>
      </c>
      <c r="D11" s="72"/>
      <c r="E11" s="54">
        <v>0</v>
      </c>
      <c r="F11" s="54">
        <v>0</v>
      </c>
      <c r="G11" s="54">
        <v>0</v>
      </c>
      <c r="H11" s="54">
        <v>7480</v>
      </c>
      <c r="I11" s="54">
        <v>37613</v>
      </c>
      <c r="J11" s="54">
        <v>81661</v>
      </c>
      <c r="K11" s="54">
        <f>SUM(AE11:AH11)</f>
        <v>115780.37611999999</v>
      </c>
      <c r="L11" s="54">
        <v>0</v>
      </c>
      <c r="M11" s="191"/>
      <c r="N11" s="72"/>
      <c r="O11" s="54">
        <v>0</v>
      </c>
      <c r="P11" s="54">
        <v>0</v>
      </c>
      <c r="Q11" s="54">
        <v>0</v>
      </c>
      <c r="R11" s="54">
        <v>0</v>
      </c>
      <c r="S11" s="54">
        <v>0</v>
      </c>
      <c r="T11" s="54">
        <v>0</v>
      </c>
      <c r="U11" s="54">
        <v>2548</v>
      </c>
      <c r="V11" s="54">
        <v>4932</v>
      </c>
      <c r="W11" s="54">
        <v>7453</v>
      </c>
      <c r="X11" s="54">
        <v>8596</v>
      </c>
      <c r="Y11" s="54">
        <v>14729</v>
      </c>
      <c r="Z11" s="54">
        <v>6835</v>
      </c>
      <c r="AA11" s="54">
        <v>25956</v>
      </c>
      <c r="AB11" s="54">
        <v>13556</v>
      </c>
      <c r="AC11" s="54">
        <v>14841</v>
      </c>
      <c r="AD11" s="54">
        <v>27308</v>
      </c>
      <c r="AE11" s="54">
        <v>20325</v>
      </c>
      <c r="AF11" s="54">
        <v>16054</v>
      </c>
      <c r="AG11" s="54">
        <v>40620.756399999897</v>
      </c>
      <c r="AH11" s="54">
        <v>38780.61972000009</v>
      </c>
      <c r="AI11" s="54">
        <v>0</v>
      </c>
      <c r="AJ11" s="54">
        <v>0</v>
      </c>
      <c r="AK11" s="54">
        <v>0</v>
      </c>
      <c r="AL11" s="54">
        <v>0</v>
      </c>
    </row>
    <row r="12" spans="2:38" s="17" customFormat="1" ht="15" customHeight="1" x14ac:dyDescent="0.35">
      <c r="B12" s="193" t="s">
        <v>291</v>
      </c>
      <c r="C12" s="193" t="s">
        <v>295</v>
      </c>
      <c r="D12" s="72"/>
      <c r="E12" s="54"/>
      <c r="F12" s="54"/>
      <c r="G12" s="54"/>
      <c r="H12" s="54"/>
      <c r="I12" s="54">
        <v>4814</v>
      </c>
      <c r="J12" s="54">
        <v>4841</v>
      </c>
      <c r="K12" s="54">
        <f>SUM(AE12:AH12)</f>
        <v>2191.5420340507926</v>
      </c>
      <c r="L12" s="54">
        <v>-2537.8634000000011</v>
      </c>
      <c r="M12" s="191"/>
      <c r="N12" s="72"/>
      <c r="O12" s="54"/>
      <c r="P12" s="54"/>
      <c r="Q12" s="54"/>
      <c r="R12" s="54"/>
      <c r="S12" s="54"/>
      <c r="T12" s="54"/>
      <c r="U12" s="54"/>
      <c r="V12" s="54"/>
      <c r="W12" s="54"/>
      <c r="X12" s="54">
        <v>1563</v>
      </c>
      <c r="Y12" s="54">
        <v>787</v>
      </c>
      <c r="Z12" s="54">
        <v>2464</v>
      </c>
      <c r="AA12" s="54">
        <v>2217</v>
      </c>
      <c r="AB12" s="54">
        <v>0</v>
      </c>
      <c r="AC12" s="54">
        <v>-1160</v>
      </c>
      <c r="AD12" s="54">
        <v>1387</v>
      </c>
      <c r="AE12" s="54">
        <v>826</v>
      </c>
      <c r="AF12" s="54">
        <v>1581.1153477958046</v>
      </c>
      <c r="AG12" s="54">
        <v>897.35230824841756</v>
      </c>
      <c r="AH12" s="54">
        <v>-1112.9256219934296</v>
      </c>
      <c r="AI12" s="54">
        <v>-5253.4671649885659</v>
      </c>
      <c r="AJ12" s="54">
        <v>179.79904183635335</v>
      </c>
      <c r="AK12" s="54">
        <v>-180.3318768477875</v>
      </c>
      <c r="AL12" s="54">
        <v>2716.1365999999989</v>
      </c>
    </row>
    <row r="13" spans="2:38" s="17" customFormat="1" ht="15" customHeight="1" x14ac:dyDescent="0.35">
      <c r="B13" s="193" t="s">
        <v>488</v>
      </c>
      <c r="C13" s="193" t="s">
        <v>222</v>
      </c>
      <c r="D13" s="72"/>
      <c r="E13" s="54">
        <v>0</v>
      </c>
      <c r="F13" s="54">
        <v>397</v>
      </c>
      <c r="G13" s="54">
        <v>280</v>
      </c>
      <c r="H13" s="54">
        <v>666</v>
      </c>
      <c r="I13" s="54">
        <v>5266</v>
      </c>
      <c r="J13" s="54">
        <v>10873</v>
      </c>
      <c r="K13" s="54">
        <f>SUM(AE13:AH13)</f>
        <v>10533.88085</v>
      </c>
      <c r="L13" s="54">
        <v>13674.5</v>
      </c>
      <c r="M13" s="191"/>
      <c r="N13" s="72"/>
      <c r="O13" s="54">
        <v>206</v>
      </c>
      <c r="P13" s="54">
        <v>296</v>
      </c>
      <c r="Q13" s="54">
        <v>0</v>
      </c>
      <c r="R13" s="54">
        <v>-222</v>
      </c>
      <c r="S13" s="54">
        <v>140</v>
      </c>
      <c r="T13" s="54">
        <v>871</v>
      </c>
      <c r="U13" s="54">
        <v>0</v>
      </c>
      <c r="V13" s="54">
        <v>-345</v>
      </c>
      <c r="W13" s="54">
        <v>0</v>
      </c>
      <c r="X13" s="54">
        <v>3647</v>
      </c>
      <c r="Y13" s="54">
        <v>717</v>
      </c>
      <c r="Z13" s="54">
        <v>902</v>
      </c>
      <c r="AA13" s="54">
        <v>1881</v>
      </c>
      <c r="AB13" s="54">
        <v>1667</v>
      </c>
      <c r="AC13" s="54">
        <v>3050</v>
      </c>
      <c r="AD13" s="54">
        <v>4275</v>
      </c>
      <c r="AE13" s="54">
        <v>3179.6181699999997</v>
      </c>
      <c r="AF13" s="54">
        <v>3101.5378999999994</v>
      </c>
      <c r="AG13" s="54">
        <v>2345.8734600000007</v>
      </c>
      <c r="AH13" s="54">
        <v>1906.8513199999998</v>
      </c>
      <c r="AI13" s="54">
        <v>8143.6759600000005</v>
      </c>
      <c r="AJ13" s="54">
        <v>2540.2240399999991</v>
      </c>
      <c r="AK13" s="54">
        <v>1975.6000000000004</v>
      </c>
      <c r="AL13" s="54">
        <v>1015</v>
      </c>
    </row>
    <row r="14" spans="2:38" s="17" customFormat="1" ht="15" customHeight="1" x14ac:dyDescent="0.35">
      <c r="B14" s="193" t="s">
        <v>49</v>
      </c>
      <c r="C14" s="193" t="s">
        <v>225</v>
      </c>
      <c r="D14" s="72"/>
      <c r="E14" s="54">
        <v>0</v>
      </c>
      <c r="F14" s="54">
        <v>0</v>
      </c>
      <c r="G14" s="54">
        <v>268</v>
      </c>
      <c r="H14" s="54">
        <v>1601</v>
      </c>
      <c r="I14" s="54">
        <v>5776</v>
      </c>
      <c r="J14" s="54">
        <v>10339</v>
      </c>
      <c r="K14" s="54">
        <f>SUM(AE14:AH14)</f>
        <v>11805.72922196634</v>
      </c>
      <c r="L14" s="54">
        <v>14350.752530827347</v>
      </c>
      <c r="M14" s="191"/>
      <c r="N14" s="72"/>
      <c r="O14" s="54">
        <v>16</v>
      </c>
      <c r="P14" s="54">
        <v>25</v>
      </c>
      <c r="Q14" s="54">
        <v>39</v>
      </c>
      <c r="R14" s="54">
        <v>188</v>
      </c>
      <c r="S14" s="54">
        <v>242</v>
      </c>
      <c r="T14" s="54">
        <v>292</v>
      </c>
      <c r="U14" s="54">
        <v>417</v>
      </c>
      <c r="V14" s="54">
        <v>650</v>
      </c>
      <c r="W14" s="54">
        <v>838.56727932074841</v>
      </c>
      <c r="X14" s="54">
        <v>857.43272067925159</v>
      </c>
      <c r="Y14" s="54">
        <v>1618.0000000000002</v>
      </c>
      <c r="Z14" s="54">
        <v>2462</v>
      </c>
      <c r="AA14" s="54">
        <v>2452.62208931856</v>
      </c>
      <c r="AB14" s="54">
        <v>2535.5818770075703</v>
      </c>
      <c r="AC14" s="54">
        <v>4565.6655024049005</v>
      </c>
      <c r="AD14" s="54">
        <v>785.13053126896921</v>
      </c>
      <c r="AE14" s="54">
        <v>2685.1</v>
      </c>
      <c r="AF14" s="54">
        <v>2908.1792842246205</v>
      </c>
      <c r="AG14" s="54">
        <v>2821.9906992603001</v>
      </c>
      <c r="AH14" s="54">
        <v>3390.4592384814214</v>
      </c>
      <c r="AI14" s="54">
        <v>3014.2035205606717</v>
      </c>
      <c r="AJ14" s="54">
        <v>3475.5899763263378</v>
      </c>
      <c r="AK14" s="54">
        <v>3786.9748387204172</v>
      </c>
      <c r="AL14" s="54">
        <v>4073.9841952199213</v>
      </c>
    </row>
    <row r="15" spans="2:38" s="17" customFormat="1" ht="15" customHeight="1" x14ac:dyDescent="0.35">
      <c r="B15" s="193" t="s">
        <v>338</v>
      </c>
      <c r="C15" s="193" t="s">
        <v>223</v>
      </c>
      <c r="D15" s="72"/>
      <c r="E15" s="54">
        <v>0</v>
      </c>
      <c r="F15" s="54">
        <v>0</v>
      </c>
      <c r="G15" s="54">
        <v>0</v>
      </c>
      <c r="H15" s="54">
        <v>1337</v>
      </c>
      <c r="I15" s="54">
        <v>3639</v>
      </c>
      <c r="J15" s="54">
        <v>2230.9250000000002</v>
      </c>
      <c r="K15" s="54">
        <f>SUM(AE15:AH15)</f>
        <v>3720.9201297696081</v>
      </c>
      <c r="L15" s="54">
        <v>6112.7791500000003</v>
      </c>
      <c r="M15" s="191"/>
      <c r="N15" s="72"/>
      <c r="O15" s="54">
        <v>0</v>
      </c>
      <c r="P15" s="54">
        <v>0</v>
      </c>
      <c r="Q15" s="54">
        <v>0</v>
      </c>
      <c r="R15" s="54">
        <v>0</v>
      </c>
      <c r="S15" s="54">
        <v>0</v>
      </c>
      <c r="T15" s="54">
        <v>0</v>
      </c>
      <c r="U15" s="54">
        <v>0</v>
      </c>
      <c r="V15" s="54">
        <v>1337</v>
      </c>
      <c r="W15" s="54">
        <v>1813</v>
      </c>
      <c r="X15" s="54">
        <v>506</v>
      </c>
      <c r="Y15" s="54">
        <v>-4765</v>
      </c>
      <c r="Z15" s="54">
        <v>6085</v>
      </c>
      <c r="AA15" s="54">
        <v>577</v>
      </c>
      <c r="AB15" s="54">
        <v>575</v>
      </c>
      <c r="AC15" s="54">
        <v>580</v>
      </c>
      <c r="AD15" s="54">
        <v>498.92500000000018</v>
      </c>
      <c r="AE15" s="54">
        <v>473.9999999999992</v>
      </c>
      <c r="AF15" s="54">
        <v>481.00000000000057</v>
      </c>
      <c r="AG15" s="54">
        <v>1421.1901799999996</v>
      </c>
      <c r="AH15" s="54">
        <v>1344.7299497696085</v>
      </c>
      <c r="AI15" s="54">
        <v>1483.1154999999999</v>
      </c>
      <c r="AJ15" s="54">
        <v>1514.8845000000001</v>
      </c>
      <c r="AK15" s="54">
        <v>1504.6318855000009</v>
      </c>
      <c r="AL15" s="54">
        <v>1610.1472644999994</v>
      </c>
    </row>
    <row r="16" spans="2:38" s="17" customFormat="1" ht="15" customHeight="1" x14ac:dyDescent="0.35">
      <c r="B16" s="193" t="s">
        <v>487</v>
      </c>
      <c r="C16" s="193" t="s">
        <v>508</v>
      </c>
      <c r="D16" s="72"/>
      <c r="E16" s="54"/>
      <c r="F16" s="54"/>
      <c r="G16" s="54"/>
      <c r="H16" s="54"/>
      <c r="I16" s="54"/>
      <c r="J16" s="54"/>
      <c r="K16" s="54"/>
      <c r="L16" s="54">
        <v>-12929</v>
      </c>
      <c r="M16" s="191"/>
      <c r="N16" s="72"/>
      <c r="O16" s="54"/>
      <c r="P16" s="54"/>
      <c r="Q16" s="54"/>
      <c r="R16" s="54"/>
      <c r="S16" s="54"/>
      <c r="T16" s="54"/>
      <c r="U16" s="54"/>
      <c r="V16" s="54"/>
      <c r="W16" s="54"/>
      <c r="X16" s="54"/>
      <c r="Y16" s="54"/>
      <c r="Z16" s="54"/>
      <c r="AA16" s="54"/>
      <c r="AB16" s="54"/>
      <c r="AC16" s="54"/>
      <c r="AD16" s="54"/>
      <c r="AE16" s="54"/>
      <c r="AF16" s="54"/>
      <c r="AG16" s="54"/>
      <c r="AH16" s="54"/>
      <c r="AI16" s="54">
        <v>444.71105999999997</v>
      </c>
      <c r="AJ16" s="54">
        <v>454.83378000000005</v>
      </c>
      <c r="AK16" s="54">
        <v>497.15298000000007</v>
      </c>
      <c r="AL16" s="54">
        <v>-14325.697820000001</v>
      </c>
    </row>
    <row r="17" spans="2:38" s="17" customFormat="1" ht="15" customHeight="1" x14ac:dyDescent="0.35">
      <c r="B17" s="193" t="s">
        <v>484</v>
      </c>
      <c r="C17" s="193" t="s">
        <v>507</v>
      </c>
      <c r="D17" s="72"/>
      <c r="E17" s="54"/>
      <c r="F17" s="54"/>
      <c r="G17" s="54"/>
      <c r="H17" s="54"/>
      <c r="I17" s="54"/>
      <c r="J17" s="54"/>
      <c r="K17" s="54"/>
      <c r="L17" s="54">
        <v>-3173</v>
      </c>
      <c r="M17" s="191"/>
      <c r="N17" s="72"/>
      <c r="O17" s="54"/>
      <c r="P17" s="54"/>
      <c r="Q17" s="54"/>
      <c r="R17" s="54"/>
      <c r="S17" s="54"/>
      <c r="T17" s="54"/>
      <c r="U17" s="54"/>
      <c r="V17" s="54"/>
      <c r="W17" s="54"/>
      <c r="X17" s="54"/>
      <c r="Y17" s="54"/>
      <c r="Z17" s="54"/>
      <c r="AA17" s="54"/>
      <c r="AB17" s="54"/>
      <c r="AC17" s="54"/>
      <c r="AD17" s="54"/>
      <c r="AE17" s="54"/>
      <c r="AF17" s="54"/>
      <c r="AG17" s="54"/>
      <c r="AH17" s="54"/>
      <c r="AI17" s="54"/>
      <c r="AJ17" s="54"/>
      <c r="AK17" s="54">
        <v>2819</v>
      </c>
      <c r="AL17" s="54">
        <v>-5992</v>
      </c>
    </row>
    <row r="18" spans="2:38" s="17" customFormat="1" ht="15" customHeight="1" x14ac:dyDescent="0.35">
      <c r="B18" s="193" t="s">
        <v>489</v>
      </c>
      <c r="C18" s="193" t="s">
        <v>509</v>
      </c>
      <c r="D18" s="72"/>
      <c r="E18" s="54"/>
      <c r="F18" s="54"/>
      <c r="G18" s="54"/>
      <c r="H18" s="54"/>
      <c r="I18" s="54"/>
      <c r="J18" s="54"/>
      <c r="K18" s="54"/>
      <c r="L18" s="54">
        <v>-15206.48633</v>
      </c>
      <c r="M18" s="191"/>
      <c r="N18" s="72"/>
      <c r="O18" s="54"/>
      <c r="P18" s="54"/>
      <c r="Q18" s="54"/>
      <c r="R18" s="54"/>
      <c r="S18" s="54"/>
      <c r="T18" s="54"/>
      <c r="U18" s="54"/>
      <c r="V18" s="54"/>
      <c r="W18" s="54"/>
      <c r="X18" s="54"/>
      <c r="Y18" s="54"/>
      <c r="Z18" s="54"/>
      <c r="AA18" s="54"/>
      <c r="AB18" s="54"/>
      <c r="AC18" s="54"/>
      <c r="AD18" s="54"/>
      <c r="AE18" s="54"/>
      <c r="AF18" s="54"/>
      <c r="AG18" s="54"/>
      <c r="AH18" s="54"/>
      <c r="AI18" s="54">
        <v>2421.17344</v>
      </c>
      <c r="AJ18" s="54">
        <v>2614.00848</v>
      </c>
      <c r="AK18" s="54">
        <v>-21571.522979999998</v>
      </c>
      <c r="AL18" s="54">
        <v>1329.8547299999982</v>
      </c>
    </row>
    <row r="19" spans="2:38" s="17" customFormat="1" ht="15" customHeight="1" x14ac:dyDescent="0.35">
      <c r="B19" s="193" t="s">
        <v>339</v>
      </c>
      <c r="C19" s="193" t="s">
        <v>345</v>
      </c>
      <c r="D19" s="72"/>
      <c r="E19" s="54"/>
      <c r="F19" s="54"/>
      <c r="G19" s="54"/>
      <c r="H19" s="54"/>
      <c r="I19" s="54"/>
      <c r="J19" s="54">
        <v>33165.284624854379</v>
      </c>
      <c r="K19" s="54">
        <f>SUM(AE19:AH19)</f>
        <v>46331.38175</v>
      </c>
      <c r="L19" s="54">
        <v>42250.989479999997</v>
      </c>
      <c r="M19" s="191"/>
      <c r="N19" s="72"/>
      <c r="O19" s="54">
        <v>0</v>
      </c>
      <c r="P19" s="54">
        <v>0</v>
      </c>
      <c r="Q19" s="54">
        <v>0</v>
      </c>
      <c r="R19" s="54">
        <v>0</v>
      </c>
      <c r="S19" s="54">
        <v>0</v>
      </c>
      <c r="T19" s="54">
        <v>0</v>
      </c>
      <c r="U19" s="54">
        <v>0</v>
      </c>
      <c r="V19" s="54">
        <v>0</v>
      </c>
      <c r="W19" s="54">
        <v>0</v>
      </c>
      <c r="X19" s="54">
        <v>0</v>
      </c>
      <c r="Y19" s="54">
        <v>0</v>
      </c>
      <c r="Z19" s="54">
        <v>0</v>
      </c>
      <c r="AA19" s="54">
        <v>5138</v>
      </c>
      <c r="AB19" s="54">
        <v>7358.0564400020994</v>
      </c>
      <c r="AC19" s="54">
        <v>8464.9435599979006</v>
      </c>
      <c r="AD19" s="54">
        <v>12204.284624854379</v>
      </c>
      <c r="AE19" s="54">
        <v>9721</v>
      </c>
      <c r="AF19" s="54">
        <v>10354.301500000001</v>
      </c>
      <c r="AG19" s="54">
        <v>13947.302680000001</v>
      </c>
      <c r="AH19" s="54">
        <v>12308.777569999998</v>
      </c>
      <c r="AI19" s="54">
        <v>9973.3218699999998</v>
      </c>
      <c r="AJ19" s="54">
        <v>8770.5515999999989</v>
      </c>
      <c r="AK19" s="54">
        <v>12240.698370000002</v>
      </c>
      <c r="AL19" s="54">
        <v>11266.417639999996</v>
      </c>
    </row>
    <row r="20" spans="2:38" s="17" customFormat="1" ht="15" customHeight="1" x14ac:dyDescent="0.35">
      <c r="B20" s="193" t="s">
        <v>50</v>
      </c>
      <c r="C20" s="193" t="s">
        <v>226</v>
      </c>
      <c r="D20" s="72"/>
      <c r="E20" s="54">
        <v>4723</v>
      </c>
      <c r="F20" s="54">
        <v>6817</v>
      </c>
      <c r="G20" s="54">
        <v>14802</v>
      </c>
      <c r="H20" s="54">
        <v>62107</v>
      </c>
      <c r="I20" s="54">
        <v>256832</v>
      </c>
      <c r="J20" s="54">
        <v>303979.1878999999</v>
      </c>
      <c r="K20" s="54">
        <f>SUM(AE20:AH20)</f>
        <v>345493.18271198688</v>
      </c>
      <c r="L20" s="54">
        <v>376505.4576638405</v>
      </c>
      <c r="M20" s="191"/>
      <c r="N20" s="72"/>
      <c r="O20" s="54">
        <v>2329</v>
      </c>
      <c r="P20" s="54">
        <v>2891</v>
      </c>
      <c r="Q20" s="54">
        <v>3860</v>
      </c>
      <c r="R20" s="54">
        <v>5722</v>
      </c>
      <c r="S20" s="54">
        <v>6625</v>
      </c>
      <c r="T20" s="54">
        <v>9929</v>
      </c>
      <c r="U20" s="54">
        <v>15615</v>
      </c>
      <c r="V20" s="54">
        <v>29938</v>
      </c>
      <c r="W20" s="54">
        <v>60553</v>
      </c>
      <c r="X20" s="54">
        <v>60413</v>
      </c>
      <c r="Y20" s="54">
        <v>63511</v>
      </c>
      <c r="Z20" s="54">
        <v>72355</v>
      </c>
      <c r="AA20" s="54">
        <v>82154.265460000024</v>
      </c>
      <c r="AB20" s="54">
        <v>76481.51357999997</v>
      </c>
      <c r="AC20" s="54">
        <v>74963.127606031019</v>
      </c>
      <c r="AD20" s="54">
        <v>70380.281253968889</v>
      </c>
      <c r="AE20" s="54">
        <v>72312.368689431343</v>
      </c>
      <c r="AF20" s="54">
        <v>88185</v>
      </c>
      <c r="AG20" s="54">
        <v>88536.94472</v>
      </c>
      <c r="AH20" s="54">
        <v>96458.86930255554</v>
      </c>
      <c r="AI20" s="54">
        <v>86789.600184058363</v>
      </c>
      <c r="AJ20" s="54">
        <v>84430.69993047032</v>
      </c>
      <c r="AK20" s="54">
        <v>95037.44762838399</v>
      </c>
      <c r="AL20" s="54">
        <v>110247.70992092782</v>
      </c>
    </row>
    <row r="21" spans="2:38" s="17" customFormat="1" ht="15" customHeight="1" x14ac:dyDescent="0.35">
      <c r="B21" s="193" t="s">
        <v>485</v>
      </c>
      <c r="C21" s="193" t="s">
        <v>510</v>
      </c>
      <c r="D21" s="72"/>
      <c r="E21" s="54"/>
      <c r="F21" s="54"/>
      <c r="G21" s="54"/>
      <c r="H21" s="54"/>
      <c r="I21" s="54"/>
      <c r="J21" s="54"/>
      <c r="K21" s="54"/>
      <c r="L21" s="54">
        <v>0</v>
      </c>
      <c r="M21" s="191"/>
      <c r="N21" s="72"/>
      <c r="O21" s="54"/>
      <c r="P21" s="54"/>
      <c r="Q21" s="54"/>
      <c r="R21" s="54"/>
      <c r="S21" s="54"/>
      <c r="T21" s="54"/>
      <c r="U21" s="54"/>
      <c r="V21" s="54"/>
      <c r="W21" s="54"/>
      <c r="X21" s="54"/>
      <c r="Y21" s="54"/>
      <c r="Z21" s="54"/>
      <c r="AA21" s="54"/>
      <c r="AB21" s="54"/>
      <c r="AC21" s="54"/>
      <c r="AD21" s="54"/>
      <c r="AE21" s="54"/>
      <c r="AF21" s="54"/>
      <c r="AG21" s="54"/>
      <c r="AH21" s="54"/>
      <c r="AI21" s="54"/>
      <c r="AJ21" s="54">
        <v>3930.4519446661002</v>
      </c>
      <c r="AK21" s="54">
        <v>1438.3134893252923</v>
      </c>
      <c r="AL21" s="54">
        <v>-5368.7654339913925</v>
      </c>
    </row>
    <row r="22" spans="2:38" s="17" customFormat="1" ht="15" customHeight="1" x14ac:dyDescent="0.35">
      <c r="B22" s="193" t="s">
        <v>486</v>
      </c>
      <c r="C22" s="193" t="s">
        <v>511</v>
      </c>
      <c r="D22" s="72"/>
      <c r="E22" s="54"/>
      <c r="F22" s="54"/>
      <c r="G22" s="54"/>
      <c r="H22" s="54"/>
      <c r="I22" s="54"/>
      <c r="J22" s="54"/>
      <c r="K22" s="54"/>
      <c r="L22" s="54">
        <v>4692.1173732382204</v>
      </c>
      <c r="M22" s="191"/>
      <c r="N22" s="72"/>
      <c r="O22" s="54"/>
      <c r="P22" s="54"/>
      <c r="Q22" s="54"/>
      <c r="R22" s="54"/>
      <c r="S22" s="54"/>
      <c r="T22" s="54"/>
      <c r="U22" s="54"/>
      <c r="V22" s="54"/>
      <c r="W22" s="54"/>
      <c r="X22" s="54"/>
      <c r="Y22" s="54"/>
      <c r="Z22" s="54"/>
      <c r="AA22" s="54"/>
      <c r="AB22" s="54"/>
      <c r="AC22" s="54"/>
      <c r="AD22" s="54"/>
      <c r="AE22" s="54"/>
      <c r="AF22" s="54"/>
      <c r="AG22" s="54"/>
      <c r="AH22" s="54"/>
      <c r="AI22" s="54">
        <v>197.79699000000002</v>
      </c>
      <c r="AJ22" s="54">
        <v>197.78646600748399</v>
      </c>
      <c r="AK22" s="54">
        <v>198.81654399251593</v>
      </c>
      <c r="AL22" s="54">
        <v>4097.7173732382207</v>
      </c>
    </row>
    <row r="23" spans="2:38" s="17" customFormat="1" ht="15" customHeight="1" x14ac:dyDescent="0.35">
      <c r="B23" s="193" t="s">
        <v>365</v>
      </c>
      <c r="C23" s="193" t="s">
        <v>377</v>
      </c>
      <c r="D23" s="72"/>
      <c r="E23" s="54"/>
      <c r="F23" s="54"/>
      <c r="G23" s="54"/>
      <c r="H23" s="54"/>
      <c r="I23" s="54"/>
      <c r="J23" s="54">
        <v>-32074</v>
      </c>
      <c r="K23" s="54">
        <f>SUM(AE23:AH23)</f>
        <v>-79528.874911060455</v>
      </c>
      <c r="L23" s="54">
        <v>-60686.862954146207</v>
      </c>
      <c r="M23" s="191"/>
      <c r="N23" s="72"/>
      <c r="O23" s="54"/>
      <c r="P23" s="54"/>
      <c r="Q23" s="54"/>
      <c r="R23" s="54"/>
      <c r="S23" s="54"/>
      <c r="T23" s="54"/>
      <c r="U23" s="54"/>
      <c r="V23" s="54"/>
      <c r="W23" s="54"/>
      <c r="X23" s="54"/>
      <c r="Y23" s="54">
        <v>0</v>
      </c>
      <c r="Z23" s="54">
        <v>0</v>
      </c>
      <c r="AA23" s="54">
        <v>0</v>
      </c>
      <c r="AB23" s="54">
        <v>0</v>
      </c>
      <c r="AC23" s="54">
        <v>0</v>
      </c>
      <c r="AD23" s="54">
        <v>-32074</v>
      </c>
      <c r="AE23" s="54">
        <v>-14896.217790259367</v>
      </c>
      <c r="AF23" s="54">
        <v>-39141.963113291858</v>
      </c>
      <c r="AG23" s="54">
        <v>941.96557167473657</v>
      </c>
      <c r="AH23" s="54">
        <v>-26432.659579183965</v>
      </c>
      <c r="AI23" s="54">
        <v>-6410.3384682829219</v>
      </c>
      <c r="AJ23" s="54">
        <v>-8597.4046402418408</v>
      </c>
      <c r="AK23" s="54">
        <v>5267.8027333457376</v>
      </c>
      <c r="AL23" s="54">
        <v>-50946.922578967184</v>
      </c>
    </row>
    <row r="24" spans="2:38" s="17" customFormat="1" ht="15" customHeight="1" x14ac:dyDescent="0.35">
      <c r="B24" s="193" t="s">
        <v>340</v>
      </c>
      <c r="C24" s="193" t="s">
        <v>346</v>
      </c>
      <c r="D24" s="72"/>
      <c r="E24" s="54"/>
      <c r="F24" s="54"/>
      <c r="G24" s="54"/>
      <c r="H24" s="54"/>
      <c r="I24" s="54"/>
      <c r="J24" s="54">
        <v>0</v>
      </c>
      <c r="K24" s="54">
        <f>SUM(AE24:AH24)</f>
        <v>1177.7105462508366</v>
      </c>
      <c r="L24" s="54">
        <v>-994.78296697171572</v>
      </c>
      <c r="M24" s="191"/>
      <c r="N24" s="72"/>
      <c r="O24" s="54">
        <v>0</v>
      </c>
      <c r="P24" s="54">
        <v>0</v>
      </c>
      <c r="Q24" s="54">
        <v>0</v>
      </c>
      <c r="R24" s="54">
        <v>0</v>
      </c>
      <c r="S24" s="54">
        <v>0</v>
      </c>
      <c r="T24" s="54">
        <v>0</v>
      </c>
      <c r="U24" s="54">
        <v>0</v>
      </c>
      <c r="V24" s="54">
        <v>0</v>
      </c>
      <c r="W24" s="54">
        <v>0</v>
      </c>
      <c r="X24" s="54">
        <v>0</v>
      </c>
      <c r="Y24" s="54">
        <v>0</v>
      </c>
      <c r="Z24" s="54">
        <v>0</v>
      </c>
      <c r="AA24" s="54">
        <v>-66</v>
      </c>
      <c r="AB24" s="54">
        <v>186</v>
      </c>
      <c r="AC24" s="54">
        <v>-557</v>
      </c>
      <c r="AD24" s="54">
        <v>437</v>
      </c>
      <c r="AE24" s="54">
        <v>39</v>
      </c>
      <c r="AF24" s="54">
        <v>240</v>
      </c>
      <c r="AG24" s="54">
        <v>82.496288612336798</v>
      </c>
      <c r="AH24" s="54">
        <v>816.21425763849993</v>
      </c>
      <c r="AI24" s="54">
        <v>215.36882246899054</v>
      </c>
      <c r="AJ24" s="54">
        <v>-2871.40266010608</v>
      </c>
      <c r="AK24" s="54">
        <v>3869.0382976327955</v>
      </c>
      <c r="AL24" s="54">
        <v>-2207.7874269674217</v>
      </c>
    </row>
    <row r="25" spans="2:38" s="17" customFormat="1" ht="15" customHeight="1" x14ac:dyDescent="0.35">
      <c r="B25" s="193" t="s">
        <v>527</v>
      </c>
      <c r="C25" s="193"/>
      <c r="D25" s="72"/>
      <c r="E25" s="54"/>
      <c r="F25" s="54"/>
      <c r="G25" s="54"/>
      <c r="H25" s="54"/>
      <c r="I25" s="54"/>
      <c r="J25" s="54"/>
      <c r="K25" s="54"/>
      <c r="L25" s="54">
        <v>-8134</v>
      </c>
      <c r="M25" s="191"/>
      <c r="N25" s="72"/>
      <c r="O25" s="54"/>
      <c r="P25" s="54"/>
      <c r="Q25" s="54"/>
      <c r="R25" s="54"/>
      <c r="S25" s="54"/>
      <c r="T25" s="54"/>
      <c r="U25" s="54"/>
      <c r="V25" s="54"/>
      <c r="W25" s="54"/>
      <c r="X25" s="54"/>
      <c r="Y25" s="54"/>
      <c r="Z25" s="54"/>
      <c r="AA25" s="54"/>
      <c r="AB25" s="54"/>
      <c r="AC25" s="54"/>
      <c r="AD25" s="54"/>
      <c r="AE25" s="54"/>
      <c r="AF25" s="54"/>
      <c r="AG25" s="54">
        <v>0</v>
      </c>
      <c r="AH25" s="54">
        <v>0</v>
      </c>
      <c r="AI25" s="54">
        <v>0</v>
      </c>
      <c r="AJ25" s="54">
        <v>0</v>
      </c>
      <c r="AK25" s="54">
        <v>0</v>
      </c>
      <c r="AL25" s="54">
        <v>-8134</v>
      </c>
    </row>
    <row r="26" spans="2:38" s="17" customFormat="1" ht="15" customHeight="1" outlineLevel="1" x14ac:dyDescent="0.35">
      <c r="B26" s="193" t="s">
        <v>290</v>
      </c>
      <c r="C26" s="193" t="s">
        <v>512</v>
      </c>
      <c r="D26" s="72"/>
      <c r="E26" s="54">
        <v>0</v>
      </c>
      <c r="F26" s="54">
        <v>0</v>
      </c>
      <c r="G26" s="54">
        <v>0</v>
      </c>
      <c r="H26" s="54">
        <v>0</v>
      </c>
      <c r="I26" s="54">
        <v>-8005</v>
      </c>
      <c r="J26" s="54">
        <v>-3749.0955800000002</v>
      </c>
      <c r="K26" s="54">
        <f>SUM(AE26:AH26)</f>
        <v>0</v>
      </c>
      <c r="L26" s="54">
        <v>0</v>
      </c>
      <c r="M26" s="191"/>
      <c r="N26" s="72"/>
      <c r="O26" s="54">
        <v>0</v>
      </c>
      <c r="P26" s="54">
        <v>0</v>
      </c>
      <c r="Q26" s="54">
        <v>0</v>
      </c>
      <c r="R26" s="54">
        <v>0</v>
      </c>
      <c r="S26" s="54">
        <v>0</v>
      </c>
      <c r="T26" s="54">
        <v>0</v>
      </c>
      <c r="U26" s="54">
        <v>0</v>
      </c>
      <c r="V26" s="54">
        <v>0</v>
      </c>
      <c r="W26" s="54">
        <v>0</v>
      </c>
      <c r="X26" s="54">
        <v>-3710</v>
      </c>
      <c r="Y26" s="54">
        <v>-2368</v>
      </c>
      <c r="Z26" s="54">
        <v>-1927</v>
      </c>
      <c r="AA26" s="54">
        <v>-4000</v>
      </c>
      <c r="AB26" s="54">
        <v>-103</v>
      </c>
      <c r="AC26" s="54">
        <v>-110.35709000000043</v>
      </c>
      <c r="AD26" s="54">
        <v>464.26151000000027</v>
      </c>
      <c r="AE26" s="54">
        <v>0</v>
      </c>
      <c r="AF26" s="54">
        <v>-11.172000000000001</v>
      </c>
      <c r="AG26" s="54">
        <v>11.172000000000001</v>
      </c>
      <c r="AH26" s="54">
        <v>0</v>
      </c>
      <c r="AI26" s="54">
        <v>0</v>
      </c>
      <c r="AJ26" s="54">
        <v>0</v>
      </c>
      <c r="AK26" s="54">
        <v>0</v>
      </c>
      <c r="AL26" s="54">
        <v>0</v>
      </c>
    </row>
    <row r="27" spans="2:38" s="17" customFormat="1" ht="15" customHeight="1" outlineLevel="1" x14ac:dyDescent="0.35">
      <c r="B27" s="193" t="s">
        <v>46</v>
      </c>
      <c r="C27" s="193" t="s">
        <v>219</v>
      </c>
      <c r="D27" s="72"/>
      <c r="E27" s="54">
        <v>0</v>
      </c>
      <c r="F27" s="54">
        <v>0</v>
      </c>
      <c r="G27" s="54">
        <v>608</v>
      </c>
      <c r="H27" s="54">
        <v>0</v>
      </c>
      <c r="I27" s="54">
        <v>0</v>
      </c>
      <c r="J27" s="54">
        <v>0</v>
      </c>
      <c r="K27" s="54">
        <f t="shared" si="0"/>
        <v>0</v>
      </c>
      <c r="L27" s="54">
        <v>0</v>
      </c>
      <c r="M27" s="191"/>
      <c r="N27" s="72"/>
      <c r="O27" s="54">
        <v>0</v>
      </c>
      <c r="P27" s="54">
        <v>0</v>
      </c>
      <c r="Q27" s="54">
        <v>-1</v>
      </c>
      <c r="R27" s="54">
        <v>609</v>
      </c>
      <c r="S27" s="54">
        <v>360</v>
      </c>
      <c r="T27" s="54">
        <v>-360</v>
      </c>
      <c r="U27" s="54">
        <v>0</v>
      </c>
      <c r="V27" s="54">
        <v>0</v>
      </c>
      <c r="W27" s="54">
        <v>0</v>
      </c>
      <c r="X27" s="54">
        <v>0</v>
      </c>
      <c r="Y27" s="54">
        <v>0</v>
      </c>
      <c r="Z27" s="54">
        <v>0</v>
      </c>
      <c r="AA27" s="54">
        <v>0</v>
      </c>
      <c r="AB27" s="54">
        <v>0</v>
      </c>
      <c r="AC27" s="54">
        <v>0</v>
      </c>
      <c r="AD27" s="54">
        <v>0</v>
      </c>
      <c r="AE27" s="54">
        <v>0</v>
      </c>
      <c r="AF27" s="54">
        <v>0</v>
      </c>
      <c r="AG27" s="54">
        <v>0</v>
      </c>
      <c r="AH27" s="54">
        <v>0</v>
      </c>
      <c r="AI27" s="54">
        <v>0</v>
      </c>
      <c r="AJ27" s="54">
        <v>0</v>
      </c>
      <c r="AK27" s="54">
        <v>0</v>
      </c>
      <c r="AL27" s="54">
        <v>0</v>
      </c>
    </row>
    <row r="28" spans="2:38" s="17" customFormat="1" ht="15" customHeight="1" outlineLevel="1" x14ac:dyDescent="0.35">
      <c r="B28" s="193" t="s">
        <v>142</v>
      </c>
      <c r="C28" s="193" t="s">
        <v>319</v>
      </c>
      <c r="D28" s="72"/>
      <c r="E28" s="54">
        <v>0</v>
      </c>
      <c r="F28" s="54">
        <v>0</v>
      </c>
      <c r="G28" s="54">
        <v>0</v>
      </c>
      <c r="H28" s="54">
        <v>-1765</v>
      </c>
      <c r="I28" s="54">
        <v>0</v>
      </c>
      <c r="J28" s="54">
        <v>0</v>
      </c>
      <c r="K28" s="54">
        <f t="shared" si="0"/>
        <v>0</v>
      </c>
      <c r="L28" s="54">
        <v>0</v>
      </c>
      <c r="M28" s="191"/>
      <c r="N28" s="72"/>
      <c r="O28" s="54">
        <v>0</v>
      </c>
      <c r="P28" s="54">
        <v>0</v>
      </c>
      <c r="Q28" s="54">
        <v>0</v>
      </c>
      <c r="R28" s="54">
        <v>0</v>
      </c>
      <c r="S28" s="54">
        <v>0</v>
      </c>
      <c r="T28" s="54">
        <v>0</v>
      </c>
      <c r="U28" s="54">
        <v>0</v>
      </c>
      <c r="V28" s="54">
        <v>-1765</v>
      </c>
      <c r="W28" s="54">
        <v>0</v>
      </c>
      <c r="X28" s="54">
        <v>0</v>
      </c>
      <c r="Y28" s="54">
        <v>-2728</v>
      </c>
      <c r="Z28" s="54">
        <v>2728</v>
      </c>
      <c r="AA28" s="54">
        <v>0</v>
      </c>
      <c r="AB28" s="54">
        <v>0</v>
      </c>
      <c r="AC28" s="54">
        <v>0</v>
      </c>
      <c r="AD28" s="54">
        <v>0</v>
      </c>
      <c r="AE28" s="54">
        <v>0</v>
      </c>
      <c r="AF28" s="54">
        <v>0</v>
      </c>
      <c r="AG28" s="54">
        <v>0</v>
      </c>
      <c r="AH28" s="54">
        <v>0</v>
      </c>
      <c r="AI28" s="54">
        <v>0</v>
      </c>
      <c r="AJ28" s="54">
        <v>0</v>
      </c>
      <c r="AK28" s="54">
        <v>0</v>
      </c>
      <c r="AL28" s="54">
        <v>0</v>
      </c>
    </row>
    <row r="29" spans="2:38" s="17" customFormat="1" ht="15" customHeight="1" outlineLevel="1" x14ac:dyDescent="0.35">
      <c r="B29" s="193" t="s">
        <v>47</v>
      </c>
      <c r="C29" s="193" t="s">
        <v>220</v>
      </c>
      <c r="D29" s="72"/>
      <c r="E29" s="54">
        <v>0</v>
      </c>
      <c r="F29" s="54">
        <v>-2</v>
      </c>
      <c r="G29" s="54">
        <v>-5</v>
      </c>
      <c r="H29" s="54">
        <v>1786</v>
      </c>
      <c r="I29" s="54">
        <v>0</v>
      </c>
      <c r="J29" s="54">
        <v>0</v>
      </c>
      <c r="K29" s="54">
        <f t="shared" si="0"/>
        <v>0</v>
      </c>
      <c r="L29" s="54"/>
      <c r="M29" s="191"/>
      <c r="N29" s="72"/>
      <c r="O29" s="54">
        <v>0</v>
      </c>
      <c r="P29" s="54">
        <v>0</v>
      </c>
      <c r="Q29" s="54">
        <v>0</v>
      </c>
      <c r="R29" s="54">
        <v>-5</v>
      </c>
      <c r="S29" s="54">
        <v>0</v>
      </c>
      <c r="T29" s="54">
        <v>-25</v>
      </c>
      <c r="U29" s="54">
        <v>-1739</v>
      </c>
      <c r="V29" s="54">
        <v>3550</v>
      </c>
      <c r="W29" s="54">
        <v>727</v>
      </c>
      <c r="X29" s="54">
        <v>-749</v>
      </c>
      <c r="Y29" s="54">
        <v>-135</v>
      </c>
      <c r="Z29" s="54">
        <v>157</v>
      </c>
      <c r="AA29" s="54">
        <v>0</v>
      </c>
      <c r="AB29" s="54">
        <v>2397</v>
      </c>
      <c r="AC29" s="54">
        <v>0</v>
      </c>
      <c r="AD29" s="54">
        <v>0</v>
      </c>
      <c r="AE29" s="54">
        <v>0</v>
      </c>
      <c r="AF29" s="54">
        <v>0</v>
      </c>
      <c r="AG29" s="54">
        <v>0</v>
      </c>
      <c r="AH29" s="54">
        <v>0</v>
      </c>
      <c r="AI29" s="54">
        <v>0</v>
      </c>
      <c r="AJ29" s="54">
        <v>0</v>
      </c>
      <c r="AK29" s="54"/>
      <c r="AL29" s="54"/>
    </row>
    <row r="30" spans="2:38" s="17" customFormat="1" ht="15" customHeight="1" outlineLevel="1" x14ac:dyDescent="0.35">
      <c r="B30" s="193" t="s">
        <v>48</v>
      </c>
      <c r="C30" s="193" t="s">
        <v>221</v>
      </c>
      <c r="D30" s="72"/>
      <c r="E30" s="54">
        <v>70</v>
      </c>
      <c r="F30" s="54">
        <v>50</v>
      </c>
      <c r="G30" s="54">
        <v>0</v>
      </c>
      <c r="H30" s="54">
        <v>0</v>
      </c>
      <c r="I30" s="54">
        <v>0</v>
      </c>
      <c r="J30" s="54">
        <v>0</v>
      </c>
      <c r="K30" s="54">
        <f>SUM(AE30:AH30)</f>
        <v>0</v>
      </c>
      <c r="L30" s="54">
        <v>0</v>
      </c>
      <c r="M30" s="191"/>
      <c r="N30" s="72"/>
      <c r="O30" s="54">
        <v>0</v>
      </c>
      <c r="P30" s="54">
        <v>0</v>
      </c>
      <c r="Q30" s="54">
        <v>-138.173</v>
      </c>
      <c r="R30" s="54">
        <v>138.173</v>
      </c>
      <c r="S30" s="54">
        <v>0</v>
      </c>
      <c r="T30" s="54">
        <v>0</v>
      </c>
      <c r="U30" s="54">
        <v>-457</v>
      </c>
      <c r="V30" s="54">
        <v>457</v>
      </c>
      <c r="W30" s="54">
        <v>1154</v>
      </c>
      <c r="X30" s="54">
        <v>-1154</v>
      </c>
      <c r="Y30" s="54">
        <v>0</v>
      </c>
      <c r="Z30" s="54">
        <v>0</v>
      </c>
      <c r="AA30" s="54">
        <v>0</v>
      </c>
      <c r="AB30" s="54">
        <v>0</v>
      </c>
      <c r="AC30" s="54"/>
      <c r="AD30" s="54">
        <v>0</v>
      </c>
      <c r="AE30" s="54">
        <v>0</v>
      </c>
      <c r="AF30" s="54">
        <v>0</v>
      </c>
      <c r="AG30" s="54">
        <v>0</v>
      </c>
      <c r="AH30" s="54">
        <v>0</v>
      </c>
      <c r="AI30" s="54">
        <v>0</v>
      </c>
      <c r="AJ30" s="54">
        <v>0</v>
      </c>
      <c r="AK30" s="54">
        <v>0</v>
      </c>
      <c r="AL30" s="54">
        <v>0</v>
      </c>
    </row>
    <row r="31" spans="2:38" s="17" customFormat="1" ht="15" customHeight="1" outlineLevel="1" x14ac:dyDescent="0.35">
      <c r="B31" s="193" t="s">
        <v>154</v>
      </c>
      <c r="C31" s="193" t="s">
        <v>224</v>
      </c>
      <c r="D31" s="72"/>
      <c r="E31" s="54"/>
      <c r="F31" s="54"/>
      <c r="G31" s="54"/>
      <c r="H31" s="54"/>
      <c r="I31" s="54">
        <v>-3222</v>
      </c>
      <c r="J31" s="54">
        <v>0</v>
      </c>
      <c r="K31" s="54">
        <f>SUM(AE31:AH31)</f>
        <v>0</v>
      </c>
      <c r="L31" s="54"/>
      <c r="M31" s="191"/>
      <c r="N31" s="72"/>
      <c r="O31" s="54"/>
      <c r="P31" s="54"/>
      <c r="Q31" s="54"/>
      <c r="R31" s="54"/>
      <c r="S31" s="54"/>
      <c r="T31" s="54"/>
      <c r="U31" s="54">
        <v>0</v>
      </c>
      <c r="V31" s="54">
        <v>0</v>
      </c>
      <c r="W31" s="54">
        <v>-3054</v>
      </c>
      <c r="X31" s="54">
        <v>-255</v>
      </c>
      <c r="Y31" s="54">
        <v>233</v>
      </c>
      <c r="Z31" s="54">
        <v>-146</v>
      </c>
      <c r="AA31" s="41">
        <v>0</v>
      </c>
      <c r="AB31" s="41">
        <v>0</v>
      </c>
      <c r="AC31" s="41">
        <v>0</v>
      </c>
      <c r="AD31" s="41">
        <v>0</v>
      </c>
      <c r="AE31" s="41">
        <v>0</v>
      </c>
      <c r="AF31" s="41">
        <v>0</v>
      </c>
      <c r="AG31" s="41">
        <v>0</v>
      </c>
      <c r="AH31" s="41">
        <v>0</v>
      </c>
      <c r="AI31" s="41">
        <v>0</v>
      </c>
      <c r="AJ31" s="41"/>
      <c r="AK31" s="41"/>
      <c r="AL31" s="54"/>
    </row>
    <row r="32" spans="2:38" s="17" customFormat="1" ht="15" customHeight="1" outlineLevel="1" x14ac:dyDescent="0.35">
      <c r="B32" s="193" t="s">
        <v>45</v>
      </c>
      <c r="C32" s="193" t="s">
        <v>218</v>
      </c>
      <c r="D32" s="72"/>
      <c r="E32" s="54">
        <v>531</v>
      </c>
      <c r="F32" s="54">
        <v>1490</v>
      </c>
      <c r="G32" s="54">
        <v>1405</v>
      </c>
      <c r="H32" s="54">
        <v>0</v>
      </c>
      <c r="I32" s="54">
        <v>0</v>
      </c>
      <c r="J32" s="54">
        <v>0</v>
      </c>
      <c r="K32" s="54">
        <f>SUM(AE32:AH32)</f>
        <v>0</v>
      </c>
      <c r="L32" s="54">
        <v>0</v>
      </c>
      <c r="M32" s="191"/>
      <c r="N32" s="72"/>
      <c r="O32" s="54">
        <v>282</v>
      </c>
      <c r="P32" s="54">
        <v>0</v>
      </c>
      <c r="Q32" s="54">
        <v>356</v>
      </c>
      <c r="R32" s="54">
        <v>767</v>
      </c>
      <c r="S32" s="54">
        <v>2042</v>
      </c>
      <c r="T32" s="54">
        <v>1114</v>
      </c>
      <c r="U32" s="54">
        <v>1699</v>
      </c>
      <c r="V32" s="54">
        <v>-4855</v>
      </c>
      <c r="W32" s="54">
        <v>0</v>
      </c>
      <c r="X32" s="54">
        <v>0</v>
      </c>
      <c r="Y32" s="54">
        <v>0</v>
      </c>
      <c r="Z32" s="54">
        <v>0</v>
      </c>
      <c r="AA32" s="54">
        <v>0</v>
      </c>
      <c r="AB32" s="54">
        <v>0</v>
      </c>
      <c r="AC32" s="54">
        <v>0</v>
      </c>
      <c r="AD32" s="54">
        <v>0</v>
      </c>
      <c r="AE32" s="54">
        <v>0</v>
      </c>
      <c r="AF32" s="54">
        <v>0</v>
      </c>
      <c r="AG32" s="54">
        <v>0</v>
      </c>
      <c r="AH32" s="54"/>
      <c r="AI32" s="54"/>
      <c r="AJ32" s="54">
        <v>0</v>
      </c>
      <c r="AK32" s="54">
        <v>0</v>
      </c>
      <c r="AL32" s="54">
        <v>0</v>
      </c>
    </row>
    <row r="33" spans="2:38" s="66" customFormat="1" ht="15" customHeight="1" outlineLevel="1" x14ac:dyDescent="0.35">
      <c r="B33" s="194" t="s">
        <v>320</v>
      </c>
      <c r="C33" s="194" t="s">
        <v>312</v>
      </c>
      <c r="D33" s="195"/>
      <c r="E33" s="196">
        <v>0</v>
      </c>
      <c r="F33" s="196">
        <v>0</v>
      </c>
      <c r="G33" s="196">
        <v>0</v>
      </c>
      <c r="H33" s="196">
        <v>0</v>
      </c>
      <c r="I33" s="196">
        <v>64</v>
      </c>
      <c r="J33" s="196">
        <v>-556</v>
      </c>
      <c r="K33" s="196">
        <f>SUM(AE33:AH33)</f>
        <v>2190.25430998</v>
      </c>
      <c r="L33" s="54">
        <v>0</v>
      </c>
      <c r="M33" s="197"/>
      <c r="N33" s="195"/>
      <c r="O33" s="196">
        <v>0</v>
      </c>
      <c r="P33" s="196">
        <v>0</v>
      </c>
      <c r="Q33" s="196">
        <v>0</v>
      </c>
      <c r="R33" s="196">
        <v>0</v>
      </c>
      <c r="S33" s="196">
        <v>0</v>
      </c>
      <c r="T33" s="196">
        <v>0</v>
      </c>
      <c r="U33" s="196">
        <v>0</v>
      </c>
      <c r="V33" s="196">
        <v>0</v>
      </c>
      <c r="W33" s="196">
        <v>0</v>
      </c>
      <c r="X33" s="196">
        <v>0</v>
      </c>
      <c r="Y33" s="196">
        <v>0</v>
      </c>
      <c r="Z33" s="196">
        <v>64</v>
      </c>
      <c r="AA33" s="196">
        <v>0</v>
      </c>
      <c r="AB33" s="196">
        <v>0</v>
      </c>
      <c r="AC33" s="196">
        <v>0</v>
      </c>
      <c r="AD33" s="196">
        <v>-556</v>
      </c>
      <c r="AE33" s="196">
        <v>0</v>
      </c>
      <c r="AF33" s="196">
        <v>450.41357212399998</v>
      </c>
      <c r="AG33" s="196">
        <v>116.58642787600002</v>
      </c>
      <c r="AH33" s="196">
        <v>1623.25430998</v>
      </c>
      <c r="AI33" s="54">
        <v>0</v>
      </c>
      <c r="AJ33" s="54">
        <v>0</v>
      </c>
      <c r="AK33" s="54">
        <v>0</v>
      </c>
      <c r="AL33" s="54">
        <v>0</v>
      </c>
    </row>
    <row r="34" spans="2:38" x14ac:dyDescent="0.35">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row>
    <row r="35" spans="2:38" x14ac:dyDescent="0.35">
      <c r="B35" s="192" t="s">
        <v>51</v>
      </c>
      <c r="C35" s="192" t="s">
        <v>227</v>
      </c>
      <c r="D35" s="72"/>
      <c r="E35" s="72"/>
      <c r="F35" s="72"/>
      <c r="G35" s="72"/>
      <c r="H35" s="72"/>
      <c r="I35" s="72"/>
      <c r="J35" s="72"/>
      <c r="K35" s="72"/>
      <c r="L35" s="72"/>
      <c r="M35" s="191"/>
      <c r="N35" s="72"/>
      <c r="O35" s="72"/>
      <c r="P35" s="72"/>
      <c r="Q35" s="72"/>
      <c r="R35" s="72"/>
      <c r="S35" s="72"/>
      <c r="T35" s="72"/>
      <c r="U35" s="72"/>
      <c r="V35" s="72"/>
      <c r="W35" s="72"/>
      <c r="X35" s="72"/>
      <c r="Y35" s="72"/>
      <c r="Z35" s="72"/>
      <c r="AA35" s="72"/>
      <c r="AB35" s="72"/>
      <c r="AC35" s="72"/>
      <c r="AD35" s="72"/>
      <c r="AE35" s="72"/>
      <c r="AF35" s="72"/>
      <c r="AG35" s="72"/>
      <c r="AH35" s="72"/>
      <c r="AI35" s="72"/>
      <c r="AJ35" s="54"/>
      <c r="AK35" s="54"/>
      <c r="AL35" s="72"/>
    </row>
    <row r="36" spans="2:38" s="17" customFormat="1" ht="15" customHeight="1" x14ac:dyDescent="0.35">
      <c r="B36" s="193" t="s">
        <v>17</v>
      </c>
      <c r="C36" s="193" t="s">
        <v>228</v>
      </c>
      <c r="D36" s="72"/>
      <c r="E36" s="54">
        <v>-2000</v>
      </c>
      <c r="F36" s="54">
        <v>-3303</v>
      </c>
      <c r="G36" s="54">
        <v>-15685</v>
      </c>
      <c r="H36" s="54">
        <v>-106896</v>
      </c>
      <c r="I36" s="54">
        <v>-72267</v>
      </c>
      <c r="J36" s="54">
        <v>-98969</v>
      </c>
      <c r="K36" s="54">
        <f t="shared" si="0"/>
        <v>-228070.65468000004</v>
      </c>
      <c r="L36" s="54">
        <v>145627.47879999998</v>
      </c>
      <c r="M36" s="191"/>
      <c r="N36" s="72"/>
      <c r="O36" s="54">
        <v>-4041</v>
      </c>
      <c r="P36" s="54">
        <v>1186</v>
      </c>
      <c r="Q36" s="54">
        <v>-6238</v>
      </c>
      <c r="R36" s="54">
        <v>-6592</v>
      </c>
      <c r="S36" s="54">
        <v>-16651</v>
      </c>
      <c r="T36" s="54">
        <v>-26455</v>
      </c>
      <c r="U36" s="54">
        <v>-32976</v>
      </c>
      <c r="V36" s="54">
        <v>-30814</v>
      </c>
      <c r="W36" s="54">
        <v>-63168</v>
      </c>
      <c r="X36" s="54">
        <v>-42130</v>
      </c>
      <c r="Y36" s="54">
        <v>4419</v>
      </c>
      <c r="Z36" s="54">
        <v>6990</v>
      </c>
      <c r="AA36" s="54">
        <v>-15923</v>
      </c>
      <c r="AB36" s="54">
        <v>-15672</v>
      </c>
      <c r="AC36" s="54">
        <v>-49449</v>
      </c>
      <c r="AD36" s="54">
        <v>-17925</v>
      </c>
      <c r="AE36" s="54">
        <v>-81279</v>
      </c>
      <c r="AF36" s="54">
        <v>-51757.719899999967</v>
      </c>
      <c r="AG36" s="54">
        <v>-34181.439460000052</v>
      </c>
      <c r="AH36" s="54">
        <v>-60852.495320000016</v>
      </c>
      <c r="AI36" s="54">
        <v>175341.97404000003</v>
      </c>
      <c r="AJ36" s="54">
        <v>-15229.036040000035</v>
      </c>
      <c r="AK36" s="54">
        <v>-6049.5839999999444</v>
      </c>
      <c r="AL36" s="54">
        <v>-8435.8752000000677</v>
      </c>
    </row>
    <row r="37" spans="2:38" s="17" customFormat="1" ht="15" customHeight="1" x14ac:dyDescent="0.35">
      <c r="B37" s="193" t="s">
        <v>18</v>
      </c>
      <c r="C37" s="193" t="s">
        <v>182</v>
      </c>
      <c r="D37" s="72"/>
      <c r="E37" s="54">
        <v>0</v>
      </c>
      <c r="F37" s="54">
        <v>0</v>
      </c>
      <c r="G37" s="54">
        <v>-1985</v>
      </c>
      <c r="H37" s="54">
        <v>-10040</v>
      </c>
      <c r="I37" s="54">
        <v>-9507</v>
      </c>
      <c r="J37" s="54">
        <v>-21714</v>
      </c>
      <c r="K37" s="54">
        <f>SUM(AE37:AH37)</f>
        <v>-18736.785</v>
      </c>
      <c r="L37" s="54">
        <v>-6217.5804600000019</v>
      </c>
      <c r="M37" s="191"/>
      <c r="N37" s="72"/>
      <c r="O37" s="54">
        <v>-5</v>
      </c>
      <c r="P37" s="54">
        <v>5</v>
      </c>
      <c r="Q37" s="54">
        <v>-1060</v>
      </c>
      <c r="R37" s="54">
        <v>-925</v>
      </c>
      <c r="S37" s="54">
        <v>-822</v>
      </c>
      <c r="T37" s="54">
        <v>-1914</v>
      </c>
      <c r="U37" s="54">
        <v>-3063</v>
      </c>
      <c r="V37" s="54">
        <v>-4241</v>
      </c>
      <c r="W37" s="54">
        <v>-3525</v>
      </c>
      <c r="X37" s="54">
        <v>-5170</v>
      </c>
      <c r="Y37" s="54">
        <v>1198</v>
      </c>
      <c r="Z37" s="54">
        <v>-2010</v>
      </c>
      <c r="AA37" s="54">
        <v>-9826</v>
      </c>
      <c r="AB37" s="54">
        <v>-7399</v>
      </c>
      <c r="AC37" s="54">
        <v>-2217</v>
      </c>
      <c r="AD37" s="54">
        <v>-2272</v>
      </c>
      <c r="AE37" s="54">
        <v>1020</v>
      </c>
      <c r="AF37" s="54">
        <v>-6929.4639999999999</v>
      </c>
      <c r="AG37" s="54">
        <v>-7898</v>
      </c>
      <c r="AH37" s="54">
        <v>-4929.3209999999999</v>
      </c>
      <c r="AI37" s="54">
        <v>-2260.6720000000059</v>
      </c>
      <c r="AJ37" s="54">
        <v>-3630.7109999999957</v>
      </c>
      <c r="AK37" s="54">
        <v>652.41199999999662</v>
      </c>
      <c r="AL37" s="54">
        <v>-978.60945999999694</v>
      </c>
    </row>
    <row r="38" spans="2:38" s="17" customFormat="1" ht="15" customHeight="1" x14ac:dyDescent="0.35">
      <c r="B38" s="193" t="s">
        <v>52</v>
      </c>
      <c r="C38" s="193" t="s">
        <v>183</v>
      </c>
      <c r="D38" s="72"/>
      <c r="E38" s="54">
        <v>-334</v>
      </c>
      <c r="F38" s="54">
        <v>552</v>
      </c>
      <c r="G38" s="54">
        <v>-8158</v>
      </c>
      <c r="H38" s="54">
        <v>-22546</v>
      </c>
      <c r="I38" s="54">
        <v>-35269</v>
      </c>
      <c r="J38" s="54">
        <v>35008</v>
      </c>
      <c r="K38" s="54">
        <f t="shared" si="0"/>
        <v>5324.0039999999981</v>
      </c>
      <c r="L38" s="54">
        <v>-9221.2171599999929</v>
      </c>
      <c r="M38" s="191"/>
      <c r="N38" s="72"/>
      <c r="O38" s="54">
        <v>-1096</v>
      </c>
      <c r="P38" s="54">
        <v>-1346</v>
      </c>
      <c r="Q38" s="54">
        <v>-4325</v>
      </c>
      <c r="R38" s="54">
        <v>-1391</v>
      </c>
      <c r="S38" s="54">
        <v>-3969</v>
      </c>
      <c r="T38" s="54">
        <v>-10322</v>
      </c>
      <c r="U38" s="54">
        <v>-12366</v>
      </c>
      <c r="V38" s="54">
        <v>4111</v>
      </c>
      <c r="W38" s="54">
        <v>-5182</v>
      </c>
      <c r="X38" s="54">
        <v>-6230</v>
      </c>
      <c r="Y38" s="54">
        <v>-19398</v>
      </c>
      <c r="Z38" s="54">
        <v>-4459</v>
      </c>
      <c r="AA38" s="54">
        <v>8863</v>
      </c>
      <c r="AB38" s="54">
        <v>14064</v>
      </c>
      <c r="AC38" s="54">
        <v>15569</v>
      </c>
      <c r="AD38" s="54">
        <v>-3488</v>
      </c>
      <c r="AE38" s="54">
        <v>4091</v>
      </c>
      <c r="AF38" s="54">
        <v>-5109.0729999999967</v>
      </c>
      <c r="AG38" s="54">
        <v>4918</v>
      </c>
      <c r="AH38" s="54">
        <v>1424.0769999999948</v>
      </c>
      <c r="AI38" s="54">
        <v>-12870.008999999991</v>
      </c>
      <c r="AJ38" s="54">
        <v>-3651.2030000000086</v>
      </c>
      <c r="AK38" s="54">
        <v>-186.44099999999889</v>
      </c>
      <c r="AL38" s="54">
        <v>7486.4358400000056</v>
      </c>
    </row>
    <row r="39" spans="2:38" s="17" customFormat="1" ht="15" customHeight="1" x14ac:dyDescent="0.35">
      <c r="B39" s="193" t="s">
        <v>347</v>
      </c>
      <c r="C39" s="193" t="s">
        <v>348</v>
      </c>
      <c r="D39" s="72"/>
      <c r="E39" s="54"/>
      <c r="F39" s="54"/>
      <c r="G39" s="54"/>
      <c r="H39" s="54"/>
      <c r="I39" s="54"/>
      <c r="J39" s="54">
        <v>-391</v>
      </c>
      <c r="K39" s="54">
        <f t="shared" si="0"/>
        <v>320.41200000000003</v>
      </c>
      <c r="L39" s="54">
        <v>-792.46499999999992</v>
      </c>
      <c r="M39" s="191"/>
      <c r="N39" s="72"/>
      <c r="O39" s="54"/>
      <c r="P39" s="54"/>
      <c r="Q39" s="54"/>
      <c r="R39" s="54"/>
      <c r="S39" s="54"/>
      <c r="T39" s="54"/>
      <c r="U39" s="54"/>
      <c r="V39" s="54"/>
      <c r="W39" s="54">
        <v>0</v>
      </c>
      <c r="X39" s="54">
        <v>0</v>
      </c>
      <c r="Y39" s="54">
        <v>0</v>
      </c>
      <c r="Z39" s="54">
        <v>0</v>
      </c>
      <c r="AA39" s="54">
        <v>-171</v>
      </c>
      <c r="AB39" s="54">
        <v>-3</v>
      </c>
      <c r="AC39" s="54">
        <v>82</v>
      </c>
      <c r="AD39" s="54">
        <v>-299</v>
      </c>
      <c r="AE39" s="54">
        <v>-105</v>
      </c>
      <c r="AF39" s="54">
        <v>-224</v>
      </c>
      <c r="AG39" s="54">
        <v>-15.422000000000025</v>
      </c>
      <c r="AH39" s="54">
        <v>664.83400000000006</v>
      </c>
      <c r="AI39" s="54">
        <v>-351.70700000000011</v>
      </c>
      <c r="AJ39" s="54">
        <v>-580.0010000000002</v>
      </c>
      <c r="AK39" s="54">
        <v>94.853000000000065</v>
      </c>
      <c r="AL39" s="54">
        <v>44.390000000000327</v>
      </c>
    </row>
    <row r="40" spans="2:38" s="17" customFormat="1" ht="15" customHeight="1" x14ac:dyDescent="0.35">
      <c r="B40" s="193" t="s">
        <v>20</v>
      </c>
      <c r="C40" s="193" t="s">
        <v>184</v>
      </c>
      <c r="D40" s="72"/>
      <c r="E40" s="54">
        <v>-255</v>
      </c>
      <c r="F40" s="54">
        <v>-364</v>
      </c>
      <c r="G40" s="54">
        <v>-1887</v>
      </c>
      <c r="H40" s="54">
        <v>-4252</v>
      </c>
      <c r="I40" s="54">
        <v>-4482</v>
      </c>
      <c r="J40" s="54">
        <v>-54939</v>
      </c>
      <c r="K40" s="54">
        <f>SUM(AE40:AH40)</f>
        <v>-21361.827279999998</v>
      </c>
      <c r="L40" s="54">
        <v>22895.46236241913</v>
      </c>
      <c r="M40" s="191"/>
      <c r="N40" s="72"/>
      <c r="O40" s="54">
        <v>-696</v>
      </c>
      <c r="P40" s="54">
        <v>-173</v>
      </c>
      <c r="Q40" s="54">
        <v>-1384</v>
      </c>
      <c r="R40" s="54">
        <v>366</v>
      </c>
      <c r="S40" s="54">
        <v>-2378</v>
      </c>
      <c r="T40" s="54">
        <v>-640</v>
      </c>
      <c r="U40" s="54">
        <v>-805</v>
      </c>
      <c r="V40" s="54">
        <v>-429</v>
      </c>
      <c r="W40" s="54">
        <v>860</v>
      </c>
      <c r="X40" s="54">
        <v>-5542</v>
      </c>
      <c r="Y40" s="54">
        <v>715</v>
      </c>
      <c r="Z40" s="54">
        <v>-515</v>
      </c>
      <c r="AA40" s="54">
        <v>-16841</v>
      </c>
      <c r="AB40" s="54">
        <v>-13316.817230000001</v>
      </c>
      <c r="AC40" s="54">
        <v>-12379.825680000002</v>
      </c>
      <c r="AD40" s="54">
        <v>-12401.357089999998</v>
      </c>
      <c r="AE40" s="54">
        <v>-18698</v>
      </c>
      <c r="AF40" s="54">
        <v>-12897.816000000006</v>
      </c>
      <c r="AG40" s="54">
        <v>3643.4877899999992</v>
      </c>
      <c r="AH40" s="54">
        <v>6590.5009300000092</v>
      </c>
      <c r="AI40" s="54">
        <v>-3386.8678899999941</v>
      </c>
      <c r="AJ40" s="54">
        <v>-22549.618000000017</v>
      </c>
      <c r="AK40" s="54">
        <v>9686.086859999994</v>
      </c>
      <c r="AL40" s="54">
        <v>39145.861392419145</v>
      </c>
    </row>
    <row r="41" spans="2:38" s="17" customFormat="1" ht="15" customHeight="1" x14ac:dyDescent="0.35">
      <c r="B41" s="193" t="s">
        <v>26</v>
      </c>
      <c r="C41" s="193" t="s">
        <v>190</v>
      </c>
      <c r="D41" s="72"/>
      <c r="E41" s="54">
        <v>-1001</v>
      </c>
      <c r="F41" s="54">
        <v>3600</v>
      </c>
      <c r="G41" s="54">
        <v>6052</v>
      </c>
      <c r="H41" s="54">
        <v>30059.98544</v>
      </c>
      <c r="I41" s="54">
        <v>67185</v>
      </c>
      <c r="J41" s="54">
        <v>-80592.024855008582</v>
      </c>
      <c r="K41" s="54">
        <f>SUM(AE41:AH41)</f>
        <v>-4292.91092496274</v>
      </c>
      <c r="L41" s="54">
        <v>306883.72423696297</v>
      </c>
      <c r="M41" s="191"/>
      <c r="N41" s="72"/>
      <c r="O41" s="54">
        <v>-1385</v>
      </c>
      <c r="P41" s="54">
        <v>-114</v>
      </c>
      <c r="Q41" s="54">
        <v>10123</v>
      </c>
      <c r="R41" s="54">
        <v>-2572</v>
      </c>
      <c r="S41" s="54">
        <v>-1834</v>
      </c>
      <c r="T41" s="54">
        <v>18209</v>
      </c>
      <c r="U41" s="54">
        <v>32379</v>
      </c>
      <c r="V41" s="54">
        <v>-18694.01456</v>
      </c>
      <c r="W41" s="54">
        <v>58319</v>
      </c>
      <c r="X41" s="54">
        <v>-12822</v>
      </c>
      <c r="Y41" s="54">
        <v>100897</v>
      </c>
      <c r="Z41" s="54">
        <v>-79209</v>
      </c>
      <c r="AA41" s="54">
        <v>-33033</v>
      </c>
      <c r="AB41" s="54">
        <v>-35064.30876</v>
      </c>
      <c r="AC41" s="54">
        <v>11169.30876</v>
      </c>
      <c r="AD41" s="54">
        <v>-23664.024855008582</v>
      </c>
      <c r="AE41" s="54">
        <v>-1284</v>
      </c>
      <c r="AF41" s="54">
        <v>18860.479353010647</v>
      </c>
      <c r="AG41" s="54">
        <v>-7914.8871850818505</v>
      </c>
      <c r="AH41" s="54">
        <v>-13954.503092891537</v>
      </c>
      <c r="AI41" s="54">
        <v>56599.647026962324</v>
      </c>
      <c r="AJ41" s="54">
        <v>49282.534171115396</v>
      </c>
      <c r="AK41" s="54">
        <v>-45910.152971115022</v>
      </c>
      <c r="AL41" s="54">
        <v>246911.69601000031</v>
      </c>
    </row>
    <row r="42" spans="2:38" s="17" customFormat="1" ht="15" customHeight="1" x14ac:dyDescent="0.35">
      <c r="B42" s="193" t="s">
        <v>53</v>
      </c>
      <c r="C42" s="193" t="s">
        <v>229</v>
      </c>
      <c r="D42" s="72"/>
      <c r="E42" s="54">
        <v>244</v>
      </c>
      <c r="F42" s="54">
        <v>850</v>
      </c>
      <c r="G42" s="54">
        <v>2511</v>
      </c>
      <c r="H42" s="54">
        <v>7952</v>
      </c>
      <c r="I42" s="54">
        <v>14771</v>
      </c>
      <c r="J42" s="54">
        <v>18896</v>
      </c>
      <c r="K42" s="54">
        <f>SUM(AE42:AH42)</f>
        <v>3819.0400000000045</v>
      </c>
      <c r="L42" s="54">
        <v>-15906.121630000005</v>
      </c>
      <c r="M42" s="191"/>
      <c r="N42" s="72"/>
      <c r="O42" s="54">
        <v>664</v>
      </c>
      <c r="P42" s="54">
        <v>1462</v>
      </c>
      <c r="Q42" s="54">
        <v>771</v>
      </c>
      <c r="R42" s="54">
        <v>-386</v>
      </c>
      <c r="S42" s="54">
        <v>1329</v>
      </c>
      <c r="T42" s="54">
        <v>2388</v>
      </c>
      <c r="U42" s="54">
        <v>5823</v>
      </c>
      <c r="V42" s="54">
        <v>-1588</v>
      </c>
      <c r="W42" s="54">
        <v>-981</v>
      </c>
      <c r="X42" s="54">
        <v>8035</v>
      </c>
      <c r="Y42" s="54">
        <v>5985</v>
      </c>
      <c r="Z42" s="54">
        <v>1732</v>
      </c>
      <c r="AA42" s="54">
        <v>9063</v>
      </c>
      <c r="AB42" s="54">
        <v>-429</v>
      </c>
      <c r="AC42" s="54">
        <v>14560</v>
      </c>
      <c r="AD42" s="54">
        <v>-4298</v>
      </c>
      <c r="AE42" s="54">
        <v>11260</v>
      </c>
      <c r="AF42" s="54">
        <v>-656.82499999999709</v>
      </c>
      <c r="AG42" s="54">
        <v>11514.629999999986</v>
      </c>
      <c r="AH42" s="54">
        <v>-18298.764999999985</v>
      </c>
      <c r="AI42" s="54">
        <v>-2555.864999999998</v>
      </c>
      <c r="AJ42" s="54">
        <v>4083.2149999999892</v>
      </c>
      <c r="AK42" s="54">
        <v>7015.2390000000014</v>
      </c>
      <c r="AL42" s="54">
        <v>-24448.710629999998</v>
      </c>
    </row>
    <row r="43" spans="2:38" s="17" customFormat="1" ht="15" customHeight="1" x14ac:dyDescent="0.35">
      <c r="B43" s="193" t="s">
        <v>30</v>
      </c>
      <c r="C43" s="193" t="s">
        <v>194</v>
      </c>
      <c r="D43" s="72"/>
      <c r="E43" s="54">
        <v>-158</v>
      </c>
      <c r="F43" s="54">
        <v>0</v>
      </c>
      <c r="G43" s="54">
        <v>229</v>
      </c>
      <c r="H43" s="54">
        <v>3388.6227699999999</v>
      </c>
      <c r="I43" s="54">
        <v>424</v>
      </c>
      <c r="J43" s="54">
        <v>3491</v>
      </c>
      <c r="K43" s="54">
        <f>SUM(AE43:AH43)</f>
        <v>4688.1090000000004</v>
      </c>
      <c r="L43" s="54">
        <v>2173.9706788759968</v>
      </c>
      <c r="M43" s="191"/>
      <c r="N43" s="72"/>
      <c r="O43" s="54">
        <v>-21</v>
      </c>
      <c r="P43" s="54">
        <v>209</v>
      </c>
      <c r="Q43" s="54">
        <v>-203.89270000000033</v>
      </c>
      <c r="R43" s="54">
        <v>244.89270000000033</v>
      </c>
      <c r="S43" s="54">
        <v>160</v>
      </c>
      <c r="T43" s="54">
        <v>1143</v>
      </c>
      <c r="U43" s="54">
        <v>2050</v>
      </c>
      <c r="V43" s="54">
        <v>35.622769999999946</v>
      </c>
      <c r="W43" s="54">
        <v>1448</v>
      </c>
      <c r="X43" s="54">
        <v>-400</v>
      </c>
      <c r="Y43" s="54">
        <v>-25379</v>
      </c>
      <c r="Z43" s="54">
        <v>24755</v>
      </c>
      <c r="AA43" s="54">
        <v>1529</v>
      </c>
      <c r="AB43" s="54">
        <v>-213</v>
      </c>
      <c r="AC43" s="54">
        <v>7856</v>
      </c>
      <c r="AD43" s="54">
        <v>-5681</v>
      </c>
      <c r="AE43" s="54">
        <v>19074</v>
      </c>
      <c r="AF43" s="54">
        <v>-2065.770999999997</v>
      </c>
      <c r="AG43" s="54">
        <v>-846.47100000000501</v>
      </c>
      <c r="AH43" s="54">
        <v>-11473.648999999998</v>
      </c>
      <c r="AI43" s="54">
        <v>3991.8410000000003</v>
      </c>
      <c r="AJ43" s="54">
        <v>-60.344000000000506</v>
      </c>
      <c r="AK43" s="54">
        <v>-1430.8020411239986</v>
      </c>
      <c r="AL43" s="54">
        <v>-326.72428000000446</v>
      </c>
    </row>
    <row r="44" spans="2:38" ht="15" customHeight="1" x14ac:dyDescent="0.35">
      <c r="B44" s="193" t="s">
        <v>492</v>
      </c>
      <c r="C44" s="193" t="s">
        <v>493</v>
      </c>
      <c r="D44" s="72"/>
      <c r="E44" s="72"/>
      <c r="F44" s="72"/>
      <c r="G44" s="72"/>
      <c r="H44" s="72"/>
      <c r="I44" s="72"/>
      <c r="J44" s="72"/>
      <c r="K44" s="72"/>
      <c r="L44" s="54">
        <v>-14081.091709999997</v>
      </c>
      <c r="M44" s="72"/>
      <c r="N44" s="72"/>
      <c r="O44" s="72"/>
      <c r="P44" s="72"/>
      <c r="Q44" s="72"/>
      <c r="R44" s="72"/>
      <c r="S44" s="72"/>
      <c r="T44" s="72"/>
      <c r="U44" s="72"/>
      <c r="V44" s="72"/>
      <c r="W44" s="72"/>
      <c r="X44" s="72"/>
      <c r="Y44" s="72"/>
      <c r="Z44" s="72"/>
      <c r="AA44" s="72"/>
      <c r="AB44" s="72"/>
      <c r="AC44" s="72"/>
      <c r="AD44" s="72"/>
      <c r="AE44" s="72"/>
      <c r="AF44" s="54"/>
      <c r="AG44" s="54"/>
      <c r="AH44" s="54">
        <v>0</v>
      </c>
      <c r="AI44" s="54">
        <v>-556.00444999999991</v>
      </c>
      <c r="AJ44" s="54">
        <v>-621.99555000000009</v>
      </c>
      <c r="AK44" s="54">
        <v>-1105.6703499999999</v>
      </c>
      <c r="AL44" s="54">
        <v>-11797.421359999997</v>
      </c>
    </row>
    <row r="45" spans="2:38" s="17" customFormat="1" ht="15" customHeight="1" x14ac:dyDescent="0.35">
      <c r="B45" s="193" t="s">
        <v>144</v>
      </c>
      <c r="C45" s="193" t="s">
        <v>198</v>
      </c>
      <c r="D45" s="72"/>
      <c r="E45" s="54">
        <v>0</v>
      </c>
      <c r="F45" s="54">
        <v>0</v>
      </c>
      <c r="G45" s="54">
        <v>0</v>
      </c>
      <c r="H45" s="54">
        <v>-608</v>
      </c>
      <c r="I45" s="54">
        <v>0</v>
      </c>
      <c r="J45" s="54">
        <v>0</v>
      </c>
      <c r="K45" s="54">
        <f>SUM(AE45:AH45)</f>
        <v>0</v>
      </c>
      <c r="L45" s="54"/>
      <c r="M45" s="191"/>
      <c r="N45" s="72"/>
      <c r="O45" s="54">
        <v>0</v>
      </c>
      <c r="P45" s="54">
        <v>0</v>
      </c>
      <c r="Q45" s="54">
        <v>0</v>
      </c>
      <c r="R45" s="54">
        <v>0</v>
      </c>
      <c r="S45" s="54">
        <v>0</v>
      </c>
      <c r="T45" s="54">
        <v>0</v>
      </c>
      <c r="U45" s="54">
        <v>0</v>
      </c>
      <c r="V45" s="54">
        <v>-608</v>
      </c>
      <c r="W45" s="54">
        <v>0</v>
      </c>
      <c r="X45" s="54">
        <v>0</v>
      </c>
      <c r="Y45" s="54">
        <v>0</v>
      </c>
      <c r="Z45" s="54">
        <v>0</v>
      </c>
      <c r="AA45" s="54">
        <v>0</v>
      </c>
      <c r="AB45" s="54">
        <v>0</v>
      </c>
      <c r="AC45" s="54">
        <v>0</v>
      </c>
      <c r="AD45" s="54">
        <v>0</v>
      </c>
      <c r="AE45" s="54">
        <v>0</v>
      </c>
      <c r="AF45" s="54">
        <v>0</v>
      </c>
      <c r="AG45" s="54">
        <v>0</v>
      </c>
      <c r="AH45" s="54">
        <v>0</v>
      </c>
      <c r="AI45" s="54">
        <v>0</v>
      </c>
      <c r="AJ45" s="54"/>
      <c r="AK45" s="54"/>
      <c r="AL45" s="54"/>
    </row>
    <row r="46" spans="2:38" s="17" customFormat="1" ht="15" customHeight="1" x14ac:dyDescent="0.35">
      <c r="B46" s="193" t="s">
        <v>32</v>
      </c>
      <c r="C46" s="193" t="s">
        <v>200</v>
      </c>
      <c r="D46" s="72"/>
      <c r="E46" s="54">
        <v>-181</v>
      </c>
      <c r="F46" s="54">
        <v>-108</v>
      </c>
      <c r="G46" s="54">
        <v>169</v>
      </c>
      <c r="H46" s="54">
        <v>-11591</v>
      </c>
      <c r="I46" s="54">
        <v>0</v>
      </c>
      <c r="J46" s="54">
        <v>13625</v>
      </c>
      <c r="K46" s="54">
        <f>SUM(AE46:AH46)</f>
        <v>20267.349271387673</v>
      </c>
      <c r="L46" s="54">
        <v>-2721.782116308319</v>
      </c>
      <c r="M46" s="191"/>
      <c r="N46" s="72"/>
      <c r="O46" s="54">
        <v>319</v>
      </c>
      <c r="P46" s="54">
        <v>0</v>
      </c>
      <c r="Q46" s="54">
        <v>217</v>
      </c>
      <c r="R46" s="54">
        <v>-367</v>
      </c>
      <c r="S46" s="54">
        <v>206</v>
      </c>
      <c r="T46" s="54">
        <v>-608</v>
      </c>
      <c r="U46" s="54">
        <v>0</v>
      </c>
      <c r="V46" s="54">
        <v>-11189</v>
      </c>
      <c r="W46" s="54">
        <v>1800</v>
      </c>
      <c r="X46" s="54">
        <v>11</v>
      </c>
      <c r="Y46" s="54">
        <v>22513</v>
      </c>
      <c r="Z46" s="54">
        <v>0</v>
      </c>
      <c r="AA46" s="54">
        <v>0</v>
      </c>
      <c r="AB46" s="54">
        <v>-5435</v>
      </c>
      <c r="AC46" s="54">
        <v>1673</v>
      </c>
      <c r="AD46" s="54">
        <v>11136</v>
      </c>
      <c r="AE46" s="54">
        <v>10470</v>
      </c>
      <c r="AF46" s="54">
        <v>4251.0031183895007</v>
      </c>
      <c r="AG46" s="54">
        <v>8766.1385929981625</v>
      </c>
      <c r="AH46" s="54">
        <v>-3219.7924399999902</v>
      </c>
      <c r="AI46" s="54">
        <v>27531.320082036556</v>
      </c>
      <c r="AJ46" s="54">
        <v>20419.505513851142</v>
      </c>
      <c r="AK46" s="54">
        <v>-45035.435577998898</v>
      </c>
      <c r="AL46" s="54">
        <v>-5637.1721341971206</v>
      </c>
    </row>
    <row r="47" spans="2:38" s="17" customFormat="1" ht="15" customHeight="1" x14ac:dyDescent="0.35">
      <c r="B47" s="193" t="s">
        <v>36</v>
      </c>
      <c r="C47" s="193" t="s">
        <v>230</v>
      </c>
      <c r="D47" s="72"/>
      <c r="E47" s="54">
        <v>47</v>
      </c>
      <c r="F47" s="54">
        <v>-47</v>
      </c>
      <c r="G47" s="54">
        <v>0</v>
      </c>
      <c r="H47" s="54">
        <v>0</v>
      </c>
      <c r="I47" s="54">
        <v>-351</v>
      </c>
      <c r="J47" s="54">
        <v>0</v>
      </c>
      <c r="K47" s="54">
        <f t="shared" si="0"/>
        <v>0</v>
      </c>
      <c r="L47" s="54"/>
      <c r="M47" s="191"/>
      <c r="N47" s="72"/>
      <c r="O47" s="54">
        <v>0</v>
      </c>
      <c r="P47" s="54">
        <v>-235</v>
      </c>
      <c r="Q47" s="54">
        <v>155</v>
      </c>
      <c r="R47" s="54">
        <v>80</v>
      </c>
      <c r="S47" s="54">
        <v>0</v>
      </c>
      <c r="T47" s="54">
        <v>143</v>
      </c>
      <c r="U47" s="54">
        <v>-1197</v>
      </c>
      <c r="V47" s="54">
        <v>1054</v>
      </c>
      <c r="W47" s="54">
        <v>0</v>
      </c>
      <c r="X47" s="54">
        <v>0</v>
      </c>
      <c r="Y47" s="54">
        <v>0</v>
      </c>
      <c r="Z47" s="54">
        <v>-24675</v>
      </c>
      <c r="AA47" s="54">
        <v>6251</v>
      </c>
      <c r="AB47" s="54">
        <v>0</v>
      </c>
      <c r="AC47" s="54">
        <v>0</v>
      </c>
      <c r="AD47" s="54">
        <v>0</v>
      </c>
      <c r="AE47" s="54">
        <v>0</v>
      </c>
      <c r="AF47" s="54">
        <v>0</v>
      </c>
      <c r="AG47" s="54">
        <v>0</v>
      </c>
      <c r="AH47" s="54">
        <v>0</v>
      </c>
      <c r="AI47" s="54">
        <v>0</v>
      </c>
      <c r="AJ47" s="54">
        <v>0</v>
      </c>
      <c r="AK47" s="54">
        <v>0</v>
      </c>
      <c r="AL47" s="54"/>
    </row>
    <row r="48" spans="2:38" x14ac:dyDescent="0.35">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row>
    <row r="49" spans="2:38" s="17" customFormat="1" ht="15" customHeight="1" x14ac:dyDescent="0.35">
      <c r="B49" s="193" t="s">
        <v>494</v>
      </c>
      <c r="C49" s="193" t="s">
        <v>231</v>
      </c>
      <c r="D49" s="72"/>
      <c r="E49" s="54">
        <v>-4201</v>
      </c>
      <c r="F49" s="54">
        <v>-6798</v>
      </c>
      <c r="G49" s="54">
        <v>-12756</v>
      </c>
      <c r="H49" s="54">
        <v>-49538</v>
      </c>
      <c r="I49" s="54">
        <v>-232727</v>
      </c>
      <c r="J49" s="54">
        <v>-282115.1231201982</v>
      </c>
      <c r="K49" s="54">
        <f t="shared" si="0"/>
        <v>-283960.29382731573</v>
      </c>
      <c r="L49" s="54">
        <v>-316955.72970699106</v>
      </c>
      <c r="M49" s="191"/>
      <c r="N49" s="72"/>
      <c r="O49" s="54">
        <v>-2181</v>
      </c>
      <c r="P49" s="54">
        <v>-1954</v>
      </c>
      <c r="Q49" s="54">
        <v>-3553</v>
      </c>
      <c r="R49" s="54">
        <v>-5068</v>
      </c>
      <c r="S49" s="54">
        <v>-6947</v>
      </c>
      <c r="T49" s="54">
        <v>-8430</v>
      </c>
      <c r="U49" s="54">
        <v>-13398</v>
      </c>
      <c r="V49" s="54">
        <v>-20763</v>
      </c>
      <c r="W49" s="54">
        <v>-29220</v>
      </c>
      <c r="X49" s="54">
        <v>-80828</v>
      </c>
      <c r="Y49" s="54">
        <v>-13147</v>
      </c>
      <c r="Z49" s="54">
        <v>-109532</v>
      </c>
      <c r="AA49" s="54">
        <v>-8964.3970340467476</v>
      </c>
      <c r="AB49" s="54">
        <v>-132717.15177442326</v>
      </c>
      <c r="AC49" s="54">
        <v>-8889.8663762409869</v>
      </c>
      <c r="AD49" s="54">
        <v>-131543.70793548718</v>
      </c>
      <c r="AE49" s="54">
        <v>-7379.8891530034662</v>
      </c>
      <c r="AF49" s="54">
        <v>-115101.69130654534</v>
      </c>
      <c r="AG49" s="54">
        <v>-49385.970169787644</v>
      </c>
      <c r="AH49" s="54">
        <v>-112092.74319797929</v>
      </c>
      <c r="AI49" s="54">
        <v>-95130.768158974082</v>
      </c>
      <c r="AJ49" s="54">
        <v>-45626.869455712949</v>
      </c>
      <c r="AK49" s="54">
        <v>-123566.6971884212</v>
      </c>
      <c r="AL49" s="54">
        <v>-52631.3949038828</v>
      </c>
    </row>
    <row r="50" spans="2:38" s="17" customFormat="1" ht="15" customHeight="1" x14ac:dyDescent="0.35">
      <c r="B50" s="193" t="s">
        <v>495</v>
      </c>
      <c r="C50" s="193" t="s">
        <v>232</v>
      </c>
      <c r="D50" s="72"/>
      <c r="E50" s="54">
        <v>0</v>
      </c>
      <c r="F50" s="54">
        <v>0</v>
      </c>
      <c r="G50" s="54">
        <v>-268</v>
      </c>
      <c r="H50" s="54">
        <v>-1601</v>
      </c>
      <c r="I50" s="54">
        <v>-5776</v>
      </c>
      <c r="J50" s="54">
        <v>-10339</v>
      </c>
      <c r="K50" s="54">
        <f t="shared" si="0"/>
        <v>-11806.129221966341</v>
      </c>
      <c r="L50" s="54">
        <v>-14350.752530827347</v>
      </c>
      <c r="M50" s="191"/>
      <c r="N50" s="72"/>
      <c r="O50" s="54">
        <v>-16</v>
      </c>
      <c r="P50" s="54">
        <v>-25</v>
      </c>
      <c r="Q50" s="54">
        <v>-39</v>
      </c>
      <c r="R50" s="54">
        <v>-188</v>
      </c>
      <c r="S50" s="54">
        <v>-241</v>
      </c>
      <c r="T50" s="54">
        <v>-294</v>
      </c>
      <c r="U50" s="54">
        <v>-416</v>
      </c>
      <c r="V50" s="54">
        <v>-650</v>
      </c>
      <c r="W50" s="54">
        <v>-822.43863203291937</v>
      </c>
      <c r="X50" s="54">
        <v>-856.56136796708063</v>
      </c>
      <c r="Y50" s="54">
        <v>-1635</v>
      </c>
      <c r="Z50" s="54">
        <v>-2462</v>
      </c>
      <c r="AA50" s="54">
        <v>-2452.62208931856</v>
      </c>
      <c r="AB50" s="54">
        <v>-2535.5818770075703</v>
      </c>
      <c r="AC50" s="54">
        <v>-4565.6655024049005</v>
      </c>
      <c r="AD50" s="54">
        <v>-785.13053126896921</v>
      </c>
      <c r="AE50" s="54">
        <v>-2685.5</v>
      </c>
      <c r="AF50" s="54">
        <v>-2907</v>
      </c>
      <c r="AG50" s="54">
        <v>-2824.1699834849205</v>
      </c>
      <c r="AH50" s="54">
        <v>-3389.4592384814205</v>
      </c>
      <c r="AI50" s="54">
        <v>-3014.2035205606717</v>
      </c>
      <c r="AJ50" s="54">
        <v>-3475.5899763263378</v>
      </c>
      <c r="AK50" s="54">
        <v>-3790.2424878837055</v>
      </c>
      <c r="AL50" s="54">
        <v>-4070.716546056633</v>
      </c>
    </row>
    <row r="51" spans="2:38" s="17" customFormat="1" ht="15" customHeight="1" x14ac:dyDescent="0.35">
      <c r="B51" s="193" t="s">
        <v>341</v>
      </c>
      <c r="C51" s="193" t="s">
        <v>344</v>
      </c>
      <c r="D51" s="72"/>
      <c r="E51" s="54"/>
      <c r="F51" s="54"/>
      <c r="G51" s="54"/>
      <c r="H51" s="54"/>
      <c r="I51" s="54"/>
      <c r="J51" s="54">
        <v>-14044.359925632571</v>
      </c>
      <c r="K51" s="54">
        <f>SUM(AE51:AH51)</f>
        <v>-40991.697528074204</v>
      </c>
      <c r="L51" s="54">
        <v>-47173.865772492667</v>
      </c>
      <c r="M51" s="191"/>
      <c r="N51" s="72"/>
      <c r="O51" s="54">
        <v>0</v>
      </c>
      <c r="P51" s="54">
        <v>0</v>
      </c>
      <c r="Q51" s="54">
        <v>0</v>
      </c>
      <c r="R51" s="54">
        <v>0</v>
      </c>
      <c r="S51" s="54">
        <v>0</v>
      </c>
      <c r="T51" s="54">
        <v>0</v>
      </c>
      <c r="U51" s="54">
        <v>0</v>
      </c>
      <c r="V51" s="54">
        <v>0</v>
      </c>
      <c r="W51" s="54">
        <v>0</v>
      </c>
      <c r="X51" s="54">
        <v>0</v>
      </c>
      <c r="Y51" s="54">
        <v>0</v>
      </c>
      <c r="Z51" s="54">
        <v>0</v>
      </c>
      <c r="AA51" s="54">
        <v>-4568</v>
      </c>
      <c r="AB51" s="54">
        <v>-2751.9941101928998</v>
      </c>
      <c r="AC51" s="54">
        <v>-6548.1342381048999</v>
      </c>
      <c r="AD51" s="54">
        <v>-176.23157733477092</v>
      </c>
      <c r="AE51" s="54">
        <v>-21332</v>
      </c>
      <c r="AF51" s="54">
        <v>-15132.176932221031</v>
      </c>
      <c r="AG51" s="54">
        <v>-11050.112431479007</v>
      </c>
      <c r="AH51" s="54">
        <v>6522.5918356258335</v>
      </c>
      <c r="AI51" s="54">
        <v>-17236.651272781772</v>
      </c>
      <c r="AJ51" s="54">
        <v>-21165.974469481462</v>
      </c>
      <c r="AK51" s="54">
        <v>-6522.3853802294325</v>
      </c>
      <c r="AL51" s="54">
        <v>-2248.8546500000011</v>
      </c>
    </row>
    <row r="52" spans="2:38" s="17" customFormat="1" ht="15" customHeight="1" x14ac:dyDescent="0.35">
      <c r="B52" s="193" t="s">
        <v>496</v>
      </c>
      <c r="C52" s="193" t="s">
        <v>233</v>
      </c>
      <c r="D52" s="72"/>
      <c r="E52" s="54">
        <v>-13</v>
      </c>
      <c r="F52" s="54">
        <v>-15</v>
      </c>
      <c r="G52" s="54">
        <v>-22</v>
      </c>
      <c r="H52" s="54">
        <v>-22</v>
      </c>
      <c r="I52" s="54">
        <v>0</v>
      </c>
      <c r="J52" s="54">
        <v>0</v>
      </c>
      <c r="K52" s="54">
        <f t="shared" si="0"/>
        <v>-132.020320209781</v>
      </c>
      <c r="L52" s="54">
        <v>-3256.267363327579</v>
      </c>
      <c r="M52" s="191"/>
      <c r="N52" s="72"/>
      <c r="O52" s="54">
        <v>-5</v>
      </c>
      <c r="P52" s="54">
        <v>0</v>
      </c>
      <c r="Q52" s="54">
        <v>-4</v>
      </c>
      <c r="R52" s="54">
        <v>-13</v>
      </c>
      <c r="S52" s="54">
        <v>-8</v>
      </c>
      <c r="T52" s="54">
        <v>-4</v>
      </c>
      <c r="U52" s="54">
        <v>-3</v>
      </c>
      <c r="V52" s="54">
        <v>-7</v>
      </c>
      <c r="W52" s="54">
        <v>-23</v>
      </c>
      <c r="X52" s="54">
        <v>-25</v>
      </c>
      <c r="Y52" s="54">
        <v>48</v>
      </c>
      <c r="Z52" s="54">
        <v>0</v>
      </c>
      <c r="AA52" s="54">
        <v>0</v>
      </c>
      <c r="AB52" s="54">
        <v>0</v>
      </c>
      <c r="AC52" s="54">
        <v>0</v>
      </c>
      <c r="AD52" s="54">
        <v>0</v>
      </c>
      <c r="AE52" s="54">
        <v>0</v>
      </c>
      <c r="AF52" s="54">
        <v>-26.03447006782233</v>
      </c>
      <c r="AG52" s="54">
        <v>-54.965529932177674</v>
      </c>
      <c r="AH52" s="54">
        <v>-51.020320209781005</v>
      </c>
      <c r="AI52" s="54">
        <v>-61.454250641343542</v>
      </c>
      <c r="AJ52" s="54">
        <v>-51.709033516656454</v>
      </c>
      <c r="AK52" s="54">
        <v>-114.83671584199999</v>
      </c>
      <c r="AL52" s="54">
        <v>-3028.267363327579</v>
      </c>
    </row>
    <row r="53" spans="2:38" s="17" customFormat="1" ht="15" customHeight="1" x14ac:dyDescent="0.35">
      <c r="B53" s="193" t="s">
        <v>413</v>
      </c>
      <c r="C53" s="193" t="s">
        <v>506</v>
      </c>
      <c r="D53" s="72"/>
      <c r="E53" s="72"/>
      <c r="F53" s="72"/>
      <c r="G53" s="72"/>
      <c r="H53" s="72"/>
      <c r="I53" s="72"/>
      <c r="J53" s="72"/>
      <c r="K53" s="54">
        <f>SUM(AE53:AH53)</f>
        <v>-348</v>
      </c>
      <c r="L53" s="54">
        <v>-3541.3226806653729</v>
      </c>
      <c r="M53" s="191"/>
      <c r="N53" s="72"/>
      <c r="O53" s="72"/>
      <c r="P53" s="72"/>
      <c r="Q53" s="72"/>
      <c r="R53" s="72"/>
      <c r="S53" s="72"/>
      <c r="T53" s="72"/>
      <c r="U53" s="72"/>
      <c r="V53" s="72"/>
      <c r="W53" s="72"/>
      <c r="X53" s="72"/>
      <c r="Y53" s="72"/>
      <c r="Z53" s="72"/>
      <c r="AA53" s="72"/>
      <c r="AB53" s="72"/>
      <c r="AC53" s="72"/>
      <c r="AD53" s="72"/>
      <c r="AE53" s="72"/>
      <c r="AF53" s="72"/>
      <c r="AG53" s="72"/>
      <c r="AH53" s="54">
        <v>-348</v>
      </c>
      <c r="AI53" s="54">
        <v>-31.506659606079282</v>
      </c>
      <c r="AJ53" s="54">
        <v>-3056.9845403939207</v>
      </c>
      <c r="AK53" s="54">
        <v>-328.9507576327955</v>
      </c>
      <c r="AL53" s="54">
        <v>-123.88072303257734</v>
      </c>
    </row>
    <row r="54" spans="2:38" s="17" customFormat="1" ht="15" customHeight="1" x14ac:dyDescent="0.35">
      <c r="B54" s="193" t="s">
        <v>55</v>
      </c>
      <c r="C54" s="193" t="s">
        <v>234</v>
      </c>
      <c r="D54" s="72"/>
      <c r="E54" s="54">
        <v>-1795</v>
      </c>
      <c r="F54" s="54">
        <v>-2837</v>
      </c>
      <c r="G54" s="54">
        <v>-101279</v>
      </c>
      <c r="H54" s="54">
        <v>-645819</v>
      </c>
      <c r="I54" s="54">
        <v>-1017461</v>
      </c>
      <c r="J54" s="54">
        <v>-177238.5</v>
      </c>
      <c r="K54" s="54">
        <f t="shared" si="0"/>
        <v>-267359.41993027058</v>
      </c>
      <c r="L54" s="54">
        <v>-551461.88078759331</v>
      </c>
      <c r="M54" s="191"/>
      <c r="N54" s="72"/>
      <c r="O54" s="54">
        <v>-2500</v>
      </c>
      <c r="P54" s="54">
        <v>-11436</v>
      </c>
      <c r="Q54" s="54">
        <v>-39254</v>
      </c>
      <c r="R54" s="54">
        <v>-48089</v>
      </c>
      <c r="S54" s="54">
        <v>-106279</v>
      </c>
      <c r="T54" s="54">
        <v>-136982</v>
      </c>
      <c r="U54" s="54">
        <v>-239861</v>
      </c>
      <c r="V54" s="54">
        <v>-162697</v>
      </c>
      <c r="W54" s="54">
        <v>-215710.01175996353</v>
      </c>
      <c r="X54" s="54">
        <v>-228206.98824003647</v>
      </c>
      <c r="Y54" s="54">
        <v>-421924.00000000006</v>
      </c>
      <c r="Z54" s="54">
        <v>-151620</v>
      </c>
      <c r="AA54" s="54">
        <v>-46553.199135774019</v>
      </c>
      <c r="AB54" s="54">
        <v>-38531.354293035678</v>
      </c>
      <c r="AC54" s="54">
        <v>-62628.44035674099</v>
      </c>
      <c r="AD54" s="54">
        <v>-29526.05964325901</v>
      </c>
      <c r="AE54" s="54">
        <v>-51816</v>
      </c>
      <c r="AF54" s="54">
        <v>-93344.794854707143</v>
      </c>
      <c r="AG54" s="54">
        <v>-76860.865304717212</v>
      </c>
      <c r="AH54" s="54">
        <v>-45337.759770846227</v>
      </c>
      <c r="AI54" s="54">
        <v>-103622.02616456924</v>
      </c>
      <c r="AJ54" s="54">
        <v>-70407.21400955999</v>
      </c>
      <c r="AK54" s="54">
        <v>-51436.191335152907</v>
      </c>
      <c r="AL54" s="54">
        <v>-325996.44927831116</v>
      </c>
    </row>
    <row r="55" spans="2:38" s="17" customFormat="1" ht="15" customHeight="1" x14ac:dyDescent="0.35">
      <c r="B55" s="193" t="s">
        <v>90</v>
      </c>
      <c r="C55" s="193" t="s">
        <v>235</v>
      </c>
      <c r="D55" s="72"/>
      <c r="E55" s="54">
        <v>1708</v>
      </c>
      <c r="F55" s="54">
        <v>1368</v>
      </c>
      <c r="G55" s="54">
        <v>130</v>
      </c>
      <c r="H55" s="54">
        <v>5012</v>
      </c>
      <c r="I55" s="54">
        <v>0</v>
      </c>
      <c r="J55" s="54">
        <v>0</v>
      </c>
      <c r="K55" s="54">
        <f>SUM(AE55:AH55)</f>
        <v>0</v>
      </c>
      <c r="L55" s="54">
        <v>335901</v>
      </c>
      <c r="M55" s="191"/>
      <c r="N55" s="72"/>
      <c r="O55" s="54">
        <v>0</v>
      </c>
      <c r="P55" s="54">
        <v>0</v>
      </c>
      <c r="Q55" s="54">
        <v>377</v>
      </c>
      <c r="R55" s="54">
        <v>-247</v>
      </c>
      <c r="S55" s="54">
        <v>1880</v>
      </c>
      <c r="T55" s="54">
        <v>750</v>
      </c>
      <c r="U55" s="54">
        <v>439</v>
      </c>
      <c r="V55" s="54">
        <v>1943</v>
      </c>
      <c r="W55" s="54">
        <v>9517</v>
      </c>
      <c r="X55" s="54">
        <v>12105</v>
      </c>
      <c r="Y55" s="54">
        <v>0</v>
      </c>
      <c r="Z55" s="54">
        <v>0</v>
      </c>
      <c r="AA55" s="54">
        <v>0</v>
      </c>
      <c r="AB55" s="54">
        <v>0</v>
      </c>
      <c r="AC55" s="54">
        <v>0</v>
      </c>
      <c r="AD55" s="54">
        <v>0</v>
      </c>
      <c r="AE55" s="54"/>
      <c r="AF55" s="54"/>
      <c r="AG55" s="54"/>
      <c r="AH55" s="54"/>
      <c r="AI55" s="54">
        <v>63619.580549999999</v>
      </c>
      <c r="AJ55" s="54">
        <v>74893.419450000001</v>
      </c>
      <c r="AK55" s="54">
        <v>86194.000000000015</v>
      </c>
      <c r="AL55" s="54">
        <v>111194.00000000001</v>
      </c>
    </row>
    <row r="56" spans="2:38" s="17" customFormat="1" ht="15" customHeight="1" x14ac:dyDescent="0.35">
      <c r="B56" s="193" t="s">
        <v>57</v>
      </c>
      <c r="C56" s="193" t="s">
        <v>236</v>
      </c>
      <c r="D56" s="72"/>
      <c r="E56" s="54">
        <v>0</v>
      </c>
      <c r="F56" s="54">
        <v>-106</v>
      </c>
      <c r="G56" s="54">
        <v>0</v>
      </c>
      <c r="H56" s="54">
        <v>-3500</v>
      </c>
      <c r="I56" s="54">
        <v>-6080</v>
      </c>
      <c r="J56" s="54">
        <v>0</v>
      </c>
      <c r="K56" s="54">
        <f>SUM(AE56:AH56)</f>
        <v>-8241.5510000000068</v>
      </c>
      <c r="L56" s="54">
        <v>-2595.9259588759992</v>
      </c>
      <c r="M56" s="191"/>
      <c r="N56" s="72"/>
      <c r="O56" s="54">
        <v>0</v>
      </c>
      <c r="P56" s="54">
        <v>0</v>
      </c>
      <c r="Q56" s="54">
        <v>0</v>
      </c>
      <c r="R56" s="54">
        <v>0</v>
      </c>
      <c r="S56" s="54">
        <v>-134</v>
      </c>
      <c r="T56" s="54">
        <v>-481</v>
      </c>
      <c r="U56" s="54">
        <v>239</v>
      </c>
      <c r="V56" s="54">
        <v>-3124</v>
      </c>
      <c r="W56" s="54">
        <v>0</v>
      </c>
      <c r="X56" s="54">
        <v>-1800</v>
      </c>
      <c r="Y56" s="54">
        <v>-1441</v>
      </c>
      <c r="Z56" s="54">
        <v>-2839</v>
      </c>
      <c r="AA56" s="54">
        <v>0</v>
      </c>
      <c r="AB56" s="54">
        <v>0</v>
      </c>
      <c r="AC56" s="54">
        <v>0</v>
      </c>
      <c r="AD56" s="54">
        <v>0</v>
      </c>
      <c r="AE56" s="54">
        <v>0</v>
      </c>
      <c r="AF56" s="54">
        <v>0</v>
      </c>
      <c r="AG56" s="54">
        <v>0</v>
      </c>
      <c r="AH56" s="54">
        <v>-8241.5510000000068</v>
      </c>
      <c r="AI56" s="54">
        <v>-513.21799999999166</v>
      </c>
      <c r="AJ56" s="54">
        <v>-2083.0959999999905</v>
      </c>
      <c r="AK56" s="54">
        <v>0.38804112398293</v>
      </c>
      <c r="AL56" s="54">
        <v>0</v>
      </c>
    </row>
    <row r="57" spans="2:38" s="17" customFormat="1" x14ac:dyDescent="0.35">
      <c r="B57" s="69" t="s">
        <v>58</v>
      </c>
      <c r="C57" s="69" t="s">
        <v>237</v>
      </c>
      <c r="D57" s="198"/>
      <c r="E57" s="199">
        <f t="shared" ref="E57:K57" si="1">E6+SUM(E9:E34)+SUM(E36:E47)+SUM(E49:E56)</f>
        <v>11594</v>
      </c>
      <c r="F57" s="199">
        <f t="shared" si="1"/>
        <v>23633</v>
      </c>
      <c r="G57" s="199">
        <f t="shared" si="1"/>
        <v>-74982</v>
      </c>
      <c r="H57" s="199">
        <f t="shared" si="1"/>
        <v>-592585.39179000002</v>
      </c>
      <c r="I57" s="199">
        <f t="shared" si="1"/>
        <v>-693606</v>
      </c>
      <c r="J57" s="199">
        <f t="shared" si="1"/>
        <v>125875.49404401489</v>
      </c>
      <c r="K57" s="199">
        <f t="shared" si="1"/>
        <v>38135.972641532077</v>
      </c>
      <c r="L57" s="199">
        <f>L6+SUM(L9:L25)+SUM(L36:L46)+SUM(L49:L56)</f>
        <v>450645.04061871103</v>
      </c>
      <c r="M57" s="191"/>
      <c r="N57" s="72"/>
      <c r="O57" s="199">
        <v>-821</v>
      </c>
      <c r="P57" s="199">
        <v>-929</v>
      </c>
      <c r="Q57" s="199">
        <v>-30662.907790000001</v>
      </c>
      <c r="R57" s="199">
        <v>-42569.092210000003</v>
      </c>
      <c r="S57" s="199">
        <v>-106218</v>
      </c>
      <c r="T57" s="199">
        <v>-123341</v>
      </c>
      <c r="U57" s="199">
        <v>-212392</v>
      </c>
      <c r="V57" s="199">
        <v>-150634.39178999999</v>
      </c>
      <c r="W57" s="199">
        <v>-113358.88311267571</v>
      </c>
      <c r="X57" s="199">
        <v>-222585.11688732432</v>
      </c>
      <c r="Y57" s="199">
        <v>-188808.00000000006</v>
      </c>
      <c r="Z57" s="199">
        <v>-168854</v>
      </c>
      <c r="AA57" s="199">
        <v>76133.669290179241</v>
      </c>
      <c r="AB57" s="199">
        <v>-43637.056147649739</v>
      </c>
      <c r="AC57" s="199">
        <v>119699.35618494202</v>
      </c>
      <c r="AD57" s="199">
        <v>-26321.028712266299</v>
      </c>
      <c r="AE57" s="199">
        <v>68400.479916168522</v>
      </c>
      <c r="AF57" s="199">
        <v>-98873.554501288454</v>
      </c>
      <c r="AG57" s="199">
        <v>106496.06105418672</v>
      </c>
      <c r="AH57" s="199">
        <v>-37887.013827534654</v>
      </c>
      <c r="AI57" s="199">
        <f>AI6+SUM(AI9:AI24)+SUM(AI36:AI46)+SUM(AI49:AI56)</f>
        <v>243963.25390568248</v>
      </c>
      <c r="AJ57" s="199">
        <f>AJ6+SUM(AJ9:AJ24)+SUM(AJ36:AJ46)+SUM(AJ49:AJ56)</f>
        <v>91109.875138450283</v>
      </c>
      <c r="AK57" s="199">
        <f>AK6+SUM(AK9:AK24)+SUM(AK36:AK46)+SUM(AK49:AK56)</f>
        <v>25324.818798777007</v>
      </c>
      <c r="AL57" s="199">
        <f>AL6+SUM(AL9:AL25)+SUM(AL36:AL46)+SUM(AL49:AL56)</f>
        <v>90246.991178317985</v>
      </c>
    </row>
    <row r="58" spans="2:38" x14ac:dyDescent="0.35">
      <c r="B58" s="72"/>
      <c r="C58" s="72"/>
      <c r="D58" s="72"/>
      <c r="E58" s="72"/>
      <c r="F58" s="72"/>
      <c r="G58" s="72"/>
      <c r="H58" s="72"/>
      <c r="I58" s="72"/>
      <c r="J58" s="72"/>
      <c r="K58" s="72"/>
      <c r="L58" s="72"/>
      <c r="M58" s="191"/>
      <c r="N58" s="72"/>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72"/>
    </row>
    <row r="59" spans="2:38" x14ac:dyDescent="0.35">
      <c r="B59" s="192" t="s">
        <v>59</v>
      </c>
      <c r="C59" s="192" t="s">
        <v>238</v>
      </c>
      <c r="D59" s="72"/>
      <c r="E59" s="72"/>
      <c r="F59" s="72"/>
      <c r="G59" s="72"/>
      <c r="H59" s="72"/>
      <c r="I59" s="72"/>
      <c r="J59" s="72"/>
      <c r="K59" s="72"/>
      <c r="L59" s="72"/>
      <c r="M59" s="191"/>
      <c r="N59" s="72"/>
      <c r="O59" s="72"/>
      <c r="P59" s="72"/>
      <c r="Q59" s="72"/>
      <c r="R59" s="72"/>
      <c r="S59" s="72"/>
      <c r="T59" s="72"/>
      <c r="U59" s="72"/>
      <c r="V59" s="72"/>
      <c r="W59" s="72"/>
      <c r="X59" s="72"/>
      <c r="Y59" s="72"/>
      <c r="Z59" s="72"/>
      <c r="AA59" s="72"/>
      <c r="AB59" s="72"/>
      <c r="AC59" s="72"/>
      <c r="AD59" s="72"/>
      <c r="AE59" s="107"/>
      <c r="AF59" s="107"/>
      <c r="AG59" s="107"/>
      <c r="AH59" s="107"/>
      <c r="AI59" s="107"/>
      <c r="AJ59" s="107"/>
      <c r="AK59" s="72"/>
      <c r="AL59" s="72"/>
    </row>
    <row r="60" spans="2:38" s="17" customFormat="1" ht="15" customHeight="1" x14ac:dyDescent="0.35">
      <c r="B60" s="193" t="s">
        <v>155</v>
      </c>
      <c r="C60" s="193" t="s">
        <v>239</v>
      </c>
      <c r="D60" s="72"/>
      <c r="E60" s="54">
        <v>0</v>
      </c>
      <c r="F60" s="54">
        <v>0</v>
      </c>
      <c r="G60" s="54">
        <v>0</v>
      </c>
      <c r="H60" s="54">
        <v>0</v>
      </c>
      <c r="I60" s="54">
        <v>0</v>
      </c>
      <c r="J60" s="54">
        <v>-443117</v>
      </c>
      <c r="K60" s="54">
        <f t="shared" si="0"/>
        <v>124143.77567080111</v>
      </c>
      <c r="L60" s="54">
        <v>-510932.62619302969</v>
      </c>
      <c r="M60" s="191"/>
      <c r="N60" s="72"/>
      <c r="O60" s="72"/>
      <c r="P60" s="72"/>
      <c r="Q60" s="72"/>
      <c r="R60" s="72"/>
      <c r="S60" s="72"/>
      <c r="T60" s="72"/>
      <c r="U60" s="54">
        <v>0</v>
      </c>
      <c r="V60" s="54">
        <v>0</v>
      </c>
      <c r="W60" s="54">
        <v>0</v>
      </c>
      <c r="X60" s="54">
        <v>0</v>
      </c>
      <c r="Y60" s="54">
        <v>0</v>
      </c>
      <c r="Z60" s="54">
        <v>0</v>
      </c>
      <c r="AA60" s="54">
        <v>0</v>
      </c>
      <c r="AB60" s="54">
        <v>0</v>
      </c>
      <c r="AC60" s="54">
        <v>-407606</v>
      </c>
      <c r="AD60" s="54">
        <v>-35511</v>
      </c>
      <c r="AE60" s="54">
        <v>-590255.81510974059</v>
      </c>
      <c r="AF60" s="54">
        <v>186774.86360303243</v>
      </c>
      <c r="AG60" s="54">
        <v>194005.10438749357</v>
      </c>
      <c r="AH60" s="54">
        <v>333619.62279001571</v>
      </c>
      <c r="AI60" s="54">
        <v>186050.5071196263</v>
      </c>
      <c r="AJ60" s="54">
        <v>119.45804633319494</v>
      </c>
      <c r="AK60" s="54">
        <v>136548.97027828029</v>
      </c>
      <c r="AL60" s="54">
        <v>-833651.56163726945</v>
      </c>
    </row>
    <row r="61" spans="2:38" s="17" customFormat="1" ht="15" customHeight="1" x14ac:dyDescent="0.35">
      <c r="B61" s="193" t="s">
        <v>60</v>
      </c>
      <c r="C61" s="193" t="s">
        <v>240</v>
      </c>
      <c r="D61" s="72"/>
      <c r="E61" s="54">
        <v>-110</v>
      </c>
      <c r="F61" s="54">
        <v>0</v>
      </c>
      <c r="G61" s="54">
        <v>-410</v>
      </c>
      <c r="H61" s="54">
        <v>-1138</v>
      </c>
      <c r="I61" s="54">
        <v>-4912</v>
      </c>
      <c r="J61" s="54">
        <v>-8945</v>
      </c>
      <c r="K61" s="54">
        <f t="shared" si="0"/>
        <v>-868.20769230768201</v>
      </c>
      <c r="L61" s="54">
        <v>-7.2572399999999107</v>
      </c>
      <c r="M61" s="191"/>
      <c r="N61" s="72"/>
      <c r="O61" s="54">
        <v>-11</v>
      </c>
      <c r="P61" s="54">
        <v>0</v>
      </c>
      <c r="Q61" s="54">
        <v>-169</v>
      </c>
      <c r="R61" s="54">
        <v>-230</v>
      </c>
      <c r="S61" s="54">
        <v>-73</v>
      </c>
      <c r="T61" s="54">
        <v>-98</v>
      </c>
      <c r="U61" s="54">
        <v>-332</v>
      </c>
      <c r="V61" s="54">
        <v>-635</v>
      </c>
      <c r="W61" s="54">
        <v>-599</v>
      </c>
      <c r="X61" s="54">
        <v>-436</v>
      </c>
      <c r="Y61" s="54">
        <v>-784</v>
      </c>
      <c r="Z61" s="54">
        <v>-3093</v>
      </c>
      <c r="AA61" s="54">
        <v>-4615</v>
      </c>
      <c r="AB61" s="54">
        <v>-5066</v>
      </c>
      <c r="AC61" s="54">
        <v>-3627.3999999999996</v>
      </c>
      <c r="AD61" s="54">
        <v>4363.3999999999996</v>
      </c>
      <c r="AE61" s="54">
        <v>0</v>
      </c>
      <c r="AF61" s="54">
        <v>0</v>
      </c>
      <c r="AG61" s="54">
        <v>-868.97500000000582</v>
      </c>
      <c r="AH61" s="54">
        <v>0.76730769232381135</v>
      </c>
      <c r="AI61" s="54">
        <v>0</v>
      </c>
      <c r="AJ61" s="54">
        <v>-6.5067999999919266</v>
      </c>
      <c r="AK61" s="54">
        <v>-0.39747000000352273</v>
      </c>
      <c r="AL61" s="54">
        <v>-0.35297000000446133</v>
      </c>
    </row>
    <row r="62" spans="2:38" s="17" customFormat="1" ht="15" customHeight="1" x14ac:dyDescent="0.35">
      <c r="B62" s="193" t="s">
        <v>497</v>
      </c>
      <c r="C62" s="193" t="s">
        <v>241</v>
      </c>
      <c r="D62" s="72"/>
      <c r="E62" s="54">
        <v>0</v>
      </c>
      <c r="F62" s="54">
        <v>0</v>
      </c>
      <c r="G62" s="54">
        <v>0</v>
      </c>
      <c r="H62" s="54">
        <v>-135344.23264</v>
      </c>
      <c r="I62" s="54">
        <v>-84473</v>
      </c>
      <c r="J62" s="54">
        <v>0</v>
      </c>
      <c r="K62" s="54">
        <f t="shared" si="0"/>
        <v>-33624.060537692436</v>
      </c>
      <c r="L62" s="54">
        <v>-23838.700799999999</v>
      </c>
      <c r="M62" s="191"/>
      <c r="N62" s="72"/>
      <c r="O62" s="54">
        <v>0</v>
      </c>
      <c r="P62" s="54">
        <v>0</v>
      </c>
      <c r="Q62" s="54">
        <v>0</v>
      </c>
      <c r="R62" s="54">
        <v>0</v>
      </c>
      <c r="S62" s="54">
        <v>0</v>
      </c>
      <c r="T62" s="54">
        <v>0</v>
      </c>
      <c r="U62" s="54">
        <v>-21667</v>
      </c>
      <c r="V62" s="54">
        <v>-113677.23264</v>
      </c>
      <c r="W62" s="54">
        <v>-84398</v>
      </c>
      <c r="X62" s="54">
        <v>0</v>
      </c>
      <c r="Y62" s="54">
        <v>5315</v>
      </c>
      <c r="Z62" s="54">
        <v>-5390</v>
      </c>
      <c r="AA62" s="54">
        <v>0</v>
      </c>
      <c r="AB62" s="54">
        <v>0</v>
      </c>
      <c r="AC62" s="54">
        <v>0</v>
      </c>
      <c r="AD62" s="54">
        <v>0</v>
      </c>
      <c r="AE62" s="54">
        <v>0</v>
      </c>
      <c r="AF62" s="54">
        <v>0</v>
      </c>
      <c r="AG62" s="54">
        <v>-33624.085999999916</v>
      </c>
      <c r="AH62" s="54">
        <v>2.5462307479756419E-2</v>
      </c>
      <c r="AI62" s="54">
        <v>0</v>
      </c>
      <c r="AJ62" s="54">
        <v>0</v>
      </c>
      <c r="AK62" s="54">
        <v>0</v>
      </c>
      <c r="AL62" s="54">
        <v>-23838.700799999999</v>
      </c>
    </row>
    <row r="63" spans="2:38" s="17" customFormat="1" ht="15" customHeight="1" x14ac:dyDescent="0.35">
      <c r="B63" s="193" t="s">
        <v>498</v>
      </c>
      <c r="C63" s="193" t="s">
        <v>242</v>
      </c>
      <c r="D63" s="72"/>
      <c r="E63" s="54">
        <v>0</v>
      </c>
      <c r="F63" s="54">
        <v>0</v>
      </c>
      <c r="G63" s="54">
        <v>0</v>
      </c>
      <c r="H63" s="54">
        <v>20023</v>
      </c>
      <c r="I63" s="54">
        <v>0</v>
      </c>
      <c r="J63" s="54">
        <v>0</v>
      </c>
      <c r="K63" s="54">
        <f t="shared" si="0"/>
        <v>10282.5</v>
      </c>
      <c r="L63" s="54">
        <v>586.81603000000007</v>
      </c>
      <c r="M63" s="191"/>
      <c r="N63" s="72"/>
      <c r="O63" s="54">
        <v>0</v>
      </c>
      <c r="P63" s="54">
        <v>0</v>
      </c>
      <c r="Q63" s="54">
        <v>0</v>
      </c>
      <c r="R63" s="54">
        <v>0</v>
      </c>
      <c r="S63" s="54">
        <v>0</v>
      </c>
      <c r="T63" s="54">
        <v>0</v>
      </c>
      <c r="U63" s="54">
        <v>0</v>
      </c>
      <c r="V63" s="54">
        <v>20023</v>
      </c>
      <c r="W63" s="54">
        <v>0</v>
      </c>
      <c r="X63" s="54">
        <v>0</v>
      </c>
      <c r="Y63" s="54">
        <v>0</v>
      </c>
      <c r="Z63" s="54">
        <v>0</v>
      </c>
      <c r="AA63" s="54">
        <v>0</v>
      </c>
      <c r="AB63" s="54">
        <v>0</v>
      </c>
      <c r="AC63" s="54">
        <v>0</v>
      </c>
      <c r="AD63" s="54">
        <v>0</v>
      </c>
      <c r="AE63" s="54">
        <v>0</v>
      </c>
      <c r="AF63" s="54">
        <v>0</v>
      </c>
      <c r="AG63" s="54">
        <v>10282.5</v>
      </c>
      <c r="AH63" s="54">
        <v>0</v>
      </c>
      <c r="AI63" s="54">
        <v>0</v>
      </c>
      <c r="AJ63" s="54">
        <v>0</v>
      </c>
      <c r="AK63" s="54">
        <v>0</v>
      </c>
      <c r="AL63" s="54">
        <v>0</v>
      </c>
    </row>
    <row r="64" spans="2:38" s="17" customFormat="1" ht="15" customHeight="1" x14ac:dyDescent="0.35">
      <c r="B64" s="193" t="s">
        <v>139</v>
      </c>
      <c r="C64" s="193" t="s">
        <v>359</v>
      </c>
      <c r="D64" s="72"/>
      <c r="E64" s="54">
        <v>0</v>
      </c>
      <c r="F64" s="54">
        <v>0</v>
      </c>
      <c r="G64" s="54">
        <v>0</v>
      </c>
      <c r="H64" s="54">
        <v>0</v>
      </c>
      <c r="I64" s="54">
        <v>0</v>
      </c>
      <c r="J64" s="54">
        <v>-1867.9250000000002</v>
      </c>
      <c r="K64" s="54">
        <f t="shared" si="0"/>
        <v>0</v>
      </c>
      <c r="L64" s="54">
        <v>0</v>
      </c>
      <c r="M64" s="191"/>
      <c r="N64" s="72"/>
      <c r="O64" s="54"/>
      <c r="P64" s="54"/>
      <c r="Q64" s="54"/>
      <c r="R64" s="54"/>
      <c r="S64" s="54"/>
      <c r="T64" s="54"/>
      <c r="U64" s="54"/>
      <c r="V64" s="54"/>
      <c r="W64" s="54">
        <v>0</v>
      </c>
      <c r="X64" s="54">
        <v>0</v>
      </c>
      <c r="Y64" s="54">
        <v>0</v>
      </c>
      <c r="Z64" s="54">
        <v>0</v>
      </c>
      <c r="AA64" s="54">
        <v>0</v>
      </c>
      <c r="AB64" s="54">
        <v>0</v>
      </c>
      <c r="AC64" s="54">
        <v>-1868</v>
      </c>
      <c r="AD64" s="54">
        <v>0</v>
      </c>
      <c r="AE64" s="54">
        <v>0</v>
      </c>
      <c r="AF64" s="54">
        <v>0</v>
      </c>
      <c r="AG64" s="54">
        <v>0</v>
      </c>
      <c r="AH64" s="54">
        <v>0</v>
      </c>
      <c r="AI64" s="54">
        <v>-8871.6799699999992</v>
      </c>
      <c r="AJ64" s="54">
        <v>-0.13414999999804422</v>
      </c>
      <c r="AK64" s="54">
        <v>-9466.1745255000042</v>
      </c>
      <c r="AL64" s="54">
        <v>18337.988645500001</v>
      </c>
    </row>
    <row r="65" spans="2:38" s="17" customFormat="1" ht="6" customHeight="1" x14ac:dyDescent="0.35">
      <c r="B65" s="72"/>
      <c r="C65" s="72"/>
      <c r="D65" s="72"/>
      <c r="E65" s="72"/>
      <c r="F65" s="72"/>
      <c r="G65" s="72"/>
      <c r="H65" s="72"/>
      <c r="I65" s="72"/>
      <c r="J65" s="72"/>
      <c r="K65" s="72"/>
      <c r="L65" s="72"/>
      <c r="M65" s="191"/>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row>
    <row r="66" spans="2:38" s="17" customFormat="1" x14ac:dyDescent="0.35">
      <c r="B66" s="69" t="s">
        <v>61</v>
      </c>
      <c r="C66" s="69" t="s">
        <v>243</v>
      </c>
      <c r="D66" s="198"/>
      <c r="E66" s="199">
        <f>E61+E62+E63+E60</f>
        <v>-110</v>
      </c>
      <c r="F66" s="199">
        <f>F61+F62+F63+F60</f>
        <v>0</v>
      </c>
      <c r="G66" s="199">
        <f>G61+G62+G63+G60</f>
        <v>-410</v>
      </c>
      <c r="H66" s="199">
        <f>H61+H62+H63+H60</f>
        <v>-116459.23264</v>
      </c>
      <c r="I66" s="199">
        <f>I61+I62+I63+I60</f>
        <v>-89385</v>
      </c>
      <c r="J66" s="199">
        <f>J61+J62+J63+J60+J64</f>
        <v>-453929.92499999999</v>
      </c>
      <c r="K66" s="199">
        <f>K61+K62+K63+K60+K64</f>
        <v>99934.007440800997</v>
      </c>
      <c r="L66" s="199">
        <f>L61+L62+L63+L60+L64</f>
        <v>-534191.76820302964</v>
      </c>
      <c r="M66" s="191"/>
      <c r="N66" s="72"/>
      <c r="O66" s="199">
        <v>-11</v>
      </c>
      <c r="P66" s="199">
        <v>0</v>
      </c>
      <c r="Q66" s="199">
        <v>-169</v>
      </c>
      <c r="R66" s="199">
        <v>-230</v>
      </c>
      <c r="S66" s="199">
        <v>-73</v>
      </c>
      <c r="T66" s="199">
        <v>-98</v>
      </c>
      <c r="U66" s="199">
        <v>-21999</v>
      </c>
      <c r="V66" s="199">
        <v>-94289.232640000002</v>
      </c>
      <c r="W66" s="199">
        <v>-84997</v>
      </c>
      <c r="X66" s="199">
        <v>-436</v>
      </c>
      <c r="Y66" s="199">
        <v>4531</v>
      </c>
      <c r="Z66" s="199">
        <v>-8483</v>
      </c>
      <c r="AA66" s="199">
        <v>-4615</v>
      </c>
      <c r="AB66" s="199">
        <v>-5066</v>
      </c>
      <c r="AC66" s="199">
        <v>-413101.4</v>
      </c>
      <c r="AD66" s="199">
        <v>-31147.599999999999</v>
      </c>
      <c r="AE66" s="199">
        <v>-590255.81510974059</v>
      </c>
      <c r="AF66" s="199">
        <v>186774.86360303243</v>
      </c>
      <c r="AG66" s="199">
        <v>169794.54338749364</v>
      </c>
      <c r="AH66" s="199">
        <v>333620.41556001554</v>
      </c>
      <c r="AI66" s="199">
        <f t="shared" ref="AI66:AK66" si="2">AI61+AI62+AI63+AI60+AI64</f>
        <v>177178.8271496263</v>
      </c>
      <c r="AJ66" s="199">
        <f t="shared" ref="AJ66" si="3">AJ61+AJ62+AJ63+AJ60+AJ64</f>
        <v>112.81709633320497</v>
      </c>
      <c r="AK66" s="199">
        <f t="shared" si="2"/>
        <v>127082.3982827803</v>
      </c>
      <c r="AL66" s="199">
        <f>AL61+AL62+AL63+AL60+AL64</f>
        <v>-839152.62676176941</v>
      </c>
    </row>
    <row r="67" spans="2:38" x14ac:dyDescent="0.35">
      <c r="B67" s="72"/>
      <c r="C67" s="72"/>
      <c r="D67" s="72"/>
      <c r="E67" s="72"/>
      <c r="F67" s="72"/>
      <c r="G67" s="72"/>
      <c r="H67" s="72"/>
      <c r="I67" s="72"/>
      <c r="J67" s="72"/>
      <c r="K67" s="72"/>
      <c r="L67" s="72"/>
      <c r="M67" s="191"/>
      <c r="N67" s="72"/>
      <c r="O67" s="72"/>
      <c r="P67" s="72"/>
      <c r="Q67" s="72"/>
      <c r="R67" s="72"/>
      <c r="S67" s="72"/>
      <c r="T67" s="72"/>
      <c r="U67" s="72"/>
      <c r="V67" s="107"/>
      <c r="W67" s="72"/>
      <c r="X67" s="72"/>
      <c r="Y67" s="72"/>
      <c r="Z67" s="107"/>
      <c r="AA67" s="107"/>
      <c r="AB67" s="107"/>
      <c r="AC67" s="107"/>
      <c r="AD67" s="107"/>
      <c r="AE67" s="107"/>
      <c r="AF67" s="107"/>
      <c r="AG67" s="107"/>
      <c r="AH67" s="72"/>
      <c r="AI67" s="72"/>
      <c r="AJ67" s="72"/>
      <c r="AK67" s="72"/>
      <c r="AL67" s="72"/>
    </row>
    <row r="68" spans="2:38" x14ac:dyDescent="0.35">
      <c r="B68" s="192" t="s">
        <v>62</v>
      </c>
      <c r="C68" s="192" t="s">
        <v>244</v>
      </c>
      <c r="D68" s="72"/>
      <c r="E68" s="72"/>
      <c r="F68" s="72"/>
      <c r="G68" s="72"/>
      <c r="H68" s="72"/>
      <c r="I68" s="72"/>
      <c r="J68" s="72"/>
      <c r="K68" s="72"/>
      <c r="L68" s="72"/>
      <c r="M68" s="191"/>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row>
    <row r="69" spans="2:38" s="17" customFormat="1" ht="15" customHeight="1" x14ac:dyDescent="0.35">
      <c r="B69" s="193" t="s">
        <v>63</v>
      </c>
      <c r="C69" s="193" t="s">
        <v>191</v>
      </c>
      <c r="D69" s="72"/>
      <c r="E69" s="54">
        <v>0</v>
      </c>
      <c r="F69" s="54">
        <v>2241</v>
      </c>
      <c r="G69" s="54">
        <v>136285</v>
      </c>
      <c r="H69" s="54">
        <v>1639961</v>
      </c>
      <c r="I69" s="54">
        <v>778554</v>
      </c>
      <c r="J69" s="54"/>
      <c r="K69" s="54">
        <f t="shared" si="0"/>
        <v>1661097.7020641279</v>
      </c>
      <c r="L69" s="54">
        <v>496618.07087</v>
      </c>
      <c r="M69" s="191"/>
      <c r="N69" s="72"/>
      <c r="O69" s="54">
        <v>5687</v>
      </c>
      <c r="P69" s="54">
        <v>10241</v>
      </c>
      <c r="Q69" s="54">
        <v>58537</v>
      </c>
      <c r="R69" s="54">
        <v>61820</v>
      </c>
      <c r="S69" s="54">
        <v>118715</v>
      </c>
      <c r="T69" s="54">
        <v>202035</v>
      </c>
      <c r="U69" s="54">
        <v>118735</v>
      </c>
      <c r="V69" s="54">
        <v>1200476</v>
      </c>
      <c r="W69" s="54">
        <v>0</v>
      </c>
      <c r="X69" s="54">
        <v>0</v>
      </c>
      <c r="Y69" s="54">
        <v>483088</v>
      </c>
      <c r="Z69" s="54">
        <v>295466</v>
      </c>
      <c r="AA69" s="54">
        <v>0</v>
      </c>
      <c r="AB69" s="54">
        <v>0</v>
      </c>
      <c r="AC69" s="54">
        <v>0</v>
      </c>
      <c r="AD69" s="54">
        <v>0</v>
      </c>
      <c r="AE69" s="54">
        <v>694350</v>
      </c>
      <c r="AF69" s="54">
        <v>0</v>
      </c>
      <c r="AG69" s="54">
        <v>-4567.5714761735871</v>
      </c>
      <c r="AH69" s="54">
        <v>971315.27354030148</v>
      </c>
      <c r="AI69" s="54">
        <v>-151.17976446106331</v>
      </c>
      <c r="AJ69" s="54">
        <v>397.17976446141211</v>
      </c>
      <c r="AK69" s="54">
        <v>-246.00000000034879</v>
      </c>
      <c r="AL69" s="54">
        <v>496618.07087</v>
      </c>
    </row>
    <row r="70" spans="2:38" s="17" customFormat="1" ht="15" customHeight="1" x14ac:dyDescent="0.35">
      <c r="B70" s="193" t="s">
        <v>66</v>
      </c>
      <c r="C70" s="193" t="s">
        <v>247</v>
      </c>
      <c r="D70" s="72"/>
      <c r="E70" s="54">
        <v>-10545</v>
      </c>
      <c r="F70" s="54">
        <v>-19302</v>
      </c>
      <c r="G70" s="54">
        <v>-31904</v>
      </c>
      <c r="H70" s="54">
        <v>-288519</v>
      </c>
      <c r="I70" s="54">
        <v>-611810</v>
      </c>
      <c r="J70" s="54">
        <v>-36450.064779801665</v>
      </c>
      <c r="K70" s="54">
        <f>SUM(AE70:AH70)</f>
        <v>-1385552.5679487986</v>
      </c>
      <c r="L70" s="54">
        <v>-13671.004097921465</v>
      </c>
      <c r="M70" s="191"/>
      <c r="N70" s="72"/>
      <c r="O70" s="54">
        <v>-6700</v>
      </c>
      <c r="P70" s="54">
        <v>-5588</v>
      </c>
      <c r="Q70" s="54">
        <v>-8174</v>
      </c>
      <c r="R70" s="54">
        <v>-11442</v>
      </c>
      <c r="S70" s="54">
        <v>-31710</v>
      </c>
      <c r="T70" s="54">
        <v>-52049</v>
      </c>
      <c r="U70" s="54">
        <v>-48044</v>
      </c>
      <c r="V70" s="54">
        <v>-156716</v>
      </c>
      <c r="W70" s="54">
        <v>-114148</v>
      </c>
      <c r="X70" s="54">
        <v>-200651</v>
      </c>
      <c r="Y70" s="54">
        <v>-291618</v>
      </c>
      <c r="Z70" s="54">
        <v>-5393</v>
      </c>
      <c r="AA70" s="54">
        <v>-9643.8684259530146</v>
      </c>
      <c r="AB70" s="54">
        <v>-14934.726632553384</v>
      </c>
      <c r="AC70" s="54">
        <v>-6196.1566532419019</v>
      </c>
      <c r="AD70" s="54">
        <v>-5675.3130680533668</v>
      </c>
      <c r="AE70" s="54">
        <v>-9307.4795364275888</v>
      </c>
      <c r="AF70" s="54">
        <v>-5715.636803548874</v>
      </c>
      <c r="AG70" s="54">
        <v>-449.69296394462617</v>
      </c>
      <c r="AH70" s="54">
        <v>-1370079.7586448775</v>
      </c>
      <c r="AI70" s="54">
        <v>-4165.549260623553</v>
      </c>
      <c r="AJ70" s="54">
        <v>-4239.6331838848746</v>
      </c>
      <c r="AK70" s="54">
        <v>-3503.0688911765174</v>
      </c>
      <c r="AL70" s="54">
        <v>-1762.7527622365196</v>
      </c>
    </row>
    <row r="71" spans="2:38" s="17" customFormat="1" ht="15" customHeight="1" x14ac:dyDescent="0.35">
      <c r="B71" s="193" t="s">
        <v>499</v>
      </c>
      <c r="C71" s="193" t="s">
        <v>500</v>
      </c>
      <c r="D71" s="72"/>
      <c r="E71" s="54"/>
      <c r="F71" s="54"/>
      <c r="G71" s="54"/>
      <c r="H71" s="54"/>
      <c r="I71" s="54"/>
      <c r="J71" s="54">
        <v>-216184.98504433245</v>
      </c>
      <c r="K71" s="54">
        <f>SUM(AE71:AH71)</f>
        <v>-339573.24148289795</v>
      </c>
      <c r="L71" s="54">
        <v>-328492.94873750687</v>
      </c>
      <c r="M71" s="191"/>
      <c r="N71" s="72"/>
      <c r="O71" s="54">
        <v>0</v>
      </c>
      <c r="P71" s="54">
        <v>0</v>
      </c>
      <c r="Q71" s="54">
        <v>0</v>
      </c>
      <c r="R71" s="54">
        <v>0</v>
      </c>
      <c r="S71" s="54">
        <v>0</v>
      </c>
      <c r="T71" s="54">
        <v>0</v>
      </c>
      <c r="U71" s="54">
        <v>0</v>
      </c>
      <c r="V71" s="54">
        <v>0</v>
      </c>
      <c r="W71" s="54">
        <v>0</v>
      </c>
      <c r="X71" s="54">
        <v>0</v>
      </c>
      <c r="Y71" s="54">
        <v>0</v>
      </c>
      <c r="Z71" s="54">
        <v>0</v>
      </c>
      <c r="AA71" s="54">
        <v>-88335.87</v>
      </c>
      <c r="AB71" s="54">
        <v>-41382.130000000005</v>
      </c>
      <c r="AC71" s="54">
        <v>-84998.606481666997</v>
      </c>
      <c r="AD71" s="54">
        <v>-1468.3785626654571</v>
      </c>
      <c r="AE71" s="54">
        <v>-138431</v>
      </c>
      <c r="AF71" s="54">
        <v>-66752.679858750955</v>
      </c>
      <c r="AG71" s="54">
        <v>-66156.329238520993</v>
      </c>
      <c r="AH71" s="54">
        <v>-68233.232385626005</v>
      </c>
      <c r="AI71" s="54">
        <v>-145604.04703721771</v>
      </c>
      <c r="AJ71" s="54">
        <v>-171449.50923051889</v>
      </c>
      <c r="AK71" s="54">
        <v>4417.5402402297477</v>
      </c>
      <c r="AL71" s="54">
        <v>-15856.932710000023</v>
      </c>
    </row>
    <row r="72" spans="2:38" s="17" customFormat="1" ht="15" customHeight="1" x14ac:dyDescent="0.35">
      <c r="B72" s="193" t="s">
        <v>67</v>
      </c>
      <c r="C72" s="193" t="s">
        <v>248</v>
      </c>
      <c r="D72" s="72"/>
      <c r="E72" s="54">
        <v>0</v>
      </c>
      <c r="F72" s="54">
        <v>0</v>
      </c>
      <c r="G72" s="54">
        <v>-693</v>
      </c>
      <c r="H72" s="54">
        <v>-2624</v>
      </c>
      <c r="I72" s="54">
        <v>-5914</v>
      </c>
      <c r="J72" s="54">
        <v>-6560</v>
      </c>
      <c r="K72" s="54">
        <f>SUM(AE72:AH72)</f>
        <v>-8834.8008126254426</v>
      </c>
      <c r="L72" s="54">
        <v>-11334.860082974488</v>
      </c>
      <c r="M72" s="191"/>
      <c r="N72" s="72"/>
      <c r="O72" s="54">
        <v>-78</v>
      </c>
      <c r="P72" s="54">
        <v>-99</v>
      </c>
      <c r="Q72" s="54">
        <v>-185</v>
      </c>
      <c r="R72" s="54">
        <v>-331</v>
      </c>
      <c r="S72" s="54">
        <v>-429</v>
      </c>
      <c r="T72" s="54">
        <v>-561</v>
      </c>
      <c r="U72" s="54">
        <v>-563</v>
      </c>
      <c r="V72" s="54">
        <v>-1071</v>
      </c>
      <c r="W72" s="54">
        <v>-1415.550809138867</v>
      </c>
      <c r="X72" s="54">
        <v>-1851.449190861133</v>
      </c>
      <c r="Y72" s="54">
        <v>-1658</v>
      </c>
      <c r="Z72" s="54">
        <v>-989</v>
      </c>
      <c r="AA72" s="54">
        <v>-1489.6746042259847</v>
      </c>
      <c r="AB72" s="54">
        <v>-1356.9429581409954</v>
      </c>
      <c r="AC72" s="54">
        <v>-1634.7573548764399</v>
      </c>
      <c r="AD72" s="54">
        <v>-2078.62508275658</v>
      </c>
      <c r="AE72" s="54">
        <v>-1917</v>
      </c>
      <c r="AF72" s="54">
        <v>-2097.9108114481078</v>
      </c>
      <c r="AG72" s="54">
        <v>-2357.6251810928261</v>
      </c>
      <c r="AH72" s="54">
        <v>-2462.2648200845088</v>
      </c>
      <c r="AI72" s="54">
        <v>-2438.7794942860151</v>
      </c>
      <c r="AJ72" s="54">
        <v>-2769.6409674543461</v>
      </c>
      <c r="AK72" s="54">
        <v>-2918.9488962704886</v>
      </c>
      <c r="AL72" s="54">
        <v>-3207.4907249636376</v>
      </c>
    </row>
    <row r="73" spans="2:38" s="17" customFormat="1" ht="15" customHeight="1" x14ac:dyDescent="0.35">
      <c r="B73" s="193" t="s">
        <v>179</v>
      </c>
      <c r="C73" s="193" t="s">
        <v>321</v>
      </c>
      <c r="D73" s="72"/>
      <c r="E73" s="54">
        <v>0</v>
      </c>
      <c r="F73" s="54">
        <v>0</v>
      </c>
      <c r="G73" s="54">
        <v>0</v>
      </c>
      <c r="H73" s="54">
        <v>0</v>
      </c>
      <c r="I73" s="54">
        <v>-8119</v>
      </c>
      <c r="J73" s="54">
        <v>3297.1007600000003</v>
      </c>
      <c r="K73" s="54">
        <f>SUM(AE73:AH73)</f>
        <v>0</v>
      </c>
      <c r="L73" s="54">
        <v>-1781.0050799999972</v>
      </c>
      <c r="M73" s="191"/>
      <c r="N73" s="72"/>
      <c r="O73" s="54">
        <v>0</v>
      </c>
      <c r="P73" s="54">
        <v>0</v>
      </c>
      <c r="Q73" s="54">
        <v>0</v>
      </c>
      <c r="R73" s="54">
        <v>0</v>
      </c>
      <c r="S73" s="54">
        <v>0</v>
      </c>
      <c r="T73" s="54">
        <v>0</v>
      </c>
      <c r="U73" s="54">
        <v>0</v>
      </c>
      <c r="V73" s="54">
        <v>0</v>
      </c>
      <c r="W73" s="54">
        <v>0</v>
      </c>
      <c r="X73" s="54">
        <v>-3371</v>
      </c>
      <c r="Y73" s="54">
        <v>-4748</v>
      </c>
      <c r="Z73" s="54">
        <v>0</v>
      </c>
      <c r="AA73" s="54">
        <v>0</v>
      </c>
      <c r="AB73" s="54">
        <v>0</v>
      </c>
      <c r="AC73" s="54">
        <v>0</v>
      </c>
      <c r="AD73" s="54">
        <v>3297.1007600000003</v>
      </c>
      <c r="AE73" s="54">
        <v>0</v>
      </c>
      <c r="AF73" s="54">
        <v>0</v>
      </c>
      <c r="AG73" s="54">
        <v>0</v>
      </c>
      <c r="AH73" s="54">
        <v>0</v>
      </c>
      <c r="AI73" s="54">
        <v>0</v>
      </c>
      <c r="AJ73" s="54">
        <v>0</v>
      </c>
      <c r="AK73" s="54">
        <v>-1002</v>
      </c>
      <c r="AL73" s="54">
        <v>-779.00507999999718</v>
      </c>
    </row>
    <row r="74" spans="2:38" s="17" customFormat="1" ht="15" customHeight="1" x14ac:dyDescent="0.35">
      <c r="B74" s="193" t="s">
        <v>366</v>
      </c>
      <c r="C74" s="193" t="s">
        <v>367</v>
      </c>
      <c r="D74" s="72"/>
      <c r="E74" s="54">
        <v>-819</v>
      </c>
      <c r="F74" s="54">
        <v>-2187</v>
      </c>
      <c r="G74" s="54">
        <v>-21389</v>
      </c>
      <c r="H74" s="54">
        <v>-49185</v>
      </c>
      <c r="I74" s="54">
        <v>-99483</v>
      </c>
      <c r="J74" s="54">
        <v>-100000.10076</v>
      </c>
      <c r="K74" s="54">
        <f>SUM(AE74:AH74)</f>
        <v>-106800.00000000001</v>
      </c>
      <c r="L74" s="54">
        <v>-29064.286213076921</v>
      </c>
      <c r="M74" s="191"/>
      <c r="N74" s="72"/>
      <c r="O74" s="54">
        <v>-959</v>
      </c>
      <c r="P74" s="54">
        <v>-10430</v>
      </c>
      <c r="Q74" s="54">
        <v>-10000</v>
      </c>
      <c r="R74" s="54">
        <v>0</v>
      </c>
      <c r="S74" s="54">
        <v>-5500</v>
      </c>
      <c r="T74" s="54">
        <v>0</v>
      </c>
      <c r="U74" s="54">
        <v>-20428</v>
      </c>
      <c r="V74" s="54">
        <v>-23257</v>
      </c>
      <c r="W74" s="54">
        <v>0</v>
      </c>
      <c r="X74" s="54">
        <v>-40178</v>
      </c>
      <c r="Y74" s="54">
        <v>-25305</v>
      </c>
      <c r="Z74" s="54">
        <v>-34000</v>
      </c>
      <c r="AA74" s="54">
        <v>-41000</v>
      </c>
      <c r="AB74" s="54">
        <v>0</v>
      </c>
      <c r="AC74" s="54">
        <v>2704</v>
      </c>
      <c r="AD74" s="54">
        <v>-61704.100760000001</v>
      </c>
      <c r="AE74" s="54">
        <v>-12615</v>
      </c>
      <c r="AF74" s="54">
        <v>-34185</v>
      </c>
      <c r="AG74" s="54">
        <v>-60000.489999999991</v>
      </c>
      <c r="AH74" s="54">
        <v>0.48999999997613486</v>
      </c>
      <c r="AI74" s="54">
        <v>-9054</v>
      </c>
      <c r="AJ74" s="54">
        <v>-19882</v>
      </c>
      <c r="AK74" s="54">
        <v>-1073.0747925000105</v>
      </c>
      <c r="AL74" s="54">
        <v>944.78857942308969</v>
      </c>
    </row>
    <row r="75" spans="2:38" s="17" customFormat="1" ht="15" customHeight="1" outlineLevel="1" x14ac:dyDescent="0.35">
      <c r="B75" s="193" t="s">
        <v>64</v>
      </c>
      <c r="C75" s="193" t="s">
        <v>245</v>
      </c>
      <c r="D75" s="72"/>
      <c r="E75" s="54">
        <v>100</v>
      </c>
      <c r="F75" s="54">
        <v>0</v>
      </c>
      <c r="G75" s="54">
        <v>317</v>
      </c>
      <c r="H75" s="54">
        <v>1246</v>
      </c>
      <c r="I75" s="54">
        <v>0</v>
      </c>
      <c r="J75" s="54"/>
      <c r="K75" s="54">
        <f t="shared" si="0"/>
        <v>0</v>
      </c>
      <c r="L75" s="54"/>
      <c r="M75" s="191"/>
      <c r="N75" s="72"/>
      <c r="O75" s="54">
        <v>34</v>
      </c>
      <c r="P75" s="54">
        <v>266</v>
      </c>
      <c r="Q75" s="54">
        <v>0</v>
      </c>
      <c r="R75" s="54">
        <v>17</v>
      </c>
      <c r="S75" s="54">
        <v>0</v>
      </c>
      <c r="T75" s="54">
        <v>0</v>
      </c>
      <c r="U75" s="54">
        <v>0</v>
      </c>
      <c r="V75" s="54">
        <v>1246</v>
      </c>
      <c r="W75" s="54">
        <v>0</v>
      </c>
      <c r="X75" s="54">
        <v>0</v>
      </c>
      <c r="Y75" s="54">
        <v>0</v>
      </c>
      <c r="Z75" s="54">
        <v>1257</v>
      </c>
      <c r="AA75" s="54">
        <v>0</v>
      </c>
      <c r="AB75" s="54">
        <v>0</v>
      </c>
      <c r="AC75" s="54">
        <v>0</v>
      </c>
      <c r="AD75" s="54">
        <v>0</v>
      </c>
      <c r="AE75" s="54">
        <v>0</v>
      </c>
      <c r="AF75" s="54">
        <v>0</v>
      </c>
      <c r="AG75" s="54">
        <v>0</v>
      </c>
      <c r="AH75" s="54">
        <v>0</v>
      </c>
      <c r="AI75" s="54">
        <v>0</v>
      </c>
      <c r="AJ75" s="54">
        <v>0</v>
      </c>
      <c r="AK75" s="54">
        <v>0</v>
      </c>
      <c r="AL75" s="54"/>
    </row>
    <row r="76" spans="2:38" s="17" customFormat="1" ht="15" customHeight="1" outlineLevel="1" x14ac:dyDescent="0.35">
      <c r="B76" s="193" t="s">
        <v>65</v>
      </c>
      <c r="C76" s="193" t="s">
        <v>246</v>
      </c>
      <c r="D76" s="72"/>
      <c r="E76" s="54">
        <v>0</v>
      </c>
      <c r="F76" s="54">
        <v>0</v>
      </c>
      <c r="G76" s="54">
        <v>75975</v>
      </c>
      <c r="H76" s="54">
        <v>991643</v>
      </c>
      <c r="I76" s="54">
        <v>0</v>
      </c>
      <c r="J76" s="54"/>
      <c r="K76" s="54">
        <f t="shared" si="0"/>
        <v>0</v>
      </c>
      <c r="L76" s="54"/>
      <c r="M76" s="191"/>
      <c r="N76" s="72"/>
      <c r="O76" s="54">
        <v>475</v>
      </c>
      <c r="P76" s="54">
        <v>20000</v>
      </c>
      <c r="Q76" s="54">
        <v>27000</v>
      </c>
      <c r="R76" s="54">
        <v>28500</v>
      </c>
      <c r="S76" s="54">
        <v>50404</v>
      </c>
      <c r="T76" s="54">
        <v>0</v>
      </c>
      <c r="U76" s="54">
        <v>950119.2876618756</v>
      </c>
      <c r="V76" s="54">
        <v>-8880.2876618755981</v>
      </c>
      <c r="W76" s="54">
        <v>0</v>
      </c>
      <c r="X76" s="54">
        <v>0</v>
      </c>
      <c r="Y76" s="54">
        <v>0</v>
      </c>
      <c r="Z76" s="54">
        <v>0</v>
      </c>
      <c r="AA76" s="54">
        <v>0</v>
      </c>
      <c r="AB76" s="54">
        <v>0</v>
      </c>
      <c r="AC76" s="54">
        <v>0</v>
      </c>
      <c r="AD76" s="54">
        <v>0</v>
      </c>
      <c r="AE76" s="54"/>
      <c r="AF76" s="54">
        <v>0</v>
      </c>
      <c r="AG76" s="54">
        <v>0</v>
      </c>
      <c r="AH76" s="54">
        <v>0</v>
      </c>
      <c r="AI76" s="54">
        <v>0</v>
      </c>
      <c r="AJ76" s="54">
        <v>0</v>
      </c>
      <c r="AK76" s="54">
        <v>0</v>
      </c>
      <c r="AL76" s="54"/>
    </row>
    <row r="77" spans="2:38" s="17" customFormat="1" ht="15" customHeight="1" outlineLevel="1" x14ac:dyDescent="0.35">
      <c r="B77" s="193" t="s">
        <v>68</v>
      </c>
      <c r="C77" s="193" t="s">
        <v>249</v>
      </c>
      <c r="D77" s="72"/>
      <c r="E77" s="54">
        <v>-50</v>
      </c>
      <c r="F77" s="54">
        <v>-52</v>
      </c>
      <c r="G77" s="54">
        <v>-57</v>
      </c>
      <c r="H77" s="54">
        <v>-123</v>
      </c>
      <c r="I77" s="54">
        <v>0</v>
      </c>
      <c r="J77" s="54">
        <v>0</v>
      </c>
      <c r="K77" s="54">
        <f>SUM(AE77:AH77)</f>
        <v>-1900.66696</v>
      </c>
      <c r="L77" s="54"/>
      <c r="M77" s="191"/>
      <c r="N77" s="72"/>
      <c r="O77" s="54">
        <v>-15</v>
      </c>
      <c r="P77" s="54">
        <v>0</v>
      </c>
      <c r="Q77" s="54">
        <v>-14</v>
      </c>
      <c r="R77" s="54">
        <v>-28</v>
      </c>
      <c r="S77" s="54">
        <v>-24</v>
      </c>
      <c r="T77" s="54">
        <v>-24</v>
      </c>
      <c r="U77" s="54">
        <v>-31</v>
      </c>
      <c r="V77" s="54">
        <v>-44</v>
      </c>
      <c r="W77" s="54">
        <v>-1223</v>
      </c>
      <c r="X77" s="54">
        <v>52</v>
      </c>
      <c r="Y77" s="54">
        <v>-86</v>
      </c>
      <c r="Z77" s="54">
        <v>0</v>
      </c>
      <c r="AA77" s="54">
        <v>-18</v>
      </c>
      <c r="AB77" s="54">
        <v>-34</v>
      </c>
      <c r="AC77" s="54">
        <v>-13</v>
      </c>
      <c r="AD77" s="54">
        <v>65</v>
      </c>
      <c r="AE77" s="54">
        <v>0</v>
      </c>
      <c r="AF77" s="54">
        <v>-783.98269205617862</v>
      </c>
      <c r="AG77" s="54">
        <v>-554.01730794382138</v>
      </c>
      <c r="AH77" s="54">
        <v>-562.66696000000002</v>
      </c>
      <c r="AI77" s="54">
        <v>0</v>
      </c>
      <c r="AJ77" s="54">
        <v>0</v>
      </c>
      <c r="AK77" s="54">
        <v>0</v>
      </c>
      <c r="AL77" s="54"/>
    </row>
    <row r="78" spans="2:38" s="17" customFormat="1" ht="15" customHeight="1" outlineLevel="1" x14ac:dyDescent="0.35">
      <c r="B78" s="193" t="s">
        <v>69</v>
      </c>
      <c r="C78" s="193" t="s">
        <v>250</v>
      </c>
      <c r="D78" s="72"/>
      <c r="E78" s="54">
        <v>0</v>
      </c>
      <c r="F78" s="54">
        <v>0</v>
      </c>
      <c r="G78" s="54">
        <v>-5168</v>
      </c>
      <c r="H78" s="54">
        <v>0</v>
      </c>
      <c r="I78" s="54">
        <v>0</v>
      </c>
      <c r="J78" s="54">
        <v>0</v>
      </c>
      <c r="K78" s="54">
        <f>SUM(AE78:AH78)</f>
        <v>0</v>
      </c>
      <c r="L78" s="54"/>
      <c r="M78" s="191"/>
      <c r="N78" s="72"/>
      <c r="O78" s="54">
        <v>0</v>
      </c>
      <c r="P78" s="54">
        <v>-4494</v>
      </c>
      <c r="Q78" s="54">
        <v>-666</v>
      </c>
      <c r="R78" s="54">
        <v>-8</v>
      </c>
      <c r="S78" s="54">
        <v>-969</v>
      </c>
      <c r="T78" s="54">
        <v>0</v>
      </c>
      <c r="U78" s="54">
        <v>-7911</v>
      </c>
      <c r="V78" s="54">
        <v>8880</v>
      </c>
      <c r="W78" s="54">
        <v>0</v>
      </c>
      <c r="X78" s="54">
        <v>0</v>
      </c>
      <c r="Y78" s="54">
        <v>0</v>
      </c>
      <c r="Z78" s="54">
        <v>0</v>
      </c>
      <c r="AA78" s="54">
        <v>0</v>
      </c>
      <c r="AB78" s="54">
        <v>0</v>
      </c>
      <c r="AC78" s="54">
        <v>0</v>
      </c>
      <c r="AD78" s="54">
        <v>0</v>
      </c>
      <c r="AE78" s="54">
        <v>0</v>
      </c>
      <c r="AF78" s="54">
        <v>0</v>
      </c>
      <c r="AG78" s="54">
        <v>0</v>
      </c>
      <c r="AH78" s="54">
        <v>0</v>
      </c>
      <c r="AI78" s="54">
        <v>0</v>
      </c>
      <c r="AJ78" s="54">
        <v>0</v>
      </c>
      <c r="AK78" s="54">
        <v>0</v>
      </c>
      <c r="AL78" s="54"/>
    </row>
    <row r="79" spans="2:38" s="17" customFormat="1" x14ac:dyDescent="0.35">
      <c r="B79" s="72"/>
      <c r="C79" s="72"/>
      <c r="D79" s="72"/>
      <c r="E79" s="72"/>
      <c r="F79" s="72"/>
      <c r="G79" s="72"/>
      <c r="H79" s="72"/>
      <c r="I79" s="72"/>
      <c r="J79" s="72"/>
      <c r="K79" s="72"/>
      <c r="L79" s="72"/>
      <c r="M79" s="191"/>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row>
    <row r="80" spans="2:38" s="17" customFormat="1" x14ac:dyDescent="0.35">
      <c r="B80" s="69" t="s">
        <v>70</v>
      </c>
      <c r="C80" s="69" t="s">
        <v>251</v>
      </c>
      <c r="D80" s="198"/>
      <c r="E80" s="199">
        <v>-11314</v>
      </c>
      <c r="F80" s="199">
        <v>-19300</v>
      </c>
      <c r="G80" s="199">
        <v>153366</v>
      </c>
      <c r="H80" s="199">
        <f>SUM(H69:H78)</f>
        <v>2292399</v>
      </c>
      <c r="I80" s="199">
        <f>SUM(I69:I78)</f>
        <v>53228</v>
      </c>
      <c r="J80" s="199">
        <f>SUM(J69:J78)</f>
        <v>-355898.0498241341</v>
      </c>
      <c r="K80" s="199">
        <f>SUM(K69:K78)</f>
        <v>-181563.57514019415</v>
      </c>
      <c r="L80" s="199">
        <f>SUM(L69:L74)</f>
        <v>112273.96665852024</v>
      </c>
      <c r="M80" s="191"/>
      <c r="N80" s="72"/>
      <c r="O80" s="199">
        <v>-1556</v>
      </c>
      <c r="P80" s="199">
        <v>9896</v>
      </c>
      <c r="Q80" s="199">
        <v>66498</v>
      </c>
      <c r="R80" s="199">
        <v>78528</v>
      </c>
      <c r="S80" s="199">
        <v>130487</v>
      </c>
      <c r="T80" s="199">
        <v>149401</v>
      </c>
      <c r="U80" s="199">
        <v>991877.2876618756</v>
      </c>
      <c r="V80" s="199">
        <v>1020633.7123381244</v>
      </c>
      <c r="W80" s="199">
        <v>-116786.55080913886</v>
      </c>
      <c r="X80" s="199">
        <v>-245999.44919086114</v>
      </c>
      <c r="Y80" s="199">
        <v>159673</v>
      </c>
      <c r="Z80" s="199">
        <v>256341</v>
      </c>
      <c r="AA80" s="199">
        <v>-140487.41303017898</v>
      </c>
      <c r="AB80" s="199">
        <v>-57707.799590694383</v>
      </c>
      <c r="AC80" s="199">
        <v>-90138.52048978534</v>
      </c>
      <c r="AD80" s="199">
        <v>-67564.316713475404</v>
      </c>
      <c r="AE80" s="199">
        <v>532079.52046357247</v>
      </c>
      <c r="AF80" s="199">
        <v>-109535.21016580411</v>
      </c>
      <c r="AG80" s="199">
        <v>-134085.72616767584</v>
      </c>
      <c r="AH80" s="199">
        <v>-470022.1592702865</v>
      </c>
      <c r="AI80" s="199">
        <f t="shared" ref="AI80" si="4">SUM(AI69:AI74)</f>
        <v>-161413.55555658834</v>
      </c>
      <c r="AJ80" s="199">
        <f>SUM(AJ69:AJ74)</f>
        <v>-197943.6036173967</v>
      </c>
      <c r="AK80" s="199">
        <f>SUM(AK69:AK74)</f>
        <v>-4325.5523397176175</v>
      </c>
      <c r="AL80" s="199">
        <f>SUM(AL69:AL74)</f>
        <v>475956.67817222292</v>
      </c>
    </row>
    <row r="81" spans="2:38" s="17" customFormat="1" x14ac:dyDescent="0.35">
      <c r="B81" s="72"/>
      <c r="C81" s="72"/>
      <c r="D81" s="72"/>
      <c r="E81" s="72"/>
      <c r="F81" s="72"/>
      <c r="G81" s="72"/>
      <c r="H81" s="72"/>
      <c r="I81" s="72"/>
      <c r="J81" s="72"/>
      <c r="K81" s="72"/>
      <c r="L81" s="72"/>
      <c r="M81" s="191"/>
      <c r="N81" s="72"/>
      <c r="O81" s="72"/>
      <c r="P81" s="72"/>
      <c r="Q81" s="72"/>
      <c r="R81" s="72"/>
      <c r="S81" s="72"/>
      <c r="T81" s="72"/>
      <c r="U81" s="72"/>
      <c r="V81" s="72"/>
      <c r="W81" s="72"/>
      <c r="X81" s="72"/>
      <c r="Y81" s="72"/>
      <c r="Z81" s="72"/>
      <c r="AA81" s="107"/>
      <c r="AB81" s="107"/>
      <c r="AC81" s="107"/>
      <c r="AD81" s="107"/>
      <c r="AE81" s="107"/>
      <c r="AF81" s="107"/>
      <c r="AG81" s="107"/>
      <c r="AH81" s="107"/>
      <c r="AI81" s="107"/>
      <c r="AJ81" s="107"/>
      <c r="AK81" s="107"/>
      <c r="AL81" s="72"/>
    </row>
    <row r="82" spans="2:38" s="17" customFormat="1" x14ac:dyDescent="0.35">
      <c r="B82" s="69" t="s">
        <v>71</v>
      </c>
      <c r="C82" s="69" t="s">
        <v>252</v>
      </c>
      <c r="D82" s="198"/>
      <c r="E82" s="199">
        <v>170</v>
      </c>
      <c r="F82" s="199">
        <v>4333</v>
      </c>
      <c r="G82" s="199">
        <v>77974</v>
      </c>
      <c r="H82" s="199">
        <f>H80+H66+H57</f>
        <v>1583354.3755699999</v>
      </c>
      <c r="I82" s="199">
        <f>I80+I66+I57</f>
        <v>-729763</v>
      </c>
      <c r="J82" s="199">
        <f>J80+J66+J57</f>
        <v>-683952.48078011908</v>
      </c>
      <c r="K82" s="199">
        <f>K80+K66+K57</f>
        <v>-43493.595057861079</v>
      </c>
      <c r="L82" s="199">
        <f>L80+L66+L57</f>
        <v>28727.239074201614</v>
      </c>
      <c r="M82" s="191"/>
      <c r="N82" s="72"/>
      <c r="O82" s="199">
        <v>-2388</v>
      </c>
      <c r="P82" s="199">
        <v>8967</v>
      </c>
      <c r="Q82" s="199">
        <v>35666.092210000003</v>
      </c>
      <c r="R82" s="199">
        <v>35728.907789999997</v>
      </c>
      <c r="S82" s="199">
        <v>24196</v>
      </c>
      <c r="T82" s="199">
        <v>25962</v>
      </c>
      <c r="U82" s="199">
        <v>757486.2876618756</v>
      </c>
      <c r="V82" s="199">
        <v>775710.08790812432</v>
      </c>
      <c r="W82" s="199">
        <v>-315142.43392181455</v>
      </c>
      <c r="X82" s="199">
        <v>-469020.56607818545</v>
      </c>
      <c r="Y82" s="199">
        <v>-24604.000000000058</v>
      </c>
      <c r="Z82" s="199">
        <v>79004</v>
      </c>
      <c r="AA82" s="199">
        <v>-68968.743739999743</v>
      </c>
      <c r="AB82" s="199">
        <v>-106410.85573834412</v>
      </c>
      <c r="AC82" s="199">
        <v>-383540.56430484337</v>
      </c>
      <c r="AD82" s="199">
        <v>-125032.94542574169</v>
      </c>
      <c r="AE82" s="199">
        <v>10224.185270000395</v>
      </c>
      <c r="AF82" s="199">
        <v>-21633.901064060134</v>
      </c>
      <c r="AG82" s="199">
        <v>142204.87827400453</v>
      </c>
      <c r="AH82" s="199">
        <v>-174288.75753780562</v>
      </c>
      <c r="AI82" s="199">
        <f>AI80+AI66+AI57</f>
        <v>259728.52549872044</v>
      </c>
      <c r="AJ82" s="199">
        <f>AJ80+AJ66+AJ57</f>
        <v>-106720.91138261322</v>
      </c>
      <c r="AK82" s="199">
        <f>AK80+AK66+AK57</f>
        <v>148081.66474183969</v>
      </c>
      <c r="AL82" s="199">
        <f>AL80+AL66+AL57</f>
        <v>-272948.9574112285</v>
      </c>
    </row>
    <row r="83" spans="2:38" s="17" customFormat="1" x14ac:dyDescent="0.35">
      <c r="B83" s="72"/>
      <c r="C83" s="72"/>
      <c r="D83" s="72"/>
      <c r="E83" s="72"/>
      <c r="F83" s="72"/>
      <c r="G83" s="72"/>
      <c r="H83" s="54"/>
      <c r="I83" s="54"/>
      <c r="J83" s="54"/>
      <c r="K83" s="54">
        <f t="shared" ref="K83" si="5">SUM(AE83:AH83)</f>
        <v>0</v>
      </c>
      <c r="L83" s="54"/>
      <c r="M83" s="191"/>
      <c r="N83" s="72"/>
      <c r="O83" s="72"/>
      <c r="P83" s="72"/>
      <c r="Q83" s="72"/>
      <c r="R83" s="72"/>
      <c r="S83" s="72"/>
      <c r="T83" s="72"/>
      <c r="U83" s="54"/>
      <c r="V83" s="54"/>
      <c r="W83" s="54"/>
      <c r="X83" s="54"/>
      <c r="Y83" s="54"/>
      <c r="Z83" s="54"/>
      <c r="AA83" s="54"/>
      <c r="AB83" s="54"/>
      <c r="AC83" s="54"/>
      <c r="AD83" s="54"/>
      <c r="AE83" s="54"/>
      <c r="AF83" s="54"/>
      <c r="AG83" s="54"/>
      <c r="AH83" s="54"/>
      <c r="AI83" s="54"/>
      <c r="AJ83" s="54"/>
      <c r="AK83" s="54"/>
      <c r="AL83" s="54"/>
    </row>
    <row r="84" spans="2:38" s="17" customFormat="1" ht="15" customHeight="1" x14ac:dyDescent="0.35">
      <c r="B84" s="193" t="s">
        <v>72</v>
      </c>
      <c r="C84" s="193" t="s">
        <v>253</v>
      </c>
      <c r="D84" s="72"/>
      <c r="E84" s="54">
        <v>2290</v>
      </c>
      <c r="F84" s="54">
        <v>3828</v>
      </c>
      <c r="G84" s="54">
        <v>6793</v>
      </c>
      <c r="H84" s="54">
        <f>G85</f>
        <v>84767</v>
      </c>
      <c r="I84" s="54">
        <f>H85</f>
        <v>1668121.3755699999</v>
      </c>
      <c r="J84" s="54">
        <f>I85</f>
        <v>938358.37556999992</v>
      </c>
      <c r="K84" s="54">
        <f>AD85</f>
        <v>254405.26636107077</v>
      </c>
      <c r="L84" s="54">
        <f>K85</f>
        <v>210911.67130320994</v>
      </c>
      <c r="M84" s="191"/>
      <c r="N84" s="72"/>
      <c r="O84" s="54">
        <v>6793</v>
      </c>
      <c r="P84" s="54">
        <f t="shared" ref="P84:R84" si="6">O85</f>
        <v>4405</v>
      </c>
      <c r="Q84" s="54">
        <f t="shared" si="6"/>
        <v>13372</v>
      </c>
      <c r="R84" s="54">
        <f t="shared" si="6"/>
        <v>49038.092210000003</v>
      </c>
      <c r="S84" s="54">
        <f>R85</f>
        <v>84767</v>
      </c>
      <c r="T84" s="54">
        <f t="shared" ref="T84" si="7">S85</f>
        <v>108963</v>
      </c>
      <c r="U84" s="54">
        <f>T85</f>
        <v>134925</v>
      </c>
      <c r="V84" s="54">
        <f t="shared" ref="V84" si="8">U85</f>
        <v>892411.2876618756</v>
      </c>
      <c r="W84" s="54">
        <f t="shared" ref="W84:AA84" si="9">V85</f>
        <v>1668121.3755699999</v>
      </c>
      <c r="X84" s="54">
        <f t="shared" si="9"/>
        <v>1352978.9416481853</v>
      </c>
      <c r="Y84" s="54">
        <f t="shared" si="9"/>
        <v>883958.3755699998</v>
      </c>
      <c r="Z84" s="54">
        <f t="shared" si="9"/>
        <v>859354.37556999968</v>
      </c>
      <c r="AA84" s="54">
        <f t="shared" si="9"/>
        <v>938358.37556999968</v>
      </c>
      <c r="AB84" s="54">
        <f t="shared" ref="AB84:AG84" si="10">AA85</f>
        <v>869389.63182999997</v>
      </c>
      <c r="AC84" s="54">
        <f t="shared" si="10"/>
        <v>762978.77609165583</v>
      </c>
      <c r="AD84" s="54">
        <f t="shared" si="10"/>
        <v>379438.21178681246</v>
      </c>
      <c r="AE84" s="54">
        <f t="shared" si="10"/>
        <v>254405.26636107077</v>
      </c>
      <c r="AF84" s="54">
        <f t="shared" si="10"/>
        <v>264629.45163107116</v>
      </c>
      <c r="AG84" s="54">
        <f t="shared" si="10"/>
        <v>242994.55056701103</v>
      </c>
      <c r="AH84" s="54">
        <f>AG85</f>
        <v>385200</v>
      </c>
      <c r="AI84" s="54">
        <f>AH85</f>
        <v>210912.24246219438</v>
      </c>
      <c r="AJ84" s="54">
        <f>AI85</f>
        <v>470640.76796091482</v>
      </c>
      <c r="AK84" s="54">
        <f>AJ85</f>
        <v>363919.85657830158</v>
      </c>
      <c r="AL84" s="54">
        <f>AK85</f>
        <v>512001.52132014127</v>
      </c>
    </row>
    <row r="85" spans="2:38" s="17" customFormat="1" ht="15" customHeight="1" x14ac:dyDescent="0.35">
      <c r="B85" s="193" t="s">
        <v>73</v>
      </c>
      <c r="C85" s="193" t="s">
        <v>254</v>
      </c>
      <c r="D85" s="72"/>
      <c r="E85" s="54">
        <v>3828</v>
      </c>
      <c r="F85" s="54">
        <v>6794</v>
      </c>
      <c r="G85" s="54">
        <v>84767</v>
      </c>
      <c r="H85" s="54">
        <f>H82+H84</f>
        <v>1668121.3755699999</v>
      </c>
      <c r="I85" s="54">
        <f>I82+I84</f>
        <v>938358.37556999992</v>
      </c>
      <c r="J85" s="54">
        <f>J82+J84</f>
        <v>254405.89478988084</v>
      </c>
      <c r="K85" s="54">
        <f>K84+SUM(AE82:AH82)</f>
        <v>210911.67130320994</v>
      </c>
      <c r="L85" s="54">
        <f>L82+L84</f>
        <v>239638.91037741155</v>
      </c>
      <c r="M85" s="191"/>
      <c r="N85" s="72"/>
      <c r="O85" s="54">
        <f>O82+O84</f>
        <v>4405</v>
      </c>
      <c r="P85" s="54">
        <f t="shared" ref="P85" si="11">P82+P84</f>
        <v>13372</v>
      </c>
      <c r="Q85" s="54">
        <f t="shared" ref="Q85" si="12">Q82+Q84</f>
        <v>49038.092210000003</v>
      </c>
      <c r="R85" s="54">
        <f t="shared" ref="R85" si="13">R82+R84</f>
        <v>84767</v>
      </c>
      <c r="S85" s="54">
        <f t="shared" ref="S85" si="14">S82+S84</f>
        <v>108963</v>
      </c>
      <c r="T85" s="54">
        <f t="shared" ref="T85" si="15">T82+T84</f>
        <v>134925</v>
      </c>
      <c r="U85" s="54">
        <f t="shared" ref="U85" si="16">U82+U84</f>
        <v>892411.2876618756</v>
      </c>
      <c r="V85" s="54">
        <f t="shared" ref="V85:AA85" si="17">V82+V84</f>
        <v>1668121.3755699999</v>
      </c>
      <c r="W85" s="54">
        <f t="shared" si="17"/>
        <v>1352978.9416481853</v>
      </c>
      <c r="X85" s="54">
        <f t="shared" si="17"/>
        <v>883958.3755699998</v>
      </c>
      <c r="Y85" s="54">
        <f t="shared" si="17"/>
        <v>859354.37556999968</v>
      </c>
      <c r="Z85" s="54">
        <f t="shared" si="17"/>
        <v>938358.37556999968</v>
      </c>
      <c r="AA85" s="54">
        <f t="shared" si="17"/>
        <v>869389.63182999997</v>
      </c>
      <c r="AB85" s="54">
        <f t="shared" ref="AB85:AC85" si="18">AB82+AB84</f>
        <v>762978.77609165583</v>
      </c>
      <c r="AC85" s="54">
        <f t="shared" si="18"/>
        <v>379438.21178681246</v>
      </c>
      <c r="AD85" s="54">
        <f t="shared" ref="AD85:AE85" si="19">AD82+AD84</f>
        <v>254405.26636107077</v>
      </c>
      <c r="AE85" s="54">
        <f t="shared" si="19"/>
        <v>264629.45163107116</v>
      </c>
      <c r="AF85" s="54">
        <f>AF82+AF84-1</f>
        <v>242994.55056701103</v>
      </c>
      <c r="AG85" s="54">
        <v>385200</v>
      </c>
      <c r="AH85" s="54">
        <f>AH82+AH84+1</f>
        <v>210912.24246219438</v>
      </c>
      <c r="AI85" s="54">
        <f>AI82+AI84</f>
        <v>470640.76796091482</v>
      </c>
      <c r="AJ85" s="54">
        <f>AJ82+AJ84</f>
        <v>363919.85657830158</v>
      </c>
      <c r="AK85" s="54">
        <f>AK82+AK84</f>
        <v>512001.52132014127</v>
      </c>
      <c r="AL85" s="54">
        <f>AL82+AL84</f>
        <v>239052.56390891277</v>
      </c>
    </row>
    <row r="86" spans="2:38" s="17" customFormat="1" x14ac:dyDescent="0.35">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row>
    <row r="87" spans="2:38" s="17" customFormat="1" x14ac:dyDescent="0.35">
      <c r="B87" s="200" t="s">
        <v>91</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107"/>
      <c r="AH87" s="107"/>
      <c r="AI87" s="72"/>
      <c r="AJ87" s="72"/>
      <c r="AK87" s="72"/>
      <c r="AL87" s="72"/>
    </row>
    <row r="88" spans="2:38" s="17" customFormat="1" x14ac:dyDescent="0.35">
      <c r="B88" s="200" t="s">
        <v>255</v>
      </c>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row>
    <row r="89" spans="2:38" s="17" customFormat="1" x14ac:dyDescent="0.35"/>
    <row r="90" spans="2:38" s="17" customFormat="1" x14ac:dyDescent="0.35"/>
    <row r="91" spans="2:38" s="17" customFormat="1" x14ac:dyDescent="0.35">
      <c r="AH91" s="23"/>
      <c r="AI91" s="23"/>
      <c r="AJ91" s="23"/>
      <c r="AK91" s="23"/>
      <c r="AL91" s="23"/>
    </row>
    <row r="92" spans="2:38" s="17" customFormat="1" x14ac:dyDescent="0.35"/>
  </sheetData>
  <phoneticPr fontId="9" type="noConversion"/>
  <pageMargins left="0.7" right="0.7" top="0.75" bottom="0.75" header="0.3" footer="0.3"/>
  <pageSetup paperSize="9" orientation="portrait" r:id="rId1"/>
  <ignoredErrors>
    <ignoredError sqref="K60:K64 K6:K9 AI57:AK57 AI80:AK80 K69:K78 K49:K56 K36:K47 K26:K33 K18:K20 K11:K15 K23:K24" formulaRange="1"/>
    <ignoredError sqref="K84" formula="1"/>
    <ignoredError sqref="K85" formula="1"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2BF-05A3-4972-8F5D-409B99B5E76F}">
  <sheetPr codeName="Planilha5">
    <tabColor theme="4" tint="-0.249977111117893"/>
  </sheetPr>
  <dimension ref="A1:AZ217"/>
  <sheetViews>
    <sheetView showGridLines="0" zoomScaleNormal="100" workbookViewId="0">
      <pane xSplit="3" ySplit="4" topLeftCell="AJ132" activePane="bottomRight" state="frozen"/>
      <selection pane="topRight" activeCell="D1" sqref="D1"/>
      <selection pane="bottomLeft" activeCell="A5" sqref="A5"/>
      <selection pane="bottomRight" activeCell="J60" sqref="J60:K61"/>
    </sheetView>
  </sheetViews>
  <sheetFormatPr defaultRowHeight="14.5" outlineLevelRow="1" outlineLevelCol="1" x14ac:dyDescent="0.35"/>
  <cols>
    <col min="1" max="1" width="2.7265625" customWidth="1"/>
    <col min="2" max="2" width="54.90625" customWidth="1"/>
    <col min="3" max="3" width="74.453125" hidden="1" customWidth="1" outlineLevel="1"/>
    <col min="4" max="4" width="35.26953125" customWidth="1" collapsed="1"/>
    <col min="5" max="6" width="11.453125" customWidth="1" outlineLevel="1"/>
    <col min="7" max="7" width="12.453125" customWidth="1" outlineLevel="1"/>
    <col min="8" max="9" width="11.54296875" customWidth="1" outlineLevel="1"/>
    <col min="10" max="12" width="13.26953125" customWidth="1" outlineLevel="1"/>
    <col min="13" max="14" width="10.7265625" customWidth="1" outlineLevel="1"/>
    <col min="15" max="15" width="2.7265625" customWidth="1" outlineLevel="1"/>
    <col min="16" max="16" width="2.7265625" customWidth="1"/>
    <col min="17" max="19" width="10.7265625" customWidth="1" outlineLevel="1"/>
    <col min="20" max="20" width="11.1796875" customWidth="1" outlineLevel="1"/>
    <col min="21" max="28" width="10.7265625" customWidth="1" outlineLevel="1"/>
    <col min="29" max="32" width="13.1796875" customWidth="1" outlineLevel="1"/>
    <col min="33" max="33" width="10.7265625" customWidth="1"/>
    <col min="34" max="34" width="11" bestFit="1" customWidth="1"/>
    <col min="35" max="42" width="10.7265625" customWidth="1"/>
    <col min="43" max="43" width="14.26953125" bestFit="1" customWidth="1"/>
    <col min="44" max="44" width="10.1796875" bestFit="1" customWidth="1"/>
    <col min="45" max="45" width="24" bestFit="1" customWidth="1"/>
    <col min="46" max="46" width="9.36328125" bestFit="1" customWidth="1"/>
    <col min="48" max="48" width="9.36328125" bestFit="1" customWidth="1"/>
    <col min="50" max="51" width="10.7265625" bestFit="1" customWidth="1"/>
    <col min="52" max="52" width="9.36328125" bestFit="1" customWidth="1"/>
  </cols>
  <sheetData>
    <row r="1" spans="1:44" ht="12" customHeight="1" x14ac:dyDescent="0.35"/>
    <row r="2" spans="1:44" ht="21" x14ac:dyDescent="0.35">
      <c r="B2" s="7" t="s">
        <v>74</v>
      </c>
      <c r="C2" s="7" t="s">
        <v>256</v>
      </c>
      <c r="D2" s="30"/>
      <c r="E2" s="30"/>
      <c r="F2" s="30"/>
      <c r="G2" s="30"/>
      <c r="H2" s="30"/>
      <c r="I2" s="30"/>
      <c r="J2" s="30"/>
      <c r="K2" s="30"/>
      <c r="L2" s="30"/>
      <c r="M2" s="30"/>
      <c r="N2" s="30"/>
      <c r="O2" s="30"/>
      <c r="P2" s="53"/>
      <c r="Q2" s="30"/>
      <c r="R2" s="30"/>
      <c r="S2" s="30"/>
      <c r="T2" s="30"/>
      <c r="U2" s="30"/>
      <c r="V2" s="30"/>
      <c r="W2" s="30"/>
      <c r="X2" s="30"/>
      <c r="Y2" s="30"/>
      <c r="Z2" s="30"/>
      <c r="AA2" s="30"/>
      <c r="AB2" s="30"/>
      <c r="AC2" s="30"/>
      <c r="AD2" s="30"/>
      <c r="AE2" s="30"/>
      <c r="AF2" s="30"/>
      <c r="AG2" s="30"/>
      <c r="AH2" s="30"/>
      <c r="AI2" s="30"/>
      <c r="AJ2" s="30"/>
      <c r="AK2" s="30"/>
      <c r="AL2" s="30"/>
      <c r="AM2" s="30"/>
      <c r="AN2" s="30"/>
      <c r="AO2" s="30"/>
      <c r="AP2" s="30"/>
    </row>
    <row r="3" spans="1:44" ht="12" customHeight="1" x14ac:dyDescent="0.5">
      <c r="B3" s="1"/>
      <c r="C3" s="1"/>
      <c r="Q3" s="10" t="s">
        <v>298</v>
      </c>
      <c r="R3" s="10" t="s">
        <v>299</v>
      </c>
      <c r="S3" s="10" t="s">
        <v>300</v>
      </c>
      <c r="T3" s="10" t="s">
        <v>301</v>
      </c>
      <c r="U3" s="10" t="s">
        <v>302</v>
      </c>
      <c r="V3" s="10" t="s">
        <v>303</v>
      </c>
      <c r="W3" s="10" t="s">
        <v>304</v>
      </c>
      <c r="X3" s="10" t="s">
        <v>305</v>
      </c>
      <c r="Y3" s="10" t="s">
        <v>306</v>
      </c>
      <c r="Z3" s="10" t="s">
        <v>307</v>
      </c>
      <c r="AA3" s="10" t="s">
        <v>308</v>
      </c>
      <c r="AB3" s="10" t="s">
        <v>309</v>
      </c>
      <c r="AC3" s="10" t="s">
        <v>335</v>
      </c>
      <c r="AD3" s="10" t="s">
        <v>349</v>
      </c>
      <c r="AE3" s="10" t="s">
        <v>355</v>
      </c>
      <c r="AF3" s="10" t="s">
        <v>362</v>
      </c>
      <c r="AG3" s="10" t="s">
        <v>375</v>
      </c>
      <c r="AH3" s="10" t="s">
        <v>390</v>
      </c>
      <c r="AI3" s="10" t="s">
        <v>392</v>
      </c>
      <c r="AJ3" s="10" t="s">
        <v>403</v>
      </c>
      <c r="AK3" s="10" t="s">
        <v>410</v>
      </c>
      <c r="AL3" s="10" t="s">
        <v>416</v>
      </c>
      <c r="AM3" s="10" t="s">
        <v>481</v>
      </c>
      <c r="AN3" s="10" t="s">
        <v>523</v>
      </c>
    </row>
    <row r="4" spans="1:44" ht="17.5" x14ac:dyDescent="0.35">
      <c r="A4" s="16"/>
      <c r="B4" s="2" t="s">
        <v>0</v>
      </c>
      <c r="C4" s="2" t="s">
        <v>158</v>
      </c>
      <c r="D4" s="3"/>
      <c r="E4" s="9">
        <v>2018</v>
      </c>
      <c r="F4" s="9">
        <v>2019</v>
      </c>
      <c r="G4" s="9">
        <v>2020</v>
      </c>
      <c r="H4" s="9">
        <v>2021</v>
      </c>
      <c r="I4" s="9">
        <v>2022</v>
      </c>
      <c r="J4" s="9">
        <v>2023</v>
      </c>
      <c r="K4" s="9">
        <v>2024</v>
      </c>
      <c r="L4" s="9">
        <v>2025</v>
      </c>
      <c r="M4" s="10" t="s">
        <v>402</v>
      </c>
      <c r="N4" s="10" t="s">
        <v>524</v>
      </c>
      <c r="O4" s="20"/>
      <c r="P4" s="5"/>
      <c r="Q4" s="10" t="s">
        <v>83</v>
      </c>
      <c r="R4" s="10" t="s">
        <v>84</v>
      </c>
      <c r="S4" s="10" t="s">
        <v>92</v>
      </c>
      <c r="T4" s="10" t="s">
        <v>93</v>
      </c>
      <c r="U4" s="10" t="s">
        <v>1</v>
      </c>
      <c r="V4" s="10" t="s">
        <v>2</v>
      </c>
      <c r="W4" s="10" t="s">
        <v>94</v>
      </c>
      <c r="X4" s="10" t="s">
        <v>138</v>
      </c>
      <c r="Y4" s="10" t="s">
        <v>151</v>
      </c>
      <c r="Z4" s="10" t="s">
        <v>178</v>
      </c>
      <c r="AA4" s="10" t="s">
        <v>297</v>
      </c>
      <c r="AB4" s="10" t="s">
        <v>310</v>
      </c>
      <c r="AC4" s="10" t="s">
        <v>336</v>
      </c>
      <c r="AD4" s="10" t="s">
        <v>350</v>
      </c>
      <c r="AE4" s="10" t="s">
        <v>356</v>
      </c>
      <c r="AF4" s="10" t="s">
        <v>363</v>
      </c>
      <c r="AG4" s="10" t="s">
        <v>376</v>
      </c>
      <c r="AH4" s="10" t="s">
        <v>391</v>
      </c>
      <c r="AI4" s="10" t="s">
        <v>393</v>
      </c>
      <c r="AJ4" s="10" t="s">
        <v>404</v>
      </c>
      <c r="AK4" s="10" t="s">
        <v>411</v>
      </c>
      <c r="AL4" s="10" t="s">
        <v>417</v>
      </c>
      <c r="AM4" s="10" t="s">
        <v>480</v>
      </c>
      <c r="AN4" s="10" t="s">
        <v>522</v>
      </c>
      <c r="AO4" s="10" t="s">
        <v>101</v>
      </c>
      <c r="AP4" s="10" t="s">
        <v>102</v>
      </c>
    </row>
    <row r="5" spans="1:44" ht="6" customHeight="1" x14ac:dyDescent="0.35">
      <c r="A5" s="16"/>
      <c r="B5" s="29"/>
      <c r="C5" s="29"/>
      <c r="D5" s="28"/>
      <c r="E5" s="27"/>
      <c r="F5" s="27"/>
      <c r="G5" s="27"/>
      <c r="H5" s="27"/>
      <c r="I5" s="27"/>
      <c r="J5" s="27"/>
      <c r="K5" s="27"/>
      <c r="L5" s="27"/>
      <c r="M5" s="26"/>
      <c r="N5" s="26"/>
      <c r="O5" s="20"/>
      <c r="P5" s="5"/>
      <c r="Q5" s="26"/>
      <c r="R5" s="26"/>
      <c r="S5" s="26"/>
      <c r="T5" s="26"/>
      <c r="U5" s="26"/>
      <c r="V5" s="26"/>
      <c r="W5" s="26"/>
      <c r="X5" s="26"/>
      <c r="Y5" s="26"/>
      <c r="Z5" s="26"/>
      <c r="AA5" s="26"/>
      <c r="AB5" s="26"/>
      <c r="AC5" s="26"/>
      <c r="AD5" s="26"/>
      <c r="AE5" s="26"/>
      <c r="AF5" s="26"/>
      <c r="AG5" s="26"/>
      <c r="AH5" s="26"/>
      <c r="AI5" s="26"/>
      <c r="AJ5" s="26"/>
      <c r="AK5" s="26"/>
      <c r="AL5" s="26"/>
      <c r="AM5" s="26"/>
      <c r="AN5" s="26"/>
      <c r="AO5" s="26"/>
      <c r="AP5" s="26"/>
    </row>
    <row r="6" spans="1:44" ht="6" customHeight="1" x14ac:dyDescent="0.35">
      <c r="A6" s="16"/>
      <c r="O6" s="21"/>
    </row>
    <row r="7" spans="1:44" s="17" customFormat="1" ht="17.5" x14ac:dyDescent="0.35">
      <c r="A7" s="32"/>
      <c r="B7" s="69" t="s">
        <v>109</v>
      </c>
      <c r="C7" s="69" t="s">
        <v>257</v>
      </c>
      <c r="D7" s="70"/>
      <c r="E7" s="70"/>
      <c r="F7" s="70"/>
      <c r="G7" s="70"/>
      <c r="H7" s="70"/>
      <c r="I7" s="70"/>
      <c r="J7" s="70"/>
      <c r="K7" s="70"/>
      <c r="L7" s="70"/>
      <c r="M7" s="70"/>
      <c r="N7" s="70"/>
      <c r="O7" s="71"/>
      <c r="P7" s="72"/>
      <c r="Q7" s="70"/>
      <c r="R7" s="70"/>
      <c r="S7" s="70"/>
      <c r="T7" s="70"/>
      <c r="U7" s="70"/>
      <c r="V7" s="70"/>
      <c r="W7" s="70"/>
      <c r="X7" s="70"/>
      <c r="Y7" s="70"/>
      <c r="Z7" s="70"/>
      <c r="AA7" s="70"/>
      <c r="AB7" s="70"/>
      <c r="AC7" s="70"/>
      <c r="AD7" s="70"/>
      <c r="AE7" s="70"/>
      <c r="AF7" s="70"/>
      <c r="AG7" s="70"/>
      <c r="AH7" s="70"/>
      <c r="AI7" s="70"/>
      <c r="AJ7" s="70"/>
      <c r="AK7" s="70"/>
      <c r="AL7" s="70"/>
      <c r="AM7" s="70"/>
      <c r="AN7" s="70"/>
      <c r="AO7" s="70"/>
      <c r="AP7" s="70"/>
    </row>
    <row r="8" spans="1:44" s="17" customFormat="1" ht="6.75" customHeight="1" outlineLevel="1" x14ac:dyDescent="0.35">
      <c r="A8" s="32"/>
      <c r="B8" s="72"/>
      <c r="C8" s="72"/>
      <c r="D8" s="72"/>
      <c r="E8" s="72"/>
      <c r="F8" s="72"/>
      <c r="G8" s="72"/>
      <c r="H8" s="72"/>
      <c r="I8" s="72"/>
      <c r="J8" s="72"/>
      <c r="K8" s="72"/>
      <c r="L8" s="72"/>
      <c r="M8" s="72"/>
      <c r="N8" s="72"/>
      <c r="O8" s="71"/>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row>
    <row r="9" spans="1:44" s="17" customFormat="1" ht="17.5" outlineLevel="1" x14ac:dyDescent="0.35">
      <c r="A9" s="32"/>
      <c r="B9" s="73" t="s">
        <v>146</v>
      </c>
      <c r="C9" s="73" t="s">
        <v>258</v>
      </c>
      <c r="D9" s="58"/>
      <c r="E9" s="55">
        <v>259</v>
      </c>
      <c r="F9" s="55">
        <v>424</v>
      </c>
      <c r="G9" s="55">
        <v>1046</v>
      </c>
      <c r="H9" s="55">
        <f>X9</f>
        <v>6225</v>
      </c>
      <c r="I9" s="55">
        <f>AB9</f>
        <v>9483</v>
      </c>
      <c r="J9" s="55">
        <f>AF9</f>
        <v>10206</v>
      </c>
      <c r="K9" s="55">
        <v>11247</v>
      </c>
      <c r="L9" s="55">
        <f>AN9</f>
        <v>12587</v>
      </c>
      <c r="M9" s="74">
        <f>K9/J9-1</f>
        <v>0.10199882422104634</v>
      </c>
      <c r="N9" s="74">
        <f>L9/K9-1</f>
        <v>0.11914288254645689</v>
      </c>
      <c r="O9" s="75"/>
      <c r="P9" s="58"/>
      <c r="Q9" s="55">
        <v>510</v>
      </c>
      <c r="R9" s="55">
        <v>603</v>
      </c>
      <c r="S9" s="55">
        <v>879</v>
      </c>
      <c r="T9" s="55">
        <v>1046</v>
      </c>
      <c r="U9" s="55">
        <v>1403</v>
      </c>
      <c r="V9" s="55">
        <v>1902</v>
      </c>
      <c r="W9" s="55">
        <v>2776</v>
      </c>
      <c r="X9" s="55">
        <v>6225</v>
      </c>
      <c r="Y9" s="55">
        <v>6898</v>
      </c>
      <c r="Z9" s="55">
        <v>7522</v>
      </c>
      <c r="AA9" s="55">
        <v>8823</v>
      </c>
      <c r="AB9" s="55">
        <v>9483</v>
      </c>
      <c r="AC9" s="55">
        <v>9498</v>
      </c>
      <c r="AD9" s="55">
        <v>9852</v>
      </c>
      <c r="AE9" s="55">
        <v>10125</v>
      </c>
      <c r="AF9" s="55">
        <v>10206</v>
      </c>
      <c r="AG9" s="55">
        <v>10226</v>
      </c>
      <c r="AH9" s="55">
        <v>10634</v>
      </c>
      <c r="AI9" s="55">
        <v>11258</v>
      </c>
      <c r="AJ9" s="55">
        <v>11247</v>
      </c>
      <c r="AK9" s="55">
        <v>11525</v>
      </c>
      <c r="AL9" s="55">
        <v>11734</v>
      </c>
      <c r="AM9" s="55">
        <v>11888</v>
      </c>
      <c r="AN9" s="55">
        <v>12587</v>
      </c>
      <c r="AO9" s="74">
        <f>AN9/AJ9-1</f>
        <v>0.11914288254645689</v>
      </c>
      <c r="AP9" s="74">
        <f>AN9/AM9-1</f>
        <v>5.8798788694481852E-2</v>
      </c>
    </row>
    <row r="10" spans="1:44" s="17" customFormat="1" ht="17.5" outlineLevel="1" x14ac:dyDescent="0.35">
      <c r="A10" s="32"/>
      <c r="B10" s="76" t="s">
        <v>406</v>
      </c>
      <c r="C10" s="73" t="s">
        <v>322</v>
      </c>
      <c r="D10" s="58"/>
      <c r="E10" s="55">
        <v>82898.879416949989</v>
      </c>
      <c r="F10" s="55">
        <v>126715.25690694999</v>
      </c>
      <c r="G10" s="55">
        <v>335603.05056695006</v>
      </c>
      <c r="H10" s="55">
        <v>1139095</v>
      </c>
      <c r="I10" s="55">
        <v>2285585</v>
      </c>
      <c r="J10" s="55">
        <v>2630513</v>
      </c>
      <c r="K10" s="55">
        <v>3075979</v>
      </c>
      <c r="L10" s="55">
        <f>AN10</f>
        <v>2966068.2209479799</v>
      </c>
      <c r="M10" s="74">
        <f t="shared" ref="M10:M11" si="0">K10/J10-1</f>
        <v>0.16934567515917998</v>
      </c>
      <c r="N10" s="74">
        <f t="shared" ref="N10:N11" si="1">L10/K10-1</f>
        <v>-3.573196665257472E-2</v>
      </c>
      <c r="O10" s="75"/>
      <c r="P10" s="58"/>
      <c r="Q10" s="55">
        <v>154721.22585694998</v>
      </c>
      <c r="R10" s="55">
        <v>186668.95594695001</v>
      </c>
      <c r="S10" s="55">
        <v>275215.48913695</v>
      </c>
      <c r="T10" s="55">
        <v>335603.05056695006</v>
      </c>
      <c r="U10" s="55">
        <v>450574.35834695003</v>
      </c>
      <c r="V10" s="55">
        <v>633148.69215695013</v>
      </c>
      <c r="W10" s="55">
        <v>906832.99571695004</v>
      </c>
      <c r="X10" s="55">
        <v>1211985.4615511724</v>
      </c>
      <c r="Y10" s="55">
        <v>1410541.5655011737</v>
      </c>
      <c r="Z10" s="55">
        <v>1616888.0421541212</v>
      </c>
      <c r="AA10" s="55">
        <v>2102444.1217245571</v>
      </c>
      <c r="AB10" s="55">
        <v>2353715.0692337635</v>
      </c>
      <c r="AC10" s="55">
        <v>2405070.0288414513</v>
      </c>
      <c r="AD10" s="55">
        <v>2494188.7731314516</v>
      </c>
      <c r="AE10" s="55">
        <v>2566524</v>
      </c>
      <c r="AF10" s="55">
        <v>2630513</v>
      </c>
      <c r="AG10" s="55">
        <v>2663696</v>
      </c>
      <c r="AH10" s="55">
        <v>2912189</v>
      </c>
      <c r="AI10" s="55">
        <v>3080833</v>
      </c>
      <c r="AJ10" s="55">
        <v>3075979</v>
      </c>
      <c r="AK10" s="55">
        <v>2976827</v>
      </c>
      <c r="AL10" s="55">
        <v>2890903.1339199999</v>
      </c>
      <c r="AM10" s="55">
        <v>3033182.3249799982</v>
      </c>
      <c r="AN10" s="55">
        <v>2966068.2209479799</v>
      </c>
      <c r="AO10" s="74">
        <f t="shared" ref="AO10:AO11" si="2">AN10/AJ10-1</f>
        <v>-3.573196665257472E-2</v>
      </c>
      <c r="AP10" s="74">
        <f t="shared" ref="AP10:AP11" si="3">AN10/AM10-1</f>
        <v>-2.2126630331218533E-2</v>
      </c>
      <c r="AR10" s="23"/>
    </row>
    <row r="11" spans="1:44" s="17" customFormat="1" ht="17.5" outlineLevel="1" x14ac:dyDescent="0.35">
      <c r="A11" s="32"/>
      <c r="B11" s="76" t="s">
        <v>407</v>
      </c>
      <c r="C11" s="73" t="s">
        <v>259</v>
      </c>
      <c r="D11" s="77"/>
      <c r="E11" s="55">
        <v>66740.391924642288</v>
      </c>
      <c r="F11" s="55">
        <v>102040.52627925768</v>
      </c>
      <c r="G11" s="55">
        <v>214699.97944002692</v>
      </c>
      <c r="H11" s="55">
        <v>718596</v>
      </c>
      <c r="I11" s="55">
        <v>1634894</v>
      </c>
      <c r="J11" s="55">
        <v>2444837.75</v>
      </c>
      <c r="K11" s="55">
        <v>2877491</v>
      </c>
      <c r="L11" s="55">
        <f>AVERAGE(AJ10:AN10)</f>
        <v>2988591.9359695958</v>
      </c>
      <c r="M11" s="74">
        <f t="shared" si="0"/>
        <v>0.17696603793032883</v>
      </c>
      <c r="N11" s="74">
        <f t="shared" si="1"/>
        <v>3.8610350464900023E-2</v>
      </c>
      <c r="O11" s="75"/>
      <c r="P11" s="58"/>
      <c r="Q11" s="55">
        <v>142357.92208444999</v>
      </c>
      <c r="R11" s="55">
        <v>167279.85818944999</v>
      </c>
      <c r="S11" s="55">
        <v>229311.65104194998</v>
      </c>
      <c r="T11" s="55">
        <v>309466.91959945002</v>
      </c>
      <c r="U11" s="55">
        <v>389469.73689945001</v>
      </c>
      <c r="V11" s="55">
        <v>539950.87958945008</v>
      </c>
      <c r="W11" s="55">
        <v>767947.10714695009</v>
      </c>
      <c r="X11" s="55">
        <v>1111680.3102980598</v>
      </c>
      <c r="Y11" s="55">
        <v>1309587.0384411735</v>
      </c>
      <c r="Z11" s="55">
        <v>1507233.9188134801</v>
      </c>
      <c r="AA11" s="55">
        <v>1856707.3991091801</v>
      </c>
      <c r="AB11" s="55">
        <v>2233682.7334078862</v>
      </c>
      <c r="AC11" s="55">
        <v>2373895.5839881855</v>
      </c>
      <c r="AD11" s="55">
        <v>2447514.8731864514</v>
      </c>
      <c r="AE11" s="55">
        <v>2563869.2608142565</v>
      </c>
      <c r="AF11" s="55">
        <f t="shared" ref="AF11:AL11" si="4">AVERAGE(AE10:AF10)</f>
        <v>2598518.5</v>
      </c>
      <c r="AG11" s="55">
        <f t="shared" si="4"/>
        <v>2647104.5</v>
      </c>
      <c r="AH11" s="55">
        <f t="shared" si="4"/>
        <v>2787942.5</v>
      </c>
      <c r="AI11" s="55">
        <f t="shared" si="4"/>
        <v>2996511</v>
      </c>
      <c r="AJ11" s="55">
        <f t="shared" si="4"/>
        <v>3078406</v>
      </c>
      <c r="AK11" s="55">
        <f t="shared" si="4"/>
        <v>3026403</v>
      </c>
      <c r="AL11" s="55">
        <f t="shared" si="4"/>
        <v>2933865.06696</v>
      </c>
      <c r="AM11" s="55">
        <v>2962042.7294499991</v>
      </c>
      <c r="AN11" s="55">
        <v>2999625.2729639886</v>
      </c>
      <c r="AO11" s="74">
        <f t="shared" si="2"/>
        <v>-2.5591402510263928E-2</v>
      </c>
      <c r="AP11" s="74">
        <f t="shared" si="3"/>
        <v>1.2688049075162411E-2</v>
      </c>
      <c r="AR11" s="23"/>
    </row>
    <row r="12" spans="1:44" s="17" customFormat="1" ht="17.5" outlineLevel="1" x14ac:dyDescent="0.35">
      <c r="A12" s="32"/>
      <c r="B12" s="76" t="s">
        <v>408</v>
      </c>
      <c r="C12" s="78" t="s">
        <v>260</v>
      </c>
      <c r="D12" s="79"/>
      <c r="E12" s="80"/>
      <c r="F12" s="80"/>
      <c r="G12" s="80"/>
      <c r="H12" s="81"/>
      <c r="I12" s="81"/>
      <c r="J12" s="81"/>
      <c r="K12" s="81"/>
      <c r="L12" s="81"/>
      <c r="M12" s="74"/>
      <c r="N12" s="74"/>
      <c r="O12" s="71"/>
      <c r="P12" s="72"/>
      <c r="Q12" s="80"/>
      <c r="R12" s="80"/>
      <c r="S12" s="80"/>
      <c r="T12" s="80"/>
      <c r="U12" s="80"/>
      <c r="V12" s="80"/>
      <c r="W12" s="80"/>
      <c r="X12" s="80"/>
      <c r="Y12" s="80"/>
      <c r="Z12" s="80"/>
      <c r="AA12" s="80"/>
      <c r="AB12" s="80"/>
      <c r="AC12" s="80"/>
      <c r="AD12" s="80"/>
      <c r="AE12" s="80"/>
      <c r="AF12" s="82"/>
      <c r="AG12" s="72"/>
      <c r="AH12" s="83"/>
      <c r="AI12" s="83"/>
      <c r="AJ12" s="83"/>
      <c r="AK12" s="83"/>
      <c r="AL12" s="83"/>
      <c r="AM12" s="83"/>
      <c r="AN12" s="83"/>
      <c r="AO12" s="55"/>
      <c r="AP12" s="84"/>
    </row>
    <row r="13" spans="1:44" s="17" customFormat="1" ht="17.5" outlineLevel="1" x14ac:dyDescent="0.35">
      <c r="A13" s="32"/>
      <c r="B13" s="72"/>
      <c r="C13" s="72"/>
      <c r="D13" s="79"/>
      <c r="E13" s="80"/>
      <c r="F13" s="80"/>
      <c r="G13" s="80"/>
      <c r="H13" s="81"/>
      <c r="I13" s="81"/>
      <c r="J13" s="81"/>
      <c r="K13" s="81"/>
      <c r="L13" s="81"/>
      <c r="M13" s="74"/>
      <c r="N13" s="74"/>
      <c r="O13" s="71"/>
      <c r="P13" s="72"/>
      <c r="Q13" s="80"/>
      <c r="R13" s="80"/>
      <c r="S13" s="80"/>
      <c r="T13" s="80"/>
      <c r="U13" s="80"/>
      <c r="V13" s="80"/>
      <c r="W13" s="80"/>
      <c r="X13" s="80"/>
      <c r="Y13" s="80"/>
      <c r="Z13" s="80"/>
      <c r="AA13" s="80"/>
      <c r="AB13" s="80"/>
      <c r="AC13" s="80"/>
      <c r="AD13" s="80"/>
      <c r="AE13" s="80"/>
      <c r="AF13" s="82"/>
      <c r="AG13" s="72"/>
      <c r="AH13" s="83"/>
      <c r="AI13" s="83"/>
      <c r="AJ13" s="83"/>
      <c r="AK13" s="83"/>
      <c r="AL13" s="83"/>
      <c r="AM13" s="83"/>
      <c r="AN13" s="83"/>
      <c r="AO13" s="55"/>
      <c r="AP13" s="84"/>
    </row>
    <row r="14" spans="1:44" s="17" customFormat="1" ht="17.5" outlineLevel="1" x14ac:dyDescent="0.35">
      <c r="A14" s="32"/>
      <c r="B14" s="78"/>
      <c r="C14" s="78"/>
      <c r="D14" s="79"/>
      <c r="E14" s="80"/>
      <c r="F14" s="80"/>
      <c r="G14" s="80"/>
      <c r="H14" s="81"/>
      <c r="I14" s="81"/>
      <c r="J14" s="81"/>
      <c r="K14" s="81"/>
      <c r="L14" s="81"/>
      <c r="M14" s="74"/>
      <c r="N14" s="74"/>
      <c r="O14" s="71"/>
      <c r="P14" s="72"/>
      <c r="Q14" s="80"/>
      <c r="R14" s="80"/>
      <c r="S14" s="80"/>
      <c r="T14" s="80"/>
      <c r="U14" s="80"/>
      <c r="V14" s="80"/>
      <c r="W14" s="55"/>
      <c r="X14" s="55"/>
      <c r="Y14" s="55"/>
      <c r="Z14" s="55"/>
      <c r="AA14" s="55"/>
      <c r="AB14" s="55"/>
      <c r="AC14" s="55"/>
      <c r="AD14" s="55"/>
      <c r="AE14" s="55"/>
      <c r="AF14" s="55"/>
      <c r="AG14" s="55"/>
      <c r="AH14" s="85"/>
      <c r="AI14" s="85"/>
      <c r="AJ14" s="85"/>
      <c r="AK14" s="85"/>
      <c r="AL14" s="85"/>
      <c r="AM14" s="85"/>
      <c r="AN14" s="85"/>
      <c r="AO14" s="84"/>
      <c r="AP14" s="84"/>
    </row>
    <row r="15" spans="1:44" s="17" customFormat="1" ht="17.5" outlineLevel="1" x14ac:dyDescent="0.35">
      <c r="A15" s="32"/>
      <c r="B15" s="76" t="s">
        <v>414</v>
      </c>
      <c r="C15" s="76" t="s">
        <v>353</v>
      </c>
      <c r="D15" s="79"/>
      <c r="E15" s="86">
        <f>'DRE - Income Statement'!E7</f>
        <v>45902</v>
      </c>
      <c r="F15" s="86">
        <f>'DRE - Income Statement'!F7</f>
        <v>66829</v>
      </c>
      <c r="G15" s="86">
        <f>'DRE - Income Statement'!G7</f>
        <v>122902</v>
      </c>
      <c r="H15" s="86">
        <f>'DRE - Income Statement'!H7</f>
        <v>426630</v>
      </c>
      <c r="I15" s="86">
        <f>'DRE - Income Statement'!I7</f>
        <v>989762</v>
      </c>
      <c r="J15" s="86">
        <f>'DRE - Income Statement'!J7</f>
        <v>1382753</v>
      </c>
      <c r="K15" s="86">
        <f>SUM(AG15:AJ15)</f>
        <v>1741970.1341931133</v>
      </c>
      <c r="L15" s="86">
        <f>SUM(AK15:AN15)</f>
        <v>1668890.3587200001</v>
      </c>
      <c r="M15" s="74">
        <f>K15/J15-1</f>
        <v>0.25978402085774777</v>
      </c>
      <c r="N15" s="74">
        <f>L15/K15-1</f>
        <v>-4.1952369927951705E-2</v>
      </c>
      <c r="O15" s="71"/>
      <c r="P15" s="72"/>
      <c r="Q15" s="87">
        <f>'DRE - Income Statement'!Q7</f>
        <v>22042</v>
      </c>
      <c r="R15" s="87">
        <f>'DRE - Income Statement'!R7</f>
        <v>24059</v>
      </c>
      <c r="S15" s="87">
        <f>'DRE - Income Statement'!S7</f>
        <v>32194</v>
      </c>
      <c r="T15" s="87">
        <f>'DRE - Income Statement'!T7</f>
        <v>44607</v>
      </c>
      <c r="U15" s="87">
        <f>'DRE - Income Statement'!U7</f>
        <v>55140</v>
      </c>
      <c r="V15" s="87">
        <f>'DRE - Income Statement'!V7</f>
        <v>78621</v>
      </c>
      <c r="W15" s="87">
        <f>'DRE - Income Statement'!W7</f>
        <v>109291</v>
      </c>
      <c r="X15" s="87">
        <f>'DRE - Income Statement'!X7</f>
        <v>183578</v>
      </c>
      <c r="Y15" s="87">
        <f>'DRE - Income Statement'!Y7</f>
        <v>206273</v>
      </c>
      <c r="Z15" s="87">
        <f>'DRE - Income Statement'!Z7</f>
        <v>238394</v>
      </c>
      <c r="AA15" s="87">
        <f>'DRE - Income Statement'!AA7</f>
        <v>255166</v>
      </c>
      <c r="AB15" s="87">
        <f>'DRE - Income Statement'!AB7</f>
        <v>289929</v>
      </c>
      <c r="AC15" s="87">
        <f>'DRE - Income Statement'!AC7</f>
        <v>283195</v>
      </c>
      <c r="AD15" s="87">
        <f>'DRE - Income Statement'!AD7</f>
        <v>324146</v>
      </c>
      <c r="AE15" s="87">
        <f>'DRE - Income Statement'!AE7</f>
        <v>372429</v>
      </c>
      <c r="AF15" s="87">
        <f>'DRE - Income Statement'!AF7</f>
        <v>402983</v>
      </c>
      <c r="AG15" s="87">
        <f>'DRE - Income Statement'!AG7</f>
        <v>404827</v>
      </c>
      <c r="AH15" s="87">
        <v>423066.13419311331</v>
      </c>
      <c r="AI15" s="87">
        <v>470790</v>
      </c>
      <c r="AJ15" s="87">
        <v>443287</v>
      </c>
      <c r="AK15" s="87">
        <v>403887.78434751648</v>
      </c>
      <c r="AL15" s="87">
        <v>409478.1913724835</v>
      </c>
      <c r="AM15" s="87">
        <v>435560.43800000002</v>
      </c>
      <c r="AN15" s="87">
        <v>419963.94500000001</v>
      </c>
      <c r="AO15" s="84"/>
      <c r="AP15" s="84"/>
    </row>
    <row r="16" spans="1:44" s="17" customFormat="1" ht="17.5" outlineLevel="1" x14ac:dyDescent="0.35">
      <c r="A16" s="32"/>
      <c r="B16" s="73" t="s">
        <v>351</v>
      </c>
      <c r="C16" s="73" t="s">
        <v>354</v>
      </c>
      <c r="D16" s="79"/>
      <c r="E16" s="80">
        <f t="shared" ref="E16:L16" si="5">E15/E11</f>
        <v>0.68776941034192196</v>
      </c>
      <c r="F16" s="80">
        <f t="shared" si="5"/>
        <v>0.65492606160327771</v>
      </c>
      <c r="G16" s="80">
        <f t="shared" si="5"/>
        <v>0.57243601196678617</v>
      </c>
      <c r="H16" s="80">
        <f t="shared" si="5"/>
        <v>0.59369938045856085</v>
      </c>
      <c r="I16" s="80">
        <f t="shared" si="5"/>
        <v>0.60539827046891115</v>
      </c>
      <c r="J16" s="80">
        <f t="shared" si="5"/>
        <v>0.56558068117199189</v>
      </c>
      <c r="K16" s="80">
        <f t="shared" si="5"/>
        <v>0.60537813469898372</v>
      </c>
      <c r="L16" s="80">
        <f t="shared" si="5"/>
        <v>0.55842028435995161</v>
      </c>
      <c r="M16" s="118">
        <f>100*(K16-J16)</f>
        <v>3.9797453526991822</v>
      </c>
      <c r="N16" s="118">
        <f>100*(L16-K16)</f>
        <v>-4.6957850339032099</v>
      </c>
      <c r="O16" s="71"/>
      <c r="P16" s="72"/>
      <c r="Q16" s="80">
        <f t="shared" ref="Q16:AG16" si="6">Q15*4/Q11</f>
        <v>0.61934031284677449</v>
      </c>
      <c r="R16" s="80">
        <f t="shared" si="6"/>
        <v>0.57529938775420009</v>
      </c>
      <c r="S16" s="80">
        <f t="shared" si="6"/>
        <v>0.56157634997988781</v>
      </c>
      <c r="T16" s="80">
        <f t="shared" si="6"/>
        <v>0.57656566404882104</v>
      </c>
      <c r="U16" s="80">
        <f t="shared" si="6"/>
        <v>0.56630844223191157</v>
      </c>
      <c r="V16" s="80">
        <f t="shared" si="6"/>
        <v>0.58243075784804144</v>
      </c>
      <c r="W16" s="80">
        <f t="shared" si="6"/>
        <v>0.56926316400114618</v>
      </c>
      <c r="X16" s="80">
        <f t="shared" si="6"/>
        <v>0.66054241781355183</v>
      </c>
      <c r="Y16" s="80">
        <f t="shared" si="6"/>
        <v>0.63003983376478956</v>
      </c>
      <c r="Z16" s="80">
        <f t="shared" si="6"/>
        <v>0.63266622924109295</v>
      </c>
      <c r="AA16" s="80">
        <f t="shared" si="6"/>
        <v>0.54971720395453749</v>
      </c>
      <c r="AB16" s="80">
        <f t="shared" si="6"/>
        <v>0.51919459404632806</v>
      </c>
      <c r="AC16" s="80">
        <f t="shared" si="6"/>
        <v>0.47718189782252768</v>
      </c>
      <c r="AD16" s="80">
        <f t="shared" si="6"/>
        <v>0.52975530984698793</v>
      </c>
      <c r="AE16" s="80">
        <f t="shared" si="6"/>
        <v>0.58104210802343437</v>
      </c>
      <c r="AF16" s="80">
        <f t="shared" si="6"/>
        <v>0.62032731342878644</v>
      </c>
      <c r="AG16" s="80">
        <f t="shared" si="6"/>
        <v>0.61172802207090804</v>
      </c>
      <c r="AH16" s="80">
        <v>0.60799999999999998</v>
      </c>
      <c r="AI16" s="80">
        <f t="shared" ref="AI16:AM16" si="7">AI15*4/AI11</f>
        <v>0.62845088838318963</v>
      </c>
      <c r="AJ16" s="80">
        <f t="shared" si="7"/>
        <v>0.57599549896927171</v>
      </c>
      <c r="AK16" s="80">
        <f t="shared" si="7"/>
        <v>0.53381890560842882</v>
      </c>
      <c r="AL16" s="80">
        <f t="shared" si="7"/>
        <v>0.55827815121269353</v>
      </c>
      <c r="AM16" s="80">
        <f t="shared" si="7"/>
        <v>0.58818927042403091</v>
      </c>
      <c r="AN16" s="80">
        <f>AN15*4/AN11</f>
        <v>0.56002187844620388</v>
      </c>
      <c r="AO16" s="74">
        <f t="shared" ref="AO16" si="8">AN16/AJ16-1</f>
        <v>-2.7732196782183527E-2</v>
      </c>
      <c r="AP16" s="74">
        <f t="shared" ref="AP16" si="9">AN16/AM16-1</f>
        <v>-4.7888313157295248E-2</v>
      </c>
      <c r="AQ16" s="22"/>
    </row>
    <row r="17" spans="1:44" s="17" customFormat="1" ht="17.5" outlineLevel="1" x14ac:dyDescent="0.35">
      <c r="A17" s="32"/>
      <c r="B17" s="73" t="s">
        <v>513</v>
      </c>
      <c r="C17" s="73" t="s">
        <v>514</v>
      </c>
      <c r="D17" s="79"/>
      <c r="E17" s="80"/>
      <c r="F17" s="80"/>
      <c r="G17" s="80"/>
      <c r="H17" s="80">
        <v>0.85</v>
      </c>
      <c r="I17" s="80">
        <v>0.78</v>
      </c>
      <c r="J17" s="80">
        <v>0.76</v>
      </c>
      <c r="K17" s="80">
        <v>0.77</v>
      </c>
      <c r="L17" s="80">
        <v>0.72399999999999998</v>
      </c>
      <c r="M17" s="118">
        <f>100*(K17-J17)</f>
        <v>1.0000000000000009</v>
      </c>
      <c r="N17" s="118">
        <f>100*(L17-K17)</f>
        <v>-4.6000000000000041</v>
      </c>
      <c r="O17" s="71"/>
      <c r="P17" s="72"/>
      <c r="Q17" s="80"/>
      <c r="R17" s="80"/>
      <c r="S17" s="80"/>
      <c r="T17" s="80"/>
      <c r="U17" s="80"/>
      <c r="V17" s="80"/>
      <c r="W17" s="80"/>
      <c r="X17" s="80"/>
      <c r="Y17" s="80"/>
      <c r="Z17" s="80"/>
      <c r="AA17" s="80"/>
      <c r="AB17" s="80"/>
      <c r="AC17" s="80"/>
      <c r="AD17" s="80"/>
      <c r="AE17" s="80"/>
      <c r="AF17" s="80"/>
      <c r="AG17" s="80">
        <v>0.81340000000000001</v>
      </c>
      <c r="AH17" s="80">
        <v>0.77349999999999997</v>
      </c>
      <c r="AI17" s="80">
        <v>0.77180000000000004</v>
      </c>
      <c r="AJ17" s="80">
        <v>0.72870000000000001</v>
      </c>
      <c r="AK17" s="80">
        <v>0.70704655155392004</v>
      </c>
      <c r="AL17" s="80">
        <v>0.72699999999999998</v>
      </c>
      <c r="AM17" s="80">
        <v>0.74498194130382778</v>
      </c>
      <c r="AN17" s="80">
        <v>0.71599999999999997</v>
      </c>
      <c r="AO17" s="74">
        <f t="shared" ref="AO17" si="10">AN17/AJ17-1</f>
        <v>-1.7428296967201939E-2</v>
      </c>
      <c r="AP17" s="74">
        <f t="shared" ref="AP17" si="11">AN17/AM17-1</f>
        <v>-3.8902877636342592E-2</v>
      </c>
      <c r="AQ17" s="22"/>
    </row>
    <row r="18" spans="1:44" s="17" customFormat="1" ht="17.5" outlineLevel="1" x14ac:dyDescent="0.35">
      <c r="A18" s="32"/>
      <c r="B18" s="73" t="s">
        <v>515</v>
      </c>
      <c r="C18" s="73" t="s">
        <v>515</v>
      </c>
      <c r="D18" s="79"/>
      <c r="E18" s="80"/>
      <c r="F18" s="80"/>
      <c r="G18" s="80"/>
      <c r="H18" s="80">
        <f>H16/12/H17</f>
        <v>5.8205821613584396E-2</v>
      </c>
      <c r="I18" s="80">
        <f t="shared" ref="I18:L18" si="12">I16/12/I17</f>
        <v>6.4679302400524691E-2</v>
      </c>
      <c r="J18" s="80">
        <f t="shared" si="12"/>
        <v>6.2015425567104376E-2</v>
      </c>
      <c r="K18" s="80">
        <f t="shared" si="12"/>
        <v>6.5517114144911653E-2</v>
      </c>
      <c r="L18" s="80">
        <f t="shared" si="12"/>
        <v>6.4274894608650046E-2</v>
      </c>
      <c r="M18" s="74"/>
      <c r="N18" s="74"/>
      <c r="O18" s="71"/>
      <c r="P18" s="72"/>
      <c r="Q18" s="80"/>
      <c r="R18" s="80"/>
      <c r="S18" s="80"/>
      <c r="T18" s="80"/>
      <c r="U18" s="80"/>
      <c r="V18" s="80"/>
      <c r="W18" s="80"/>
      <c r="X18" s="80"/>
      <c r="Y18" s="80"/>
      <c r="Z18" s="80"/>
      <c r="AA18" s="80"/>
      <c r="AB18" s="80"/>
      <c r="AC18" s="80"/>
      <c r="AD18" s="80"/>
      <c r="AE18" s="80"/>
      <c r="AF18" s="80"/>
      <c r="AG18" s="80">
        <f t="shared" ref="AG18:AI18" si="13">AG16/12/AG17</f>
        <v>6.2671914399527504E-2</v>
      </c>
      <c r="AH18" s="80">
        <f t="shared" si="13"/>
        <v>6.5503124326653742E-2</v>
      </c>
      <c r="AI18" s="80">
        <f t="shared" si="13"/>
        <v>6.7855542064350613E-2</v>
      </c>
      <c r="AJ18" s="80">
        <f>AJ16/12/AJ17</f>
        <v>6.58702139619953E-2</v>
      </c>
      <c r="AK18" s="80">
        <f>AK16/12/AK17</f>
        <v>6.2916520422785685E-2</v>
      </c>
      <c r="AL18" s="80">
        <f>AL16/12/AL17</f>
        <v>6.3993369006498574E-2</v>
      </c>
      <c r="AM18" s="80">
        <f>AM16/12/AM17</f>
        <v>6.5794578120311351E-2</v>
      </c>
      <c r="AN18" s="80">
        <f>AN16/12/AN17</f>
        <v>6.5179455126420385E-2</v>
      </c>
      <c r="AO18" s="74"/>
      <c r="AP18" s="74"/>
      <c r="AQ18" s="22"/>
    </row>
    <row r="19" spans="1:44" s="17" customFormat="1" ht="17.5" outlineLevel="1" x14ac:dyDescent="0.35">
      <c r="A19" s="32"/>
      <c r="B19" s="73"/>
      <c r="C19" s="73"/>
      <c r="D19" s="79"/>
      <c r="E19" s="80"/>
      <c r="F19" s="80"/>
      <c r="G19" s="80"/>
      <c r="H19" s="80"/>
      <c r="I19" s="80"/>
      <c r="J19" s="80"/>
      <c r="K19" s="80"/>
      <c r="L19" s="80"/>
      <c r="M19" s="74"/>
      <c r="N19" s="74"/>
      <c r="O19" s="71"/>
      <c r="P19" s="72"/>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74"/>
      <c r="AP19" s="74"/>
      <c r="AQ19" s="22"/>
    </row>
    <row r="20" spans="1:44" s="17" customFormat="1" ht="17.5" outlineLevel="1" x14ac:dyDescent="0.35">
      <c r="A20" s="32"/>
      <c r="B20" s="73" t="s">
        <v>516</v>
      </c>
      <c r="C20" s="73" t="s">
        <v>517</v>
      </c>
      <c r="D20" s="79"/>
      <c r="E20" s="80"/>
      <c r="F20" s="80"/>
      <c r="G20" s="80"/>
      <c r="H20" s="80"/>
      <c r="I20" s="80"/>
      <c r="J20" s="80"/>
      <c r="K20" s="80"/>
      <c r="L20" s="80"/>
      <c r="M20" s="74"/>
      <c r="N20" s="74"/>
      <c r="O20" s="71"/>
      <c r="P20" s="72"/>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74"/>
      <c r="AP20" s="74"/>
      <c r="AQ20" s="22"/>
    </row>
    <row r="21" spans="1:44" s="17" customFormat="1" ht="17.5" outlineLevel="1" x14ac:dyDescent="0.35">
      <c r="A21" s="32"/>
      <c r="B21" s="76" t="s">
        <v>518</v>
      </c>
      <c r="C21" s="78" t="s">
        <v>519</v>
      </c>
      <c r="D21" s="79"/>
      <c r="E21" s="80"/>
      <c r="F21" s="80"/>
      <c r="G21" s="80"/>
      <c r="H21" s="80">
        <v>0.65</v>
      </c>
      <c r="I21" s="80">
        <v>0.62</v>
      </c>
      <c r="J21" s="80">
        <v>0.65</v>
      </c>
      <c r="K21" s="80">
        <v>0.76</v>
      </c>
      <c r="L21" s="80">
        <v>0.76400000000000001</v>
      </c>
      <c r="M21" s="118">
        <f t="shared" ref="M21:M22" si="14">100*(K21-J21)</f>
        <v>10.999999999999998</v>
      </c>
      <c r="N21" s="118">
        <f t="shared" ref="N21:N22" si="15">100*(L21-K21)</f>
        <v>0.40000000000000036</v>
      </c>
      <c r="O21" s="71"/>
      <c r="P21" s="72"/>
      <c r="Q21" s="80"/>
      <c r="R21" s="80"/>
      <c r="S21" s="80"/>
      <c r="T21" s="80"/>
      <c r="U21" s="80">
        <v>0.66100000000000003</v>
      </c>
      <c r="V21" s="80">
        <v>0.628</v>
      </c>
      <c r="W21" s="80">
        <v>0.62</v>
      </c>
      <c r="X21" s="80">
        <v>0.66400000000000003</v>
      </c>
      <c r="Y21" s="80">
        <v>0.65500000000000003</v>
      </c>
      <c r="Z21" s="80">
        <v>0.624</v>
      </c>
      <c r="AA21" s="80">
        <v>0.59799999999999998</v>
      </c>
      <c r="AB21" s="80">
        <v>0.59899999999999998</v>
      </c>
      <c r="AC21" s="80">
        <v>0.61899999999999999</v>
      </c>
      <c r="AD21" s="80">
        <v>0.59399999999999997</v>
      </c>
      <c r="AE21" s="80">
        <v>0.63200000000000001</v>
      </c>
      <c r="AF21" s="80">
        <v>0.71</v>
      </c>
      <c r="AG21" s="80">
        <v>0.76</v>
      </c>
      <c r="AH21" s="80">
        <v>0.73599999999999999</v>
      </c>
      <c r="AI21" s="80">
        <v>0.755</v>
      </c>
      <c r="AJ21" s="80">
        <v>0.77</v>
      </c>
      <c r="AK21" s="80">
        <v>0.8</v>
      </c>
      <c r="AL21" s="80">
        <v>0.75</v>
      </c>
      <c r="AM21" s="80">
        <v>0.73</v>
      </c>
      <c r="AN21" s="80">
        <v>0.77</v>
      </c>
      <c r="AO21" s="74"/>
      <c r="AP21" s="74"/>
      <c r="AQ21" s="22"/>
    </row>
    <row r="22" spans="1:44" s="17" customFormat="1" ht="17.5" outlineLevel="1" x14ac:dyDescent="0.35">
      <c r="A22" s="32"/>
      <c r="B22" s="76" t="s">
        <v>520</v>
      </c>
      <c r="C22" s="78" t="s">
        <v>521</v>
      </c>
      <c r="D22" s="79"/>
      <c r="E22" s="80"/>
      <c r="F22" s="80"/>
      <c r="G22" s="80"/>
      <c r="H22" s="80">
        <v>0.35</v>
      </c>
      <c r="I22" s="80">
        <v>0.38</v>
      </c>
      <c r="J22" s="80">
        <v>0.35</v>
      </c>
      <c r="K22" s="80">
        <v>0.24</v>
      </c>
      <c r="L22" s="80">
        <v>0.23599999999999999</v>
      </c>
      <c r="M22" s="118">
        <f t="shared" si="14"/>
        <v>-10.999999999999998</v>
      </c>
      <c r="N22" s="118">
        <f t="shared" si="15"/>
        <v>-0.40000000000000036</v>
      </c>
      <c r="O22" s="71"/>
      <c r="P22" s="72"/>
      <c r="Q22" s="80"/>
      <c r="R22" s="80"/>
      <c r="S22" s="80"/>
      <c r="T22" s="80"/>
      <c r="U22" s="80">
        <v>0.33900000000000002</v>
      </c>
      <c r="V22" s="80">
        <v>0.372</v>
      </c>
      <c r="W22" s="80">
        <v>0.38</v>
      </c>
      <c r="X22" s="80">
        <v>0.33600000000000002</v>
      </c>
      <c r="Y22" s="80">
        <v>0.34499999999999997</v>
      </c>
      <c r="Z22" s="80">
        <v>0.376</v>
      </c>
      <c r="AA22" s="80">
        <v>0.40200000000000002</v>
      </c>
      <c r="AB22" s="80">
        <v>0.40100000000000002</v>
      </c>
      <c r="AC22" s="80">
        <v>0.38100000000000001</v>
      </c>
      <c r="AD22" s="80">
        <v>0.40600000000000003</v>
      </c>
      <c r="AE22" s="80">
        <v>0.36799999999999999</v>
      </c>
      <c r="AF22" s="80">
        <v>0.28999999999999998</v>
      </c>
      <c r="AG22" s="80">
        <v>0.24</v>
      </c>
      <c r="AH22" s="80">
        <v>0.26400000000000001</v>
      </c>
      <c r="AI22" s="80">
        <v>0.245</v>
      </c>
      <c r="AJ22" s="80">
        <v>0.23</v>
      </c>
      <c r="AK22" s="80">
        <v>0.2</v>
      </c>
      <c r="AL22" s="80">
        <v>0.25</v>
      </c>
      <c r="AM22" s="80">
        <v>0.27</v>
      </c>
      <c r="AN22" s="80">
        <v>0.23</v>
      </c>
      <c r="AO22" s="74"/>
      <c r="AP22" s="74"/>
      <c r="AQ22" s="22"/>
    </row>
    <row r="23" spans="1:44" s="17" customFormat="1" ht="17.5" outlineLevel="1" x14ac:dyDescent="0.35">
      <c r="A23" s="32"/>
      <c r="B23" s="73"/>
      <c r="C23" s="73"/>
      <c r="D23" s="79"/>
      <c r="E23" s="80"/>
      <c r="F23" s="80"/>
      <c r="G23" s="80"/>
      <c r="H23" s="80"/>
      <c r="I23" s="80"/>
      <c r="J23" s="80"/>
      <c r="K23" s="80"/>
      <c r="L23" s="80"/>
      <c r="M23" s="74"/>
      <c r="N23" s="74"/>
      <c r="O23" s="71"/>
      <c r="P23" s="72"/>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74"/>
      <c r="AP23" s="74"/>
      <c r="AQ23" s="22"/>
    </row>
    <row r="24" spans="1:44" s="17" customFormat="1" x14ac:dyDescent="0.35">
      <c r="A24" s="33" t="s">
        <v>140</v>
      </c>
      <c r="B24" s="73"/>
      <c r="C24" s="73"/>
      <c r="D24" s="58"/>
      <c r="E24" s="55"/>
      <c r="F24" s="55"/>
      <c r="G24" s="55"/>
      <c r="H24" s="55"/>
      <c r="I24" s="55"/>
      <c r="J24" s="55"/>
      <c r="K24" s="55"/>
      <c r="L24" s="55"/>
      <c r="M24" s="74"/>
      <c r="N24" s="74"/>
      <c r="O24" s="71"/>
      <c r="P24" s="72"/>
      <c r="Q24" s="72"/>
      <c r="R24" s="72"/>
      <c r="S24" s="72"/>
      <c r="T24" s="72"/>
      <c r="U24" s="55"/>
      <c r="V24" s="55"/>
      <c r="W24" s="55"/>
      <c r="X24" s="55"/>
      <c r="Y24" s="55"/>
      <c r="Z24" s="55"/>
      <c r="AA24" s="55"/>
      <c r="AB24" s="89"/>
      <c r="AC24" s="89"/>
      <c r="AD24" s="89"/>
      <c r="AE24" s="89"/>
      <c r="AF24" s="89"/>
      <c r="AG24" s="89"/>
      <c r="AH24" s="89"/>
      <c r="AI24" s="89"/>
      <c r="AJ24" s="89"/>
      <c r="AK24" s="89"/>
      <c r="AL24" s="89"/>
      <c r="AM24" s="89"/>
      <c r="AN24" s="89"/>
      <c r="AO24" s="74"/>
      <c r="AP24" s="74"/>
    </row>
    <row r="25" spans="1:44" s="17" customFormat="1" ht="17.5" x14ac:dyDescent="0.35">
      <c r="A25" s="32"/>
      <c r="B25" s="69" t="s">
        <v>3</v>
      </c>
      <c r="C25" s="69" t="s">
        <v>3</v>
      </c>
      <c r="D25" s="70"/>
      <c r="E25" s="70"/>
      <c r="F25" s="70"/>
      <c r="G25" s="70"/>
      <c r="H25" s="70"/>
      <c r="I25" s="70"/>
      <c r="J25" s="70"/>
      <c r="K25" s="70"/>
      <c r="L25" s="70"/>
      <c r="M25" s="70"/>
      <c r="N25" s="70"/>
      <c r="O25" s="71"/>
      <c r="P25" s="72"/>
      <c r="Q25" s="70"/>
      <c r="R25" s="70"/>
      <c r="S25" s="70"/>
      <c r="T25" s="70"/>
      <c r="U25" s="70"/>
      <c r="V25" s="70"/>
      <c r="W25" s="70"/>
      <c r="X25" s="90"/>
      <c r="Y25" s="90"/>
      <c r="Z25" s="90"/>
      <c r="AA25" s="90"/>
      <c r="AB25" s="90"/>
      <c r="AC25" s="90"/>
      <c r="AD25" s="90"/>
      <c r="AE25" s="90"/>
      <c r="AF25" s="90"/>
      <c r="AG25" s="90"/>
      <c r="AH25" s="90"/>
      <c r="AI25" s="90"/>
      <c r="AJ25" s="90"/>
      <c r="AK25" s="90"/>
      <c r="AL25" s="90"/>
      <c r="AM25" s="90"/>
      <c r="AN25" s="90"/>
      <c r="AO25" s="70"/>
      <c r="AP25" s="70"/>
    </row>
    <row r="26" spans="1:44" s="17" customFormat="1" ht="6.75" customHeight="1" outlineLevel="1" x14ac:dyDescent="0.35">
      <c r="A26" s="32"/>
      <c r="B26" s="72"/>
      <c r="C26" s="72"/>
      <c r="D26" s="72"/>
      <c r="E26" s="72"/>
      <c r="F26" s="72"/>
      <c r="G26" s="72"/>
      <c r="H26" s="72"/>
      <c r="I26" s="72"/>
      <c r="J26" s="72"/>
      <c r="K26" s="72"/>
      <c r="L26" s="72"/>
      <c r="M26" s="72"/>
      <c r="N26" s="72"/>
      <c r="O26" s="71"/>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row>
    <row r="27" spans="1:44" s="17" customFormat="1" ht="17.5" outlineLevel="1" x14ac:dyDescent="0.35">
      <c r="A27" s="32"/>
      <c r="B27" s="76" t="s">
        <v>55</v>
      </c>
      <c r="C27" s="76" t="s">
        <v>261</v>
      </c>
      <c r="D27" s="72"/>
      <c r="E27" s="54">
        <v>1795</v>
      </c>
      <c r="F27" s="54">
        <v>2837</v>
      </c>
      <c r="G27" s="54">
        <f>SUM(Q27:T27)</f>
        <v>101279</v>
      </c>
      <c r="H27" s="54">
        <f>SUM(U27:X27)</f>
        <v>645819</v>
      </c>
      <c r="I27" s="54">
        <f>SUM(Y27:AB27)</f>
        <v>1017461</v>
      </c>
      <c r="J27" s="54">
        <f>SUM(AC27:AF27)</f>
        <v>177238.85429303569</v>
      </c>
      <c r="K27" s="54">
        <f>SUM(AG27:AJ27)</f>
        <v>267359.41993027052</v>
      </c>
      <c r="L27" s="54">
        <f>SUM(AK27:AN27)</f>
        <v>551461.88078759308</v>
      </c>
      <c r="M27" s="72"/>
      <c r="N27" s="72"/>
      <c r="O27" s="71"/>
      <c r="P27" s="72"/>
      <c r="Q27" s="54">
        <v>2500</v>
      </c>
      <c r="R27" s="54">
        <v>11436</v>
      </c>
      <c r="S27" s="54">
        <v>39254</v>
      </c>
      <c r="T27" s="54">
        <v>48089</v>
      </c>
      <c r="U27" s="54">
        <v>106279</v>
      </c>
      <c r="V27" s="54">
        <v>136982</v>
      </c>
      <c r="W27" s="54">
        <v>239861</v>
      </c>
      <c r="X27" s="54">
        <v>162697</v>
      </c>
      <c r="Y27" s="54">
        <v>215710.01175996353</v>
      </c>
      <c r="Z27" s="54">
        <v>228206.98824003647</v>
      </c>
      <c r="AA27" s="54">
        <v>421924.00000000006</v>
      </c>
      <c r="AB27" s="54">
        <v>151620</v>
      </c>
      <c r="AC27" s="54">
        <v>46553</v>
      </c>
      <c r="AD27" s="54">
        <v>38531.3542930357</v>
      </c>
      <c r="AE27" s="54">
        <v>62628.440356740997</v>
      </c>
      <c r="AF27" s="54">
        <v>29526.059643258999</v>
      </c>
      <c r="AG27" s="54">
        <v>51816</v>
      </c>
      <c r="AH27" s="54">
        <v>93344.794854707099</v>
      </c>
      <c r="AI27" s="54">
        <v>76860.865304717212</v>
      </c>
      <c r="AJ27" s="54">
        <f>45.3377597708462*1000</f>
        <v>45337.759770846198</v>
      </c>
      <c r="AK27" s="54">
        <f>103.622026164569*1000</f>
        <v>103622.02616456899</v>
      </c>
      <c r="AL27" s="54">
        <v>70407.214009560004</v>
      </c>
      <c r="AM27" s="54">
        <v>51436.1913351529</v>
      </c>
      <c r="AN27" s="54">
        <v>325996.44927831116</v>
      </c>
      <c r="AO27" s="72"/>
      <c r="AP27" s="72"/>
      <c r="AR27" s="34"/>
    </row>
    <row r="28" spans="1:44" s="17" customFormat="1" ht="17.5" outlineLevel="1" x14ac:dyDescent="0.35">
      <c r="A28" s="32"/>
      <c r="B28" s="78" t="s">
        <v>337</v>
      </c>
      <c r="C28" s="76" t="s">
        <v>352</v>
      </c>
      <c r="D28" s="72"/>
      <c r="E28" s="54">
        <v>35541</v>
      </c>
      <c r="F28" s="54">
        <v>45228</v>
      </c>
      <c r="G28" s="54">
        <f>SUM(Q28:T28)</f>
        <v>125216</v>
      </c>
      <c r="H28" s="54">
        <f>SUM(U28:X28)</f>
        <v>194742.64067845896</v>
      </c>
      <c r="I28" s="54">
        <f>SUM(Y28:AB28)</f>
        <v>235920.97247855557</v>
      </c>
      <c r="J28" s="54">
        <f>SUM(AC28:AF28)</f>
        <v>389720</v>
      </c>
      <c r="K28" s="54">
        <f t="shared" ref="K28:K31" si="16">SUM(AG28:AJ28)</f>
        <v>372367</v>
      </c>
      <c r="L28" s="54">
        <f t="shared" ref="L28:L29" si="17">SUM(AK28:AN28)</f>
        <v>273916</v>
      </c>
      <c r="M28" s="72"/>
      <c r="N28" s="72"/>
      <c r="O28" s="71"/>
      <c r="P28" s="72"/>
      <c r="Q28" s="54">
        <v>24970</v>
      </c>
      <c r="R28" s="54">
        <v>23774</v>
      </c>
      <c r="S28" s="54">
        <v>45000</v>
      </c>
      <c r="T28" s="54">
        <v>31472</v>
      </c>
      <c r="U28" s="54">
        <v>33687</v>
      </c>
      <c r="V28" s="54">
        <v>70987</v>
      </c>
      <c r="W28" s="54">
        <v>41287.732678458982</v>
      </c>
      <c r="X28" s="54">
        <v>48780.907999999996</v>
      </c>
      <c r="Y28" s="54">
        <v>11998</v>
      </c>
      <c r="Z28" s="54">
        <v>12385.313</v>
      </c>
      <c r="AA28" s="54">
        <v>115773.5338576556</v>
      </c>
      <c r="AB28" s="54">
        <v>95764.125620899998</v>
      </c>
      <c r="AC28" s="54">
        <v>75669</v>
      </c>
      <c r="AD28" s="54">
        <v>92272</v>
      </c>
      <c r="AE28" s="54">
        <v>125667.584726015</v>
      </c>
      <c r="AF28" s="54">
        <v>96111.415273984996</v>
      </c>
      <c r="AG28" s="54">
        <v>46329</v>
      </c>
      <c r="AH28" s="54">
        <v>224000.93608295301</v>
      </c>
      <c r="AI28" s="54">
        <v>75675.813175081974</v>
      </c>
      <c r="AJ28" s="54">
        <f>26.361250741965*1000</f>
        <v>26361.250741965003</v>
      </c>
      <c r="AK28" s="54">
        <f>26.005*1000</f>
        <v>26005</v>
      </c>
      <c r="AL28" s="54">
        <v>101025</v>
      </c>
      <c r="AM28" s="54">
        <v>128595</v>
      </c>
      <c r="AN28" s="54">
        <v>18291</v>
      </c>
      <c r="AO28" s="72"/>
      <c r="AP28" s="72"/>
      <c r="AR28" s="34"/>
    </row>
    <row r="29" spans="1:44" s="17" customFormat="1" ht="17.5" outlineLevel="1" x14ac:dyDescent="0.35">
      <c r="A29" s="32"/>
      <c r="B29" s="91" t="s">
        <v>60</v>
      </c>
      <c r="C29" s="91" t="s">
        <v>240</v>
      </c>
      <c r="D29" s="92"/>
      <c r="E29" s="93">
        <v>110</v>
      </c>
      <c r="F29" s="93">
        <v>0</v>
      </c>
      <c r="G29" s="93">
        <f>SUM(Q29:T29)</f>
        <v>410</v>
      </c>
      <c r="H29" s="93">
        <f>SUM(U29:X29)</f>
        <v>1138</v>
      </c>
      <c r="I29" s="93">
        <f>SUM(Y29:AB29)</f>
        <v>4912</v>
      </c>
      <c r="J29" s="93">
        <f>SUM(AC29:AF29)</f>
        <v>8945</v>
      </c>
      <c r="K29" s="93">
        <f t="shared" si="16"/>
        <v>868.97500000000582</v>
      </c>
      <c r="L29" s="93">
        <f t="shared" si="17"/>
        <v>0.35297000000446133</v>
      </c>
      <c r="M29" s="94"/>
      <c r="N29" s="94"/>
      <c r="O29" s="71"/>
      <c r="P29" s="72"/>
      <c r="Q29" s="93">
        <v>11</v>
      </c>
      <c r="R29" s="93">
        <v>0</v>
      </c>
      <c r="S29" s="93">
        <v>169</v>
      </c>
      <c r="T29" s="93">
        <v>230</v>
      </c>
      <c r="U29" s="93">
        <v>73</v>
      </c>
      <c r="V29" s="93">
        <v>98</v>
      </c>
      <c r="W29" s="93">
        <v>332</v>
      </c>
      <c r="X29" s="93">
        <v>635</v>
      </c>
      <c r="Y29" s="93">
        <v>599</v>
      </c>
      <c r="Z29" s="93">
        <v>436</v>
      </c>
      <c r="AA29" s="93">
        <v>784</v>
      </c>
      <c r="AB29" s="93">
        <v>3093</v>
      </c>
      <c r="AC29" s="93">
        <v>4615</v>
      </c>
      <c r="AD29" s="93">
        <v>5066</v>
      </c>
      <c r="AE29" s="93">
        <v>3627.4</v>
      </c>
      <c r="AF29" s="93">
        <v>-4363.3999999999996</v>
      </c>
      <c r="AG29" s="93">
        <v>0</v>
      </c>
      <c r="AH29" s="93">
        <v>0</v>
      </c>
      <c r="AI29" s="93">
        <v>868.97500000000582</v>
      </c>
      <c r="AJ29" s="93">
        <v>0</v>
      </c>
      <c r="AK29" s="93">
        <v>0</v>
      </c>
      <c r="AL29" s="93">
        <v>0</v>
      </c>
      <c r="AM29" s="93">
        <v>0</v>
      </c>
      <c r="AN29" s="93">
        <f>-'DFC - Cash Flow Statement'!AL61</f>
        <v>0.35297000000446133</v>
      </c>
      <c r="AO29" s="94"/>
      <c r="AP29" s="94"/>
      <c r="AR29" s="34"/>
    </row>
    <row r="30" spans="1:44" s="17" customFormat="1" ht="17.5" outlineLevel="1" x14ac:dyDescent="0.35">
      <c r="A30" s="32"/>
      <c r="B30" s="73" t="s">
        <v>110</v>
      </c>
      <c r="C30" s="73" t="s">
        <v>296</v>
      </c>
      <c r="D30" s="79"/>
      <c r="E30" s="55">
        <f t="shared" ref="E30:I30" si="18">SUM(E27:E29)</f>
        <v>37446</v>
      </c>
      <c r="F30" s="55">
        <f t="shared" si="18"/>
        <v>48065</v>
      </c>
      <c r="G30" s="55">
        <f t="shared" si="18"/>
        <v>226905</v>
      </c>
      <c r="H30" s="55">
        <f t="shared" si="18"/>
        <v>841699.64067845896</v>
      </c>
      <c r="I30" s="55">
        <f t="shared" si="18"/>
        <v>1258293.9724785555</v>
      </c>
      <c r="J30" s="55">
        <f>SUM(J27:J29)</f>
        <v>575903.85429303569</v>
      </c>
      <c r="K30" s="55">
        <f>SUM(K27:K29)</f>
        <v>640595.3949302705</v>
      </c>
      <c r="L30" s="55">
        <f>SUM(AK30:AN30)</f>
        <v>825378.23375759309</v>
      </c>
      <c r="M30" s="74">
        <f>K30/J30-1</f>
        <v>0.11233045265281039</v>
      </c>
      <c r="N30" s="74">
        <f>L30/K30-1</f>
        <v>0.28845483481415979</v>
      </c>
      <c r="O30" s="71"/>
      <c r="P30" s="72"/>
      <c r="Q30" s="55">
        <f t="shared" ref="Q30:Y30" si="19">SUM(Q27:Q29)</f>
        <v>27481</v>
      </c>
      <c r="R30" s="55">
        <f t="shared" si="19"/>
        <v>35210</v>
      </c>
      <c r="S30" s="55">
        <f t="shared" si="19"/>
        <v>84423</v>
      </c>
      <c r="T30" s="55">
        <f t="shared" si="19"/>
        <v>79791</v>
      </c>
      <c r="U30" s="55">
        <f t="shared" si="19"/>
        <v>140039</v>
      </c>
      <c r="V30" s="55">
        <f t="shared" si="19"/>
        <v>208067</v>
      </c>
      <c r="W30" s="55">
        <f t="shared" si="19"/>
        <v>281480.73267845897</v>
      </c>
      <c r="X30" s="55">
        <f t="shared" si="19"/>
        <v>212112.908</v>
      </c>
      <c r="Y30" s="55">
        <f t="shared" si="19"/>
        <v>228307.01175996353</v>
      </c>
      <c r="Z30" s="55">
        <v>241028.30124003647</v>
      </c>
      <c r="AA30" s="55">
        <f t="shared" ref="AA30:AG30" si="20">SUM(AA27:AA29)</f>
        <v>538481.53385765571</v>
      </c>
      <c r="AB30" s="55">
        <f t="shared" si="20"/>
        <v>250477.12562090001</v>
      </c>
      <c r="AC30" s="55">
        <f t="shared" si="20"/>
        <v>126837</v>
      </c>
      <c r="AD30" s="55">
        <f t="shared" si="20"/>
        <v>135869.35429303569</v>
      </c>
      <c r="AE30" s="55">
        <f t="shared" si="20"/>
        <v>191923.425082756</v>
      </c>
      <c r="AF30" s="55">
        <f t="shared" si="20"/>
        <v>121274.074917244</v>
      </c>
      <c r="AG30" s="55">
        <f t="shared" si="20"/>
        <v>98145</v>
      </c>
      <c r="AH30" s="55">
        <f t="shared" ref="AH30:AI30" si="21">SUM(AH27:AH29)</f>
        <v>317345.73093766009</v>
      </c>
      <c r="AI30" s="55">
        <f t="shared" si="21"/>
        <v>153405.65347979919</v>
      </c>
      <c r="AJ30" s="55">
        <f t="shared" ref="AJ30:AK30" si="22">SUM(AJ27:AJ29)</f>
        <v>71699.010512811205</v>
      </c>
      <c r="AK30" s="55">
        <f t="shared" si="22"/>
        <v>129627.02616456899</v>
      </c>
      <c r="AL30" s="55">
        <f t="shared" ref="AL30:AM30" si="23">SUM(AL27:AL29)</f>
        <v>171432.21400956</v>
      </c>
      <c r="AM30" s="55">
        <f t="shared" si="23"/>
        <v>180031.19133515289</v>
      </c>
      <c r="AN30" s="55">
        <f>SUM(AN27:AN29)</f>
        <v>344287.80224831117</v>
      </c>
      <c r="AO30" s="74">
        <f t="shared" ref="AO30" si="24">AN30/AJ30-1</f>
        <v>3.8018487254687248</v>
      </c>
      <c r="AP30" s="74">
        <f t="shared" ref="AP30" si="25">AN30/AM30-1</f>
        <v>0.912378625587007</v>
      </c>
    </row>
    <row r="31" spans="1:44" s="17" customFormat="1" ht="17.5" outlineLevel="1" x14ac:dyDescent="0.35">
      <c r="A31" s="32"/>
      <c r="B31" s="91" t="s">
        <v>111</v>
      </c>
      <c r="C31" s="91" t="s">
        <v>262</v>
      </c>
      <c r="D31" s="92"/>
      <c r="E31" s="93">
        <v>0</v>
      </c>
      <c r="F31" s="93">
        <v>0</v>
      </c>
      <c r="G31" s="93">
        <v>0</v>
      </c>
      <c r="H31" s="93">
        <f>SUM(U31:X31)</f>
        <v>295578.55537000002</v>
      </c>
      <c r="I31" s="93">
        <f>SUM(Y31:AB31)</f>
        <v>0</v>
      </c>
      <c r="J31" s="93">
        <f>SUM(AC31:AF31)</f>
        <v>0</v>
      </c>
      <c r="K31" s="93">
        <f t="shared" si="16"/>
        <v>65000</v>
      </c>
      <c r="L31" s="93">
        <f>SUM(AK31:AN31)</f>
        <v>20000</v>
      </c>
      <c r="M31" s="94"/>
      <c r="N31" s="94"/>
      <c r="O31" s="71"/>
      <c r="P31" s="72"/>
      <c r="Q31" s="93">
        <v>0</v>
      </c>
      <c r="R31" s="93">
        <v>0</v>
      </c>
      <c r="S31" s="93">
        <v>0</v>
      </c>
      <c r="T31" s="93">
        <v>0</v>
      </c>
      <c r="U31" s="93">
        <v>0</v>
      </c>
      <c r="V31" s="93">
        <v>0</v>
      </c>
      <c r="W31" s="93">
        <v>42317.096270000002</v>
      </c>
      <c r="X31" s="93">
        <v>253261.45910000001</v>
      </c>
      <c r="Y31" s="93">
        <v>0</v>
      </c>
      <c r="Z31" s="93">
        <v>0</v>
      </c>
      <c r="AA31" s="93">
        <v>0</v>
      </c>
      <c r="AB31" s="93">
        <v>0</v>
      </c>
      <c r="AC31" s="93">
        <v>0</v>
      </c>
      <c r="AD31" s="93">
        <v>0</v>
      </c>
      <c r="AE31" s="93">
        <v>0</v>
      </c>
      <c r="AF31" s="93">
        <v>0</v>
      </c>
      <c r="AG31" s="93">
        <v>0</v>
      </c>
      <c r="AH31" s="93">
        <v>0</v>
      </c>
      <c r="AI31" s="93">
        <v>65000</v>
      </c>
      <c r="AJ31" s="93">
        <v>0</v>
      </c>
      <c r="AK31" s="93">
        <v>0</v>
      </c>
      <c r="AL31" s="93">
        <v>0</v>
      </c>
      <c r="AM31" s="93">
        <v>0</v>
      </c>
      <c r="AN31" s="93">
        <v>20000</v>
      </c>
      <c r="AO31" s="94"/>
      <c r="AP31" s="94"/>
    </row>
    <row r="32" spans="1:44" s="17" customFormat="1" ht="17.5" outlineLevel="1" x14ac:dyDescent="0.35">
      <c r="A32" s="32"/>
      <c r="B32" s="73" t="s">
        <v>112</v>
      </c>
      <c r="C32" s="73" t="s">
        <v>263</v>
      </c>
      <c r="D32" s="79"/>
      <c r="E32" s="55">
        <f t="shared" ref="E32:L32" si="26">E31+E30</f>
        <v>37446</v>
      </c>
      <c r="F32" s="55">
        <f t="shared" si="26"/>
        <v>48065</v>
      </c>
      <c r="G32" s="55">
        <f t="shared" si="26"/>
        <v>226905</v>
      </c>
      <c r="H32" s="55">
        <f t="shared" si="26"/>
        <v>1137278.196048459</v>
      </c>
      <c r="I32" s="55">
        <f t="shared" si="26"/>
        <v>1258293.9724785555</v>
      </c>
      <c r="J32" s="55">
        <f t="shared" si="26"/>
        <v>575903.85429303569</v>
      </c>
      <c r="K32" s="55">
        <f t="shared" si="26"/>
        <v>705595.3949302705</v>
      </c>
      <c r="L32" s="55">
        <f t="shared" si="26"/>
        <v>845378.23375759309</v>
      </c>
      <c r="M32" s="74">
        <f t="shared" ref="M32:M33" si="27">K32/J32-1</f>
        <v>0.22519651443632149</v>
      </c>
      <c r="N32" s="74">
        <f t="shared" ref="N32:N33" si="28">L32/K32-1</f>
        <v>0.19810622324304772</v>
      </c>
      <c r="O32" s="71"/>
      <c r="P32" s="72"/>
      <c r="Q32" s="55">
        <f t="shared" ref="Q32:Y32" si="29">Q31+Q30</f>
        <v>27481</v>
      </c>
      <c r="R32" s="55">
        <f t="shared" si="29"/>
        <v>35210</v>
      </c>
      <c r="S32" s="55">
        <f t="shared" si="29"/>
        <v>84423</v>
      </c>
      <c r="T32" s="55">
        <f t="shared" si="29"/>
        <v>79791</v>
      </c>
      <c r="U32" s="55">
        <f t="shared" si="29"/>
        <v>140039</v>
      </c>
      <c r="V32" s="55">
        <f t="shared" si="29"/>
        <v>208067</v>
      </c>
      <c r="W32" s="55">
        <f t="shared" si="29"/>
        <v>323797.82894845895</v>
      </c>
      <c r="X32" s="55">
        <f t="shared" si="29"/>
        <v>465374.36710000003</v>
      </c>
      <c r="Y32" s="55">
        <f t="shared" si="29"/>
        <v>228307.01175996353</v>
      </c>
      <c r="Z32" s="55">
        <v>241028.30124003647</v>
      </c>
      <c r="AA32" s="55">
        <f t="shared" ref="AA32:AN32" si="30">AA31+AA30</f>
        <v>538481.53385765571</v>
      </c>
      <c r="AB32" s="55">
        <f t="shared" si="30"/>
        <v>250477.12562090001</v>
      </c>
      <c r="AC32" s="55">
        <f t="shared" si="30"/>
        <v>126837</v>
      </c>
      <c r="AD32" s="55">
        <f t="shared" si="30"/>
        <v>135869.35429303569</v>
      </c>
      <c r="AE32" s="55">
        <f t="shared" si="30"/>
        <v>191923.425082756</v>
      </c>
      <c r="AF32" s="55">
        <f t="shared" si="30"/>
        <v>121274.074917244</v>
      </c>
      <c r="AG32" s="55">
        <f t="shared" si="30"/>
        <v>98145</v>
      </c>
      <c r="AH32" s="55">
        <f t="shared" si="30"/>
        <v>317345.73093766009</v>
      </c>
      <c r="AI32" s="55">
        <f t="shared" si="30"/>
        <v>218405.65347979919</v>
      </c>
      <c r="AJ32" s="55">
        <f t="shared" si="30"/>
        <v>71699.010512811205</v>
      </c>
      <c r="AK32" s="55">
        <f t="shared" si="30"/>
        <v>129627.02616456899</v>
      </c>
      <c r="AL32" s="55">
        <f t="shared" si="30"/>
        <v>171432.21400956</v>
      </c>
      <c r="AM32" s="55">
        <f t="shared" si="30"/>
        <v>180031.19133515289</v>
      </c>
      <c r="AN32" s="55">
        <f t="shared" si="30"/>
        <v>364287.80224831117</v>
      </c>
      <c r="AO32" s="74">
        <f t="shared" ref="AO32:AO33" si="31">AN32/AJ32-1</f>
        <v>4.0807926028940118</v>
      </c>
      <c r="AP32" s="74">
        <f t="shared" ref="AP32:AP33" si="32">AN32/AM32-1</f>
        <v>1.0234704861233697</v>
      </c>
    </row>
    <row r="33" spans="1:42" s="17" customFormat="1" ht="17.5" outlineLevel="1" x14ac:dyDescent="0.35">
      <c r="A33" s="32"/>
      <c r="B33" s="95" t="s">
        <v>147</v>
      </c>
      <c r="C33" s="95" t="s">
        <v>264</v>
      </c>
      <c r="D33" s="79"/>
      <c r="E33" s="96">
        <f t="shared" ref="E33:J33" si="33">E32/12</f>
        <v>3120.5</v>
      </c>
      <c r="F33" s="96">
        <f t="shared" si="33"/>
        <v>4005.4166666666665</v>
      </c>
      <c r="G33" s="96">
        <f t="shared" si="33"/>
        <v>18908.75</v>
      </c>
      <c r="H33" s="96">
        <f t="shared" si="33"/>
        <v>94773.183004038248</v>
      </c>
      <c r="I33" s="96">
        <f t="shared" si="33"/>
        <v>104857.83103987963</v>
      </c>
      <c r="J33" s="96">
        <f t="shared" si="33"/>
        <v>47991.987857752974</v>
      </c>
      <c r="K33" s="96">
        <f>K32/12</f>
        <v>58799.616244189208</v>
      </c>
      <c r="L33" s="96">
        <f>L32/12</f>
        <v>70448.186146466091</v>
      </c>
      <c r="M33" s="97">
        <f t="shared" si="27"/>
        <v>0.22519651443632149</v>
      </c>
      <c r="N33" s="97">
        <f t="shared" si="28"/>
        <v>0.19810622324304772</v>
      </c>
      <c r="O33" s="71"/>
      <c r="P33" s="72"/>
      <c r="Q33" s="96">
        <f t="shared" ref="Q33:X33" si="34">Q32/3</f>
        <v>9160.3333333333339</v>
      </c>
      <c r="R33" s="96">
        <f t="shared" si="34"/>
        <v>11736.666666666666</v>
      </c>
      <c r="S33" s="96">
        <f t="shared" si="34"/>
        <v>28141</v>
      </c>
      <c r="T33" s="96">
        <f t="shared" si="34"/>
        <v>26597</v>
      </c>
      <c r="U33" s="96">
        <f t="shared" si="34"/>
        <v>46679.666666666664</v>
      </c>
      <c r="V33" s="96">
        <f t="shared" si="34"/>
        <v>69355.666666666672</v>
      </c>
      <c r="W33" s="96">
        <f t="shared" si="34"/>
        <v>107932.60964948632</v>
      </c>
      <c r="X33" s="96">
        <f t="shared" si="34"/>
        <v>155124.78903333333</v>
      </c>
      <c r="Y33" s="96">
        <f t="shared" ref="Y33:AE33" si="35">Y32/3</f>
        <v>76102.33725332118</v>
      </c>
      <c r="Z33" s="96">
        <f t="shared" si="35"/>
        <v>80342.767080012156</v>
      </c>
      <c r="AA33" s="96">
        <f t="shared" si="35"/>
        <v>179493.84461921858</v>
      </c>
      <c r="AB33" s="96">
        <f t="shared" si="35"/>
        <v>83492.375206966666</v>
      </c>
      <c r="AC33" s="96">
        <f t="shared" si="35"/>
        <v>42279</v>
      </c>
      <c r="AD33" s="96">
        <f t="shared" si="35"/>
        <v>45289.784764345233</v>
      </c>
      <c r="AE33" s="96">
        <f t="shared" si="35"/>
        <v>63974.475027585337</v>
      </c>
      <c r="AF33" s="96">
        <f t="shared" ref="AF33:AG33" si="36">AF32/3</f>
        <v>40424.691639081335</v>
      </c>
      <c r="AG33" s="96">
        <f t="shared" si="36"/>
        <v>32715</v>
      </c>
      <c r="AH33" s="96">
        <f t="shared" ref="AH33:AI33" si="37">AH32/3</f>
        <v>105781.91031255336</v>
      </c>
      <c r="AI33" s="96">
        <f t="shared" si="37"/>
        <v>72801.884493266392</v>
      </c>
      <c r="AJ33" s="96">
        <f t="shared" ref="AJ33:AK33" si="38">AJ32/3</f>
        <v>23899.670170937068</v>
      </c>
      <c r="AK33" s="96">
        <f t="shared" si="38"/>
        <v>43209.008721522994</v>
      </c>
      <c r="AL33" s="96">
        <f t="shared" ref="AL33:AN33" si="39">AL32/3</f>
        <v>57144.071336519999</v>
      </c>
      <c r="AM33" s="96">
        <f t="shared" si="39"/>
        <v>60010.397111717633</v>
      </c>
      <c r="AN33" s="96">
        <f t="shared" si="39"/>
        <v>121429.26741610373</v>
      </c>
      <c r="AO33" s="97">
        <f t="shared" si="31"/>
        <v>4.0807926028940118</v>
      </c>
      <c r="AP33" s="97">
        <f t="shared" si="32"/>
        <v>1.0234704861233697</v>
      </c>
    </row>
    <row r="34" spans="1:42" s="17" customFormat="1" ht="17.5" outlineLevel="1" x14ac:dyDescent="0.35">
      <c r="A34" s="32"/>
      <c r="B34" s="95"/>
      <c r="C34" s="95"/>
      <c r="D34" s="79"/>
      <c r="E34" s="96"/>
      <c r="F34" s="96"/>
      <c r="G34" s="96"/>
      <c r="H34" s="96"/>
      <c r="I34" s="96"/>
      <c r="J34" s="96"/>
      <c r="K34" s="96"/>
      <c r="L34" s="96"/>
      <c r="M34" s="97"/>
      <c r="N34" s="97"/>
      <c r="O34" s="71"/>
      <c r="P34" s="72"/>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7"/>
      <c r="AP34" s="97"/>
    </row>
    <row r="35" spans="1:42" s="17" customFormat="1" ht="17.5" outlineLevel="1" x14ac:dyDescent="0.35">
      <c r="A35" s="32"/>
      <c r="B35" s="69" t="s">
        <v>532</v>
      </c>
      <c r="C35" s="95"/>
      <c r="D35" s="70"/>
      <c r="E35" s="70"/>
      <c r="F35" s="70"/>
      <c r="G35" s="70"/>
      <c r="H35" s="70"/>
      <c r="I35" s="70"/>
      <c r="J35" s="70"/>
      <c r="K35" s="70"/>
      <c r="L35" s="70"/>
      <c r="M35" s="70"/>
      <c r="N35" s="70"/>
      <c r="O35" s="71"/>
      <c r="P35" s="72"/>
      <c r="Q35" s="70"/>
      <c r="R35" s="70"/>
      <c r="S35" s="70"/>
      <c r="T35" s="70"/>
      <c r="U35" s="70"/>
      <c r="V35" s="70"/>
      <c r="W35" s="70"/>
      <c r="X35" s="90"/>
      <c r="Y35" s="90"/>
      <c r="Z35" s="90"/>
      <c r="AA35" s="90"/>
      <c r="AB35" s="90"/>
      <c r="AC35" s="90"/>
      <c r="AD35" s="90"/>
      <c r="AE35" s="90"/>
      <c r="AF35" s="90"/>
      <c r="AG35" s="90"/>
      <c r="AH35" s="90"/>
      <c r="AI35" s="90"/>
      <c r="AJ35" s="90"/>
      <c r="AK35" s="90"/>
      <c r="AL35" s="90"/>
      <c r="AM35" s="90"/>
      <c r="AN35" s="90"/>
      <c r="AO35" s="70"/>
      <c r="AP35" s="70"/>
    </row>
    <row r="36" spans="1:42" s="17" customFormat="1" ht="17.5" outlineLevel="1" x14ac:dyDescent="0.35">
      <c r="A36" s="32"/>
      <c r="B36" s="76" t="s">
        <v>528</v>
      </c>
      <c r="C36" s="95"/>
      <c r="D36" s="79"/>
      <c r="E36" s="96"/>
      <c r="F36" s="96"/>
      <c r="G36" s="96"/>
      <c r="H36" s="96"/>
      <c r="I36" s="96"/>
      <c r="J36" s="96"/>
      <c r="K36" s="96"/>
      <c r="L36" s="96">
        <f>SUM(AK36:AN36)</f>
        <v>285571.68861965102</v>
      </c>
      <c r="M36" s="97"/>
      <c r="N36" s="97"/>
      <c r="O36" s="71"/>
      <c r="P36" s="72"/>
      <c r="Q36" s="96"/>
      <c r="R36" s="96"/>
      <c r="S36" s="96"/>
      <c r="T36" s="96"/>
      <c r="U36" s="96"/>
      <c r="V36" s="96"/>
      <c r="W36" s="96"/>
      <c r="X36" s="96"/>
      <c r="Y36" s="96"/>
      <c r="Z36" s="96"/>
      <c r="AA36" s="96"/>
      <c r="AB36" s="96"/>
      <c r="AC36" s="96"/>
      <c r="AD36" s="96"/>
      <c r="AE36" s="96"/>
      <c r="AF36" s="96"/>
      <c r="AG36" s="96"/>
      <c r="AH36" s="96"/>
      <c r="AI36" s="96"/>
      <c r="AJ36" s="96"/>
      <c r="AK36" s="96">
        <v>51959.901061370983</v>
      </c>
      <c r="AL36" s="96">
        <v>6149</v>
      </c>
      <c r="AM36" s="96">
        <v>35174.808773719</v>
      </c>
      <c r="AN36" s="96">
        <v>192287.97878456101</v>
      </c>
      <c r="AO36" s="97"/>
      <c r="AP36" s="97"/>
    </row>
    <row r="37" spans="1:42" s="17" customFormat="1" ht="17.5" outlineLevel="1" x14ac:dyDescent="0.35">
      <c r="A37" s="32"/>
      <c r="B37" s="78" t="s">
        <v>529</v>
      </c>
      <c r="C37" s="95"/>
      <c r="D37" s="79"/>
      <c r="E37" s="96"/>
      <c r="F37" s="96"/>
      <c r="G37" s="96"/>
      <c r="H37" s="96"/>
      <c r="I37" s="96"/>
      <c r="J37" s="96"/>
      <c r="K37" s="96"/>
      <c r="L37" s="96">
        <f t="shared" ref="L37:L39" si="40">SUM(AK37:AN37)</f>
        <v>338589.46300597821</v>
      </c>
      <c r="M37" s="97"/>
      <c r="N37" s="97"/>
      <c r="O37" s="71"/>
      <c r="P37" s="72"/>
      <c r="Q37" s="96"/>
      <c r="R37" s="96"/>
      <c r="S37" s="96"/>
      <c r="T37" s="96"/>
      <c r="U37" s="96"/>
      <c r="V37" s="96"/>
      <c r="W37" s="96"/>
      <c r="X37" s="96"/>
      <c r="Y37" s="96"/>
      <c r="Z37" s="96"/>
      <c r="AA37" s="96"/>
      <c r="AB37" s="96"/>
      <c r="AC37" s="96"/>
      <c r="AD37" s="96"/>
      <c r="AE37" s="96"/>
      <c r="AF37" s="96"/>
      <c r="AG37" s="96"/>
      <c r="AH37" s="96"/>
      <c r="AI37" s="96"/>
      <c r="AJ37" s="96"/>
      <c r="AK37" s="96">
        <v>25687.200253059385</v>
      </c>
      <c r="AL37" s="96">
        <v>123961.463978738</v>
      </c>
      <c r="AM37" s="96">
        <v>98393.055402062004</v>
      </c>
      <c r="AN37" s="96">
        <v>90547.743372118799</v>
      </c>
      <c r="AO37" s="97"/>
      <c r="AP37" s="97"/>
    </row>
    <row r="38" spans="1:42" s="17" customFormat="1" ht="17.5" outlineLevel="1" x14ac:dyDescent="0.35">
      <c r="A38" s="32"/>
      <c r="B38" s="76" t="s">
        <v>530</v>
      </c>
      <c r="C38" s="95"/>
      <c r="D38" s="79"/>
      <c r="E38" s="96"/>
      <c r="F38" s="96"/>
      <c r="G38" s="96"/>
      <c r="H38" s="96"/>
      <c r="I38" s="96"/>
      <c r="J38" s="96"/>
      <c r="K38" s="96"/>
      <c r="L38" s="96">
        <f t="shared" si="40"/>
        <v>137716.46114477693</v>
      </c>
      <c r="M38" s="97"/>
      <c r="N38" s="97"/>
      <c r="O38" s="71"/>
      <c r="P38" s="72"/>
      <c r="Q38" s="96"/>
      <c r="R38" s="96"/>
      <c r="S38" s="96"/>
      <c r="T38" s="96"/>
      <c r="U38" s="96"/>
      <c r="V38" s="96"/>
      <c r="W38" s="96"/>
      <c r="X38" s="96"/>
      <c r="Y38" s="96"/>
      <c r="Z38" s="96"/>
      <c r="AA38" s="96"/>
      <c r="AB38" s="96"/>
      <c r="AC38" s="96"/>
      <c r="AD38" s="96"/>
      <c r="AE38" s="96"/>
      <c r="AF38" s="96"/>
      <c r="AG38" s="96"/>
      <c r="AH38" s="96"/>
      <c r="AI38" s="96"/>
      <c r="AJ38" s="96"/>
      <c r="AK38" s="96">
        <v>36548.56328037518</v>
      </c>
      <c r="AL38" s="96">
        <v>21856.529774364699</v>
      </c>
      <c r="AM38" s="96">
        <v>33805.11192246493</v>
      </c>
      <c r="AN38" s="96">
        <v>45506.256167572123</v>
      </c>
      <c r="AO38" s="97"/>
      <c r="AP38" s="97"/>
    </row>
    <row r="39" spans="1:42" s="17" customFormat="1" ht="17.5" outlineLevel="1" x14ac:dyDescent="0.35">
      <c r="A39" s="32"/>
      <c r="B39" s="91" t="s">
        <v>531</v>
      </c>
      <c r="C39" s="91"/>
      <c r="D39" s="92"/>
      <c r="E39" s="93"/>
      <c r="F39" s="93"/>
      <c r="G39" s="93"/>
      <c r="H39" s="93"/>
      <c r="I39" s="93"/>
      <c r="J39" s="93"/>
      <c r="K39" s="93"/>
      <c r="L39" s="93">
        <f t="shared" si="40"/>
        <v>63500.621170260027</v>
      </c>
      <c r="M39" s="93"/>
      <c r="N39" s="94"/>
      <c r="O39" s="71"/>
      <c r="P39" s="72"/>
      <c r="Q39" s="93"/>
      <c r="R39" s="93"/>
      <c r="S39" s="93"/>
      <c r="T39" s="93"/>
      <c r="U39" s="93"/>
      <c r="V39" s="93"/>
      <c r="W39" s="93"/>
      <c r="X39" s="93"/>
      <c r="Y39" s="93"/>
      <c r="Z39" s="93"/>
      <c r="AA39" s="93"/>
      <c r="AB39" s="93"/>
      <c r="AC39" s="93"/>
      <c r="AD39" s="93"/>
      <c r="AE39" s="93"/>
      <c r="AF39" s="93"/>
      <c r="AG39" s="93"/>
      <c r="AH39" s="93"/>
      <c r="AI39" s="93"/>
      <c r="AJ39" s="93"/>
      <c r="AK39" s="93">
        <v>15431.361569763694</v>
      </c>
      <c r="AL39" s="93">
        <v>19465.220409530517</v>
      </c>
      <c r="AM39" s="93">
        <v>12658.215236906903</v>
      </c>
      <c r="AN39" s="93">
        <v>15945.823954058913</v>
      </c>
      <c r="AO39" s="94"/>
      <c r="AP39" s="94"/>
    </row>
    <row r="40" spans="1:42" s="17" customFormat="1" ht="17.5" outlineLevel="1" x14ac:dyDescent="0.35">
      <c r="A40" s="32"/>
      <c r="B40" s="256" t="s">
        <v>110</v>
      </c>
      <c r="C40" s="257"/>
      <c r="D40" s="77"/>
      <c r="E40" s="258"/>
      <c r="F40" s="258"/>
      <c r="G40" s="258"/>
      <c r="H40" s="258"/>
      <c r="I40" s="258"/>
      <c r="J40" s="258"/>
      <c r="K40" s="258"/>
      <c r="L40" s="258">
        <f>SUM(L36:L39)</f>
        <v>825378.23394066619</v>
      </c>
      <c r="N40" s="259"/>
      <c r="O40" s="75"/>
      <c r="P40" s="58"/>
      <c r="Q40" s="258"/>
      <c r="R40" s="258"/>
      <c r="S40" s="258"/>
      <c r="T40" s="258"/>
      <c r="U40" s="258"/>
      <c r="V40" s="258"/>
      <c r="W40" s="258"/>
      <c r="X40" s="258"/>
      <c r="Y40" s="258"/>
      <c r="Z40" s="258"/>
      <c r="AA40" s="258"/>
      <c r="AB40" s="258"/>
      <c r="AC40" s="258"/>
      <c r="AD40" s="258"/>
      <c r="AE40" s="258"/>
      <c r="AF40" s="258"/>
      <c r="AG40" s="258"/>
      <c r="AH40" s="258"/>
      <c r="AI40" s="258"/>
      <c r="AJ40" s="258"/>
      <c r="AK40" s="258">
        <f>SUM(AK36:AK39)</f>
        <v>129627.02616456925</v>
      </c>
      <c r="AL40" s="258">
        <f>SUM(AL36:AL39)</f>
        <v>171432.2141626332</v>
      </c>
      <c r="AM40" s="258">
        <f>SUM(AM36:AM39)</f>
        <v>180031.19133515283</v>
      </c>
      <c r="AN40" s="258">
        <f t="shared" ref="AN40" si="41">SUM(AN36:AN39)</f>
        <v>344287.80227831088</v>
      </c>
      <c r="AO40" s="97"/>
      <c r="AP40" s="97"/>
    </row>
    <row r="41" spans="1:42" s="17" customFormat="1" x14ac:dyDescent="0.35">
      <c r="A41" s="33" t="s">
        <v>140</v>
      </c>
      <c r="B41" s="72"/>
      <c r="C41" s="72"/>
      <c r="D41" s="72"/>
      <c r="E41" s="72"/>
      <c r="F41" s="72"/>
      <c r="G41" s="72"/>
      <c r="H41" s="72"/>
      <c r="I41" s="72"/>
      <c r="J41" s="72"/>
      <c r="K41" s="72"/>
      <c r="L41" s="72"/>
      <c r="M41" s="72"/>
      <c r="N41" s="72"/>
      <c r="O41" s="71"/>
      <c r="P41" s="72"/>
      <c r="Q41" s="72"/>
      <c r="R41" s="72"/>
      <c r="S41" s="72"/>
      <c r="T41" s="72"/>
      <c r="U41" s="72"/>
      <c r="V41" s="72"/>
      <c r="W41" s="72"/>
      <c r="X41" s="72"/>
      <c r="Y41" s="72"/>
      <c r="Z41" s="72"/>
      <c r="AA41" s="72"/>
      <c r="AB41" s="72"/>
      <c r="AC41" s="72"/>
      <c r="AD41" s="72"/>
      <c r="AE41" s="72"/>
      <c r="AF41" s="72"/>
      <c r="AG41" s="72"/>
      <c r="AH41" s="72"/>
      <c r="AI41" s="72"/>
      <c r="AJ41" s="72"/>
      <c r="AK41" s="260"/>
      <c r="AL41" s="260"/>
      <c r="AM41" s="261"/>
      <c r="AN41" s="260"/>
      <c r="AO41" s="72"/>
      <c r="AP41" s="72"/>
    </row>
    <row r="42" spans="1:42" s="17" customFormat="1" ht="17.5" x14ac:dyDescent="0.35">
      <c r="A42" s="32"/>
      <c r="B42" s="69" t="s">
        <v>293</v>
      </c>
      <c r="C42" s="69" t="s">
        <v>381</v>
      </c>
      <c r="D42" s="70"/>
      <c r="E42" s="70"/>
      <c r="F42" s="70"/>
      <c r="G42" s="70"/>
      <c r="H42" s="70"/>
      <c r="I42" s="70"/>
      <c r="J42" s="70"/>
      <c r="K42" s="70"/>
      <c r="L42" s="70"/>
      <c r="M42" s="70"/>
      <c r="N42" s="70"/>
      <c r="O42" s="71"/>
      <c r="P42" s="72"/>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row>
    <row r="43" spans="1:42" s="17" customFormat="1" ht="6.75" customHeight="1" outlineLevel="1" x14ac:dyDescent="0.35">
      <c r="A43" s="32"/>
      <c r="B43" s="72"/>
      <c r="C43" s="72"/>
      <c r="D43" s="72"/>
      <c r="E43" s="72"/>
      <c r="F43" s="72"/>
      <c r="G43" s="72"/>
      <c r="H43" s="72"/>
      <c r="I43" s="72"/>
      <c r="J43" s="72"/>
      <c r="K43" s="72"/>
      <c r="L43" s="72"/>
      <c r="M43" s="72"/>
      <c r="N43" s="72"/>
      <c r="O43" s="71"/>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row>
    <row r="44" spans="1:42" s="17" customFormat="1" ht="17.5" outlineLevel="1" x14ac:dyDescent="0.35">
      <c r="A44" s="32"/>
      <c r="B44" s="73" t="s">
        <v>14</v>
      </c>
      <c r="C44" s="73" t="s">
        <v>177</v>
      </c>
      <c r="D44" s="58"/>
      <c r="E44" s="55">
        <v>6320</v>
      </c>
      <c r="F44" s="55">
        <v>9164</v>
      </c>
      <c r="G44" s="55">
        <v>17533</v>
      </c>
      <c r="H44" s="55">
        <f t="shared" ref="H44:H48" si="42">SUM(U44:X44)</f>
        <v>58064.225367912382</v>
      </c>
      <c r="I44" s="55">
        <f t="shared" ref="I44:I51" si="43">SUM(Y44:AB44)</f>
        <v>148592</v>
      </c>
      <c r="J44" s="55">
        <f>SUM(AC44:AF44)</f>
        <v>163283.19999999995</v>
      </c>
      <c r="K44" s="55">
        <f>SUM(AG44:AJ44)</f>
        <v>175638.83733274933</v>
      </c>
      <c r="L44" s="55">
        <f>SUM(AK44:AN44)</f>
        <v>73770.696889516956</v>
      </c>
      <c r="M44" s="74"/>
      <c r="N44" s="74"/>
      <c r="O44" s="71"/>
      <c r="P44" s="72"/>
      <c r="Q44" s="55">
        <f>'DRE - Income Statement'!Q41</f>
        <v>3048</v>
      </c>
      <c r="R44" s="55">
        <f>'DRE - Income Statement'!R41</f>
        <v>3422</v>
      </c>
      <c r="S44" s="55">
        <f>'DRE - Income Statement'!S41</f>
        <v>3933.8117800000005</v>
      </c>
      <c r="T44" s="55">
        <f>'DRE - Income Statement'!T41</f>
        <v>7129.1882200000036</v>
      </c>
      <c r="U44" s="55">
        <f>'DRE - Income Statement'!U41</f>
        <v>7665</v>
      </c>
      <c r="V44" s="55">
        <f>'DRE - Income Statement'!V41</f>
        <v>10804</v>
      </c>
      <c r="W44" s="55">
        <f>'DRE - Income Statement'!W41</f>
        <v>13676</v>
      </c>
      <c r="X44" s="55">
        <f>'DRE - Income Statement'!X41</f>
        <v>25919.225367912379</v>
      </c>
      <c r="Y44" s="55">
        <f>'DRE - Income Statement'!Y41</f>
        <v>27965</v>
      </c>
      <c r="Z44" s="55">
        <v>30837</v>
      </c>
      <c r="AA44" s="55">
        <f>'DRE - Income Statement'!AA41</f>
        <v>38835</v>
      </c>
      <c r="AB44" s="55">
        <v>50955</v>
      </c>
      <c r="AC44" s="55">
        <v>26222</v>
      </c>
      <c r="AD44" s="55">
        <v>43435</v>
      </c>
      <c r="AE44" s="55">
        <v>47873.599999999977</v>
      </c>
      <c r="AF44" s="55">
        <v>45752.599999999977</v>
      </c>
      <c r="AG44" s="55">
        <v>53114</v>
      </c>
      <c r="AH44" s="55">
        <v>50394.917447484244</v>
      </c>
      <c r="AI44" s="55">
        <v>60839.093936685531</v>
      </c>
      <c r="AJ44" s="55">
        <f>'DRE - Income Statement'!AJ41</f>
        <v>11290.825948579546</v>
      </c>
      <c r="AK44" s="55">
        <f>'DRE - Income Statement'!AK41</f>
        <v>12512.005410000091</v>
      </c>
      <c r="AL44" s="55">
        <f>'DRE - Income Statement'!AL41</f>
        <v>-6715.3749304835401</v>
      </c>
      <c r="AM44" s="55">
        <f>'DRE - Income Statement'!AM41</f>
        <v>38303.854792999977</v>
      </c>
      <c r="AN44" s="55">
        <f>'DRE - Income Statement'!AN41</f>
        <v>29670.21161700043</v>
      </c>
      <c r="AO44" s="74"/>
      <c r="AP44" s="74"/>
    </row>
    <row r="45" spans="1:42" s="17" customFormat="1" ht="17.5" outlineLevel="1" x14ac:dyDescent="0.35">
      <c r="A45" s="32"/>
      <c r="B45" s="100" t="s">
        <v>99</v>
      </c>
      <c r="C45" s="100" t="s">
        <v>265</v>
      </c>
      <c r="D45" s="72"/>
      <c r="E45" s="54">
        <v>3334</v>
      </c>
      <c r="F45" s="54">
        <v>5924</v>
      </c>
      <c r="G45" s="54">
        <v>6946</v>
      </c>
      <c r="H45" s="54">
        <f t="shared" si="42"/>
        <v>31524.774632087621</v>
      </c>
      <c r="I45" s="54">
        <f t="shared" si="43"/>
        <v>19399</v>
      </c>
      <c r="J45" s="54">
        <f t="shared" ref="J45:J65" si="44">SUM(AC45:AF45)</f>
        <v>35552</v>
      </c>
      <c r="K45" s="54">
        <f t="shared" ref="K45:K48" si="45">SUM(AG45:AJ45)</f>
        <v>50203.914000000004</v>
      </c>
      <c r="L45" s="54">
        <f t="shared" ref="L45:L48" si="46">SUM(AK45:AN45)</f>
        <v>-27145.268000000004</v>
      </c>
      <c r="M45" s="72"/>
      <c r="N45" s="72"/>
      <c r="O45" s="71"/>
      <c r="P45" s="72"/>
      <c r="Q45" s="54">
        <v>1878</v>
      </c>
      <c r="R45" s="54">
        <v>1787</v>
      </c>
      <c r="S45" s="54">
        <v>2386.8052000000002</v>
      </c>
      <c r="T45" s="54">
        <v>894.1947999999993</v>
      </c>
      <c r="U45" s="54">
        <v>4313</v>
      </c>
      <c r="V45" s="54">
        <v>6447</v>
      </c>
      <c r="W45" s="54">
        <v>7253</v>
      </c>
      <c r="X45" s="101">
        <v>13511.774632087621</v>
      </c>
      <c r="Y45" s="101">
        <v>8852</v>
      </c>
      <c r="Z45" s="101">
        <v>9709</v>
      </c>
      <c r="AA45" s="101">
        <v>11840</v>
      </c>
      <c r="AB45" s="101">
        <v>-11002</v>
      </c>
      <c r="AC45" s="101">
        <v>4510</v>
      </c>
      <c r="AD45" s="101">
        <v>4290</v>
      </c>
      <c r="AE45" s="101">
        <v>15078</v>
      </c>
      <c r="AF45" s="101">
        <v>11674</v>
      </c>
      <c r="AG45" s="101">
        <v>15035</v>
      </c>
      <c r="AH45" s="101">
        <v>14322</v>
      </c>
      <c r="AI45" s="101">
        <v>13591.383000000002</v>
      </c>
      <c r="AJ45" s="101">
        <f>-'DRE - Income Statement'!AJ37</f>
        <v>7255.530999999999</v>
      </c>
      <c r="AK45" s="101">
        <f>-'DRE - Income Statement'!AK37</f>
        <v>-5253.7420000000002</v>
      </c>
      <c r="AL45" s="101">
        <f>-'DRE - Income Statement'!AL37</f>
        <v>-10947.644</v>
      </c>
      <c r="AM45" s="101">
        <f>-'DRE - Income Statement'!AM37</f>
        <v>11786.716</v>
      </c>
      <c r="AN45" s="101">
        <f>-'DRE - Income Statement'!AN37</f>
        <v>-22730.598000000002</v>
      </c>
      <c r="AO45" s="72"/>
      <c r="AP45" s="72"/>
    </row>
    <row r="46" spans="1:42" s="17" customFormat="1" ht="17.5" outlineLevel="1" x14ac:dyDescent="0.35">
      <c r="A46" s="32"/>
      <c r="B46" s="100" t="s">
        <v>100</v>
      </c>
      <c r="C46" s="100" t="s">
        <v>266</v>
      </c>
      <c r="D46" s="72"/>
      <c r="E46" s="54">
        <v>5473</v>
      </c>
      <c r="F46" s="54">
        <v>7813</v>
      </c>
      <c r="G46" s="54">
        <v>16200</v>
      </c>
      <c r="H46" s="54">
        <f t="shared" si="42"/>
        <v>67544</v>
      </c>
      <c r="I46" s="54">
        <f t="shared" si="43"/>
        <v>279296</v>
      </c>
      <c r="J46" s="54">
        <f t="shared" si="44"/>
        <v>355307.4</v>
      </c>
      <c r="K46" s="54">
        <f t="shared" si="45"/>
        <v>414725.89200000011</v>
      </c>
      <c r="L46" s="54">
        <f t="shared" si="46"/>
        <v>481313.55500000005</v>
      </c>
      <c r="M46" s="72"/>
      <c r="N46" s="72"/>
      <c r="O46" s="71"/>
      <c r="P46" s="72"/>
      <c r="Q46" s="54">
        <v>2498</v>
      </c>
      <c r="R46" s="54">
        <v>3010</v>
      </c>
      <c r="S46" s="54">
        <v>4239.9753400000009</v>
      </c>
      <c r="T46" s="54">
        <v>6452.0246599999991</v>
      </c>
      <c r="U46" s="54">
        <v>7443</v>
      </c>
      <c r="V46" s="54">
        <v>10673</v>
      </c>
      <c r="W46" s="54">
        <v>16830</v>
      </c>
      <c r="X46" s="54">
        <v>32598</v>
      </c>
      <c r="Y46" s="54">
        <v>64465</v>
      </c>
      <c r="Z46" s="54">
        <v>63711</v>
      </c>
      <c r="AA46" s="54">
        <v>70442</v>
      </c>
      <c r="AB46" s="54">
        <v>80678</v>
      </c>
      <c r="AC46" s="54">
        <v>91020</v>
      </c>
      <c r="AD46" s="54">
        <v>89044</v>
      </c>
      <c r="AE46" s="54">
        <v>87767.000000000029</v>
      </c>
      <c r="AF46" s="54">
        <v>87476.400000000023</v>
      </c>
      <c r="AG46" s="54">
        <v>87202</v>
      </c>
      <c r="AH46" s="54">
        <v>104038.644</v>
      </c>
      <c r="AI46" s="54">
        <v>108721.95599999998</v>
      </c>
      <c r="AJ46" s="54">
        <f>-'DRE - Income Statement'!AJ32</f>
        <v>114763.2920000001</v>
      </c>
      <c r="AK46" s="54">
        <f>-'DRE - Income Statement'!AK32</f>
        <v>105214.08099999999</v>
      </c>
      <c r="AL46" s="54">
        <f>-'DRE - Income Statement'!AL32</f>
        <v>119349.59699999999</v>
      </c>
      <c r="AM46" s="54">
        <f>-'DRE - Income Statement'!AM32</f>
        <v>123513.05900000002</v>
      </c>
      <c r="AN46" s="54">
        <f>-'DRE - Income Statement'!AN32</f>
        <v>133236.81800000003</v>
      </c>
      <c r="AO46" s="72"/>
      <c r="AP46" s="72"/>
    </row>
    <row r="47" spans="1:42" s="17" customFormat="1" ht="17.5" outlineLevel="1" x14ac:dyDescent="0.35">
      <c r="A47" s="32"/>
      <c r="B47" s="100" t="s">
        <v>88</v>
      </c>
      <c r="C47" s="100" t="s">
        <v>267</v>
      </c>
      <c r="D47" s="72"/>
      <c r="E47" s="54">
        <v>-563</v>
      </c>
      <c r="F47" s="54">
        <v>-296</v>
      </c>
      <c r="G47" s="54">
        <v>-859</v>
      </c>
      <c r="H47" s="54">
        <f t="shared" si="42"/>
        <v>-27692</v>
      </c>
      <c r="I47" s="54">
        <f t="shared" si="43"/>
        <v>-126974</v>
      </c>
      <c r="J47" s="54">
        <f t="shared" si="44"/>
        <v>-99055.6</v>
      </c>
      <c r="K47" s="54">
        <f t="shared" si="45"/>
        <v>-117515.69500000001</v>
      </c>
      <c r="L47" s="54">
        <f t="shared" si="46"/>
        <v>-105450.29800000001</v>
      </c>
      <c r="M47" s="72"/>
      <c r="N47" s="72"/>
      <c r="O47" s="71"/>
      <c r="P47" s="72"/>
      <c r="Q47" s="54">
        <v>-125</v>
      </c>
      <c r="R47" s="54">
        <v>-33</v>
      </c>
      <c r="S47" s="54">
        <v>-70.755319999999998</v>
      </c>
      <c r="T47" s="54">
        <v>-630.24468000000002</v>
      </c>
      <c r="U47" s="54">
        <v>-447</v>
      </c>
      <c r="V47" s="54">
        <v>-567</v>
      </c>
      <c r="W47" s="54">
        <v>-9378</v>
      </c>
      <c r="X47" s="54">
        <v>-17300</v>
      </c>
      <c r="Y47" s="54">
        <v>-38592</v>
      </c>
      <c r="Z47" s="54">
        <v>-29335</v>
      </c>
      <c r="AA47" s="54">
        <v>-31475</v>
      </c>
      <c r="AB47" s="54">
        <v>-27572</v>
      </c>
      <c r="AC47" s="54">
        <v>-28107</v>
      </c>
      <c r="AD47" s="54">
        <v>-25253</v>
      </c>
      <c r="AE47" s="54">
        <v>-23878.600000000006</v>
      </c>
      <c r="AF47" s="54">
        <v>-21817</v>
      </c>
      <c r="AG47" s="54">
        <v>-21400</v>
      </c>
      <c r="AH47" s="54">
        <v>-31689.232999999993</v>
      </c>
      <c r="AI47" s="54">
        <v>-29504.135999999999</v>
      </c>
      <c r="AJ47" s="54">
        <f>-'DRE - Income Statement'!AJ31</f>
        <v>-34922.326000000015</v>
      </c>
      <c r="AK47" s="54">
        <f>-'DRE - Income Statement'!AK31</f>
        <v>-20045.397000000001</v>
      </c>
      <c r="AL47" s="54">
        <f>-'DRE - Income Statement'!AL31</f>
        <v>-19611.448</v>
      </c>
      <c r="AM47" s="54">
        <f>-'DRE - Income Statement'!AM31</f>
        <v>-33340.084999999992</v>
      </c>
      <c r="AN47" s="54">
        <f>-'DRE - Income Statement'!AN31</f>
        <v>-32453.368000000013</v>
      </c>
      <c r="AO47" s="72"/>
      <c r="AP47" s="72"/>
    </row>
    <row r="48" spans="1:42" s="17" customFormat="1" ht="17.5" outlineLevel="1" x14ac:dyDescent="0.35">
      <c r="A48" s="32"/>
      <c r="B48" s="91" t="s">
        <v>44</v>
      </c>
      <c r="C48" s="91" t="s">
        <v>268</v>
      </c>
      <c r="D48" s="92"/>
      <c r="E48" s="93">
        <v>4557</v>
      </c>
      <c r="F48" s="93">
        <v>7001</v>
      </c>
      <c r="G48" s="93">
        <v>16127</v>
      </c>
      <c r="H48" s="93">
        <f t="shared" si="42"/>
        <v>54614</v>
      </c>
      <c r="I48" s="93">
        <f t="shared" si="43"/>
        <v>137167</v>
      </c>
      <c r="J48" s="93">
        <f t="shared" si="44"/>
        <v>185652</v>
      </c>
      <c r="K48" s="93">
        <f t="shared" si="45"/>
        <v>203479.147</v>
      </c>
      <c r="L48" s="93">
        <f t="shared" si="46"/>
        <v>240443.4798707462</v>
      </c>
      <c r="M48" s="94"/>
      <c r="N48" s="94"/>
      <c r="O48" s="71"/>
      <c r="P48" s="72"/>
      <c r="Q48" s="93">
        <v>2384</v>
      </c>
      <c r="R48" s="93">
        <v>3244</v>
      </c>
      <c r="S48" s="93">
        <v>4051</v>
      </c>
      <c r="T48" s="93">
        <v>6448.0000000000018</v>
      </c>
      <c r="U48" s="93">
        <v>8082</v>
      </c>
      <c r="V48" s="93">
        <v>11248</v>
      </c>
      <c r="W48" s="93">
        <v>11751</v>
      </c>
      <c r="X48" s="93">
        <v>23533</v>
      </c>
      <c r="Y48" s="93">
        <v>27027</v>
      </c>
      <c r="Z48" s="93">
        <v>31014</v>
      </c>
      <c r="AA48" s="93">
        <v>36068</v>
      </c>
      <c r="AB48" s="93">
        <v>43058</v>
      </c>
      <c r="AC48" s="93">
        <v>41718</v>
      </c>
      <c r="AD48" s="93">
        <v>43989</v>
      </c>
      <c r="AE48" s="93">
        <v>47879</v>
      </c>
      <c r="AF48" s="93">
        <v>52066</v>
      </c>
      <c r="AG48" s="93">
        <v>44250</v>
      </c>
      <c r="AH48" s="93">
        <v>35248</v>
      </c>
      <c r="AI48" s="93">
        <v>42512</v>
      </c>
      <c r="AJ48" s="93">
        <f>'DFC - Cash Flow Statement'!AH9</f>
        <v>81469.146999999997</v>
      </c>
      <c r="AK48" s="93">
        <f>'DFC - Cash Flow Statement'!AI9</f>
        <v>56326</v>
      </c>
      <c r="AL48" s="93">
        <f>'DFC - Cash Flow Statement'!AJ9</f>
        <v>59152.963000000003</v>
      </c>
      <c r="AM48" s="93">
        <f>'DFC - Cash Flow Statement'!AK9</f>
        <v>58043.036999999997</v>
      </c>
      <c r="AN48" s="93">
        <f>'DFC - Cash Flow Statement'!AL9</f>
        <v>66921.479870746189</v>
      </c>
      <c r="AO48" s="94"/>
      <c r="AP48" s="94"/>
    </row>
    <row r="49" spans="1:44" s="17" customFormat="1" ht="17.5" outlineLevel="1" x14ac:dyDescent="0.35">
      <c r="A49" s="32"/>
      <c r="B49" s="73" t="s">
        <v>293</v>
      </c>
      <c r="C49" s="73" t="s">
        <v>293</v>
      </c>
      <c r="D49" s="58"/>
      <c r="E49" s="55">
        <f t="shared" ref="E49:K49" si="47">SUM(E41:E48)</f>
        <v>19121</v>
      </c>
      <c r="F49" s="55">
        <f t="shared" si="47"/>
        <v>29606</v>
      </c>
      <c r="G49" s="55">
        <f t="shared" si="47"/>
        <v>55947</v>
      </c>
      <c r="H49" s="55">
        <f t="shared" si="47"/>
        <v>184055</v>
      </c>
      <c r="I49" s="55">
        <f t="shared" si="47"/>
        <v>457480</v>
      </c>
      <c r="J49" s="55">
        <f t="shared" si="47"/>
        <v>640739</v>
      </c>
      <c r="K49" s="55">
        <f t="shared" si="47"/>
        <v>726532.09533274942</v>
      </c>
      <c r="L49" s="55">
        <f>SUM(L44:L48)</f>
        <v>662932.16576026322</v>
      </c>
      <c r="M49" s="74"/>
      <c r="N49" s="74"/>
      <c r="O49" s="75"/>
      <c r="P49" s="58"/>
      <c r="Q49" s="55">
        <f>SUM(Q44:Q48)</f>
        <v>9683</v>
      </c>
      <c r="R49" s="55">
        <f t="shared" ref="R49:AI49" si="48">SUM(R44:R48)</f>
        <v>11430</v>
      </c>
      <c r="S49" s="55">
        <f t="shared" si="48"/>
        <v>14540.837000000001</v>
      </c>
      <c r="T49" s="55">
        <f t="shared" si="48"/>
        <v>20293.163000000004</v>
      </c>
      <c r="U49" s="55">
        <f t="shared" si="48"/>
        <v>27056</v>
      </c>
      <c r="V49" s="55">
        <f t="shared" si="48"/>
        <v>38605</v>
      </c>
      <c r="W49" s="55">
        <f t="shared" si="48"/>
        <v>40132</v>
      </c>
      <c r="X49" s="55">
        <f t="shared" si="48"/>
        <v>78262</v>
      </c>
      <c r="Y49" s="55">
        <f t="shared" si="48"/>
        <v>89717</v>
      </c>
      <c r="Z49" s="55">
        <f t="shared" si="48"/>
        <v>105936</v>
      </c>
      <c r="AA49" s="55">
        <f t="shared" si="48"/>
        <v>125710</v>
      </c>
      <c r="AB49" s="55">
        <f t="shared" si="48"/>
        <v>136117</v>
      </c>
      <c r="AC49" s="55">
        <f t="shared" si="48"/>
        <v>135363</v>
      </c>
      <c r="AD49" s="55">
        <f t="shared" si="48"/>
        <v>155505</v>
      </c>
      <c r="AE49" s="55">
        <f t="shared" si="48"/>
        <v>174719</v>
      </c>
      <c r="AF49" s="55">
        <f t="shared" si="48"/>
        <v>175152</v>
      </c>
      <c r="AG49" s="55">
        <f t="shared" si="48"/>
        <v>178201</v>
      </c>
      <c r="AH49" s="55">
        <f t="shared" si="48"/>
        <v>172314.32844748424</v>
      </c>
      <c r="AI49" s="55">
        <f t="shared" si="48"/>
        <v>196160.29693668551</v>
      </c>
      <c r="AJ49" s="55">
        <f t="shared" ref="AJ49:AK49" si="49">SUM(AJ44:AJ48)</f>
        <v>179856.46994857962</v>
      </c>
      <c r="AK49" s="55">
        <f t="shared" si="49"/>
        <v>148752.94741000008</v>
      </c>
      <c r="AL49" s="55">
        <f t="shared" ref="AL49:AM49" si="50">SUM(AL44:AL48)</f>
        <v>141228.09306951647</v>
      </c>
      <c r="AM49" s="55">
        <f t="shared" si="50"/>
        <v>198306.58179299999</v>
      </c>
      <c r="AN49" s="55">
        <f t="shared" ref="AN49" si="51">SUM(AN44:AN48)</f>
        <v>174644.54348774662</v>
      </c>
      <c r="AO49" s="74">
        <f t="shared" ref="AO49" si="52">AN49/AJ49-1</f>
        <v>-2.8978253950625588E-2</v>
      </c>
      <c r="AP49" s="74">
        <f t="shared" ref="AP49" si="53">AN49/AM49-1</f>
        <v>-0.11932048896870562</v>
      </c>
      <c r="AQ49" s="23"/>
    </row>
    <row r="50" spans="1:44" s="17" customFormat="1" ht="6" customHeight="1" outlineLevel="1" x14ac:dyDescent="0.35">
      <c r="A50" s="32"/>
      <c r="B50" s="76"/>
      <c r="C50" s="76"/>
      <c r="D50" s="72"/>
      <c r="E50" s="84"/>
      <c r="F50" s="84"/>
      <c r="G50" s="84"/>
      <c r="H50" s="84"/>
      <c r="I50" s="84"/>
      <c r="J50" s="84"/>
      <c r="K50" s="84"/>
      <c r="L50" s="84"/>
      <c r="M50" s="72"/>
      <c r="N50" s="72"/>
      <c r="O50" s="71"/>
      <c r="P50" s="72"/>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74"/>
      <c r="AP50" s="74"/>
    </row>
    <row r="51" spans="1:44" s="17" customFormat="1" ht="17.5" outlineLevel="1" x14ac:dyDescent="0.35">
      <c r="A51" s="32"/>
      <c r="B51" s="78" t="s">
        <v>98</v>
      </c>
      <c r="C51" s="91" t="s">
        <v>270</v>
      </c>
      <c r="D51" s="92"/>
      <c r="E51" s="93">
        <v>0</v>
      </c>
      <c r="F51" s="93">
        <v>0</v>
      </c>
      <c r="G51" s="93">
        <v>0</v>
      </c>
      <c r="H51" s="93">
        <f>SUM(U51:X51)</f>
        <v>12962</v>
      </c>
      <c r="I51" s="93">
        <f t="shared" si="43"/>
        <v>0</v>
      </c>
      <c r="J51" s="93">
        <f t="shared" si="44"/>
        <v>0</v>
      </c>
      <c r="K51" s="93">
        <v>2696</v>
      </c>
      <c r="L51" s="93">
        <f>SUM(AK51:AN51)</f>
        <v>53901.561000000002</v>
      </c>
      <c r="M51" s="94"/>
      <c r="N51" s="94"/>
      <c r="O51" s="71"/>
      <c r="P51" s="72"/>
      <c r="Q51" s="93">
        <v>0</v>
      </c>
      <c r="R51" s="93">
        <v>0</v>
      </c>
      <c r="S51" s="93">
        <v>0</v>
      </c>
      <c r="T51" s="93">
        <v>0</v>
      </c>
      <c r="U51" s="93">
        <v>0</v>
      </c>
      <c r="V51" s="93">
        <v>0</v>
      </c>
      <c r="W51" s="93">
        <v>12962</v>
      </c>
      <c r="X51" s="93">
        <v>0</v>
      </c>
      <c r="Y51" s="93">
        <v>0</v>
      </c>
      <c r="Z51" s="93">
        <v>0</v>
      </c>
      <c r="AA51" s="93">
        <v>0</v>
      </c>
      <c r="AB51" s="93">
        <v>0</v>
      </c>
      <c r="AC51" s="93">
        <v>0</v>
      </c>
      <c r="AD51" s="93">
        <v>0</v>
      </c>
      <c r="AE51" s="93">
        <v>0</v>
      </c>
      <c r="AF51" s="93">
        <v>0</v>
      </c>
      <c r="AG51" s="93">
        <v>0</v>
      </c>
      <c r="AH51" s="93">
        <v>0</v>
      </c>
      <c r="AI51" s="93">
        <v>2696</v>
      </c>
      <c r="AJ51" s="93">
        <v>5482.4380000000001</v>
      </c>
      <c r="AK51" s="93">
        <v>5678.4610000000002</v>
      </c>
      <c r="AL51" s="93">
        <v>25353</v>
      </c>
      <c r="AM51" s="93">
        <v>1000.1</v>
      </c>
      <c r="AN51" s="93">
        <v>21870</v>
      </c>
      <c r="AO51" s="94"/>
      <c r="AP51" s="94"/>
    </row>
    <row r="52" spans="1:44" s="17" customFormat="1" ht="18" customHeight="1" outlineLevel="1" x14ac:dyDescent="0.35">
      <c r="A52" s="32"/>
      <c r="B52" s="73" t="s">
        <v>400</v>
      </c>
      <c r="C52" s="73" t="s">
        <v>293</v>
      </c>
      <c r="D52" s="58"/>
      <c r="E52" s="55">
        <f t="shared" ref="E52:L52" si="54">SUM(E49:E51)</f>
        <v>19121</v>
      </c>
      <c r="F52" s="55">
        <f t="shared" si="54"/>
        <v>29606</v>
      </c>
      <c r="G52" s="55">
        <f t="shared" si="54"/>
        <v>55947</v>
      </c>
      <c r="H52" s="55">
        <f t="shared" si="54"/>
        <v>197017</v>
      </c>
      <c r="I52" s="55">
        <f t="shared" si="54"/>
        <v>457480</v>
      </c>
      <c r="J52" s="55">
        <f t="shared" si="54"/>
        <v>640739</v>
      </c>
      <c r="K52" s="55">
        <f t="shared" si="54"/>
        <v>729228.09533274942</v>
      </c>
      <c r="L52" s="55">
        <f t="shared" si="54"/>
        <v>716833.72676026321</v>
      </c>
      <c r="M52" s="74"/>
      <c r="N52" s="74"/>
      <c r="O52" s="75"/>
      <c r="P52" s="58"/>
      <c r="Q52" s="55">
        <f>SUM(Q49:Q51)</f>
        <v>9683</v>
      </c>
      <c r="R52" s="55">
        <f t="shared" ref="R52:AI52" si="55">SUM(R49:R51)</f>
        <v>11430</v>
      </c>
      <c r="S52" s="55">
        <f t="shared" si="55"/>
        <v>14540.837000000001</v>
      </c>
      <c r="T52" s="55">
        <f t="shared" si="55"/>
        <v>20293.163000000004</v>
      </c>
      <c r="U52" s="55">
        <f t="shared" si="55"/>
        <v>27056</v>
      </c>
      <c r="V52" s="55">
        <f t="shared" si="55"/>
        <v>38605</v>
      </c>
      <c r="W52" s="55">
        <f t="shared" si="55"/>
        <v>53094</v>
      </c>
      <c r="X52" s="55">
        <f t="shared" si="55"/>
        <v>78262</v>
      </c>
      <c r="Y52" s="55">
        <f t="shared" si="55"/>
        <v>89717</v>
      </c>
      <c r="Z52" s="55">
        <f t="shared" si="55"/>
        <v>105936</v>
      </c>
      <c r="AA52" s="55">
        <f t="shared" si="55"/>
        <v>125710</v>
      </c>
      <c r="AB52" s="55">
        <f t="shared" si="55"/>
        <v>136117</v>
      </c>
      <c r="AC52" s="55">
        <f t="shared" si="55"/>
        <v>135363</v>
      </c>
      <c r="AD52" s="55">
        <f t="shared" si="55"/>
        <v>155505</v>
      </c>
      <c r="AE52" s="55">
        <f t="shared" si="55"/>
        <v>174719</v>
      </c>
      <c r="AF52" s="55">
        <f t="shared" si="55"/>
        <v>175152</v>
      </c>
      <c r="AG52" s="55">
        <f t="shared" si="55"/>
        <v>178201</v>
      </c>
      <c r="AH52" s="55">
        <f t="shared" si="55"/>
        <v>172314.32844748424</v>
      </c>
      <c r="AI52" s="55">
        <f t="shared" si="55"/>
        <v>198856.29693668551</v>
      </c>
      <c r="AJ52" s="55">
        <f t="shared" ref="AJ52:AK52" si="56">SUM(AJ49:AJ51)</f>
        <v>185338.90794857961</v>
      </c>
      <c r="AK52" s="55">
        <f t="shared" si="56"/>
        <v>154431.40841000009</v>
      </c>
      <c r="AL52" s="55">
        <f t="shared" ref="AL52:AN52" si="57">SUM(AL49:AL51)</f>
        <v>166581.09306951647</v>
      </c>
      <c r="AM52" s="55">
        <f t="shared" si="57"/>
        <v>199306.681793</v>
      </c>
      <c r="AN52" s="55">
        <f t="shared" si="57"/>
        <v>196514.54348774662</v>
      </c>
      <c r="AO52" s="74">
        <f t="shared" ref="AO52" si="58">AN52/AJ52-1</f>
        <v>6.0298378051669488E-2</v>
      </c>
      <c r="AP52" s="74">
        <f t="shared" ref="AP52" si="59">AN52/AM52-1</f>
        <v>-1.4009255887132199E-2</v>
      </c>
      <c r="AR52" s="50"/>
    </row>
    <row r="53" spans="1:44" s="17" customFormat="1" ht="18" customHeight="1" outlineLevel="1" x14ac:dyDescent="0.35">
      <c r="A53" s="33" t="s">
        <v>140</v>
      </c>
      <c r="B53" s="73"/>
      <c r="C53" s="73"/>
      <c r="D53" s="58"/>
      <c r="E53" s="55"/>
      <c r="F53" s="55"/>
      <c r="G53" s="55"/>
      <c r="H53" s="55"/>
      <c r="I53" s="55"/>
      <c r="J53" s="55"/>
      <c r="K53" s="55"/>
      <c r="L53" s="55"/>
      <c r="M53" s="74"/>
      <c r="N53" s="74"/>
      <c r="O53" s="75"/>
      <c r="P53" s="58"/>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74"/>
      <c r="AP53" s="74"/>
      <c r="AR53" s="50"/>
    </row>
    <row r="54" spans="1:44" s="17" customFormat="1" ht="18" customHeight="1" outlineLevel="1" x14ac:dyDescent="0.35">
      <c r="A54" s="32"/>
      <c r="B54" s="69" t="s">
        <v>379</v>
      </c>
      <c r="C54" s="69" t="s">
        <v>381</v>
      </c>
      <c r="D54" s="70"/>
      <c r="E54" s="70"/>
      <c r="F54" s="70"/>
      <c r="G54" s="70"/>
      <c r="H54" s="70"/>
      <c r="I54" s="70"/>
      <c r="J54" s="70"/>
      <c r="K54" s="70"/>
      <c r="L54" s="70"/>
      <c r="M54" s="70"/>
      <c r="N54" s="70"/>
      <c r="O54" s="71"/>
      <c r="P54" s="72"/>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row>
    <row r="55" spans="1:44" s="17" customFormat="1" ht="18" customHeight="1" outlineLevel="1" x14ac:dyDescent="0.35">
      <c r="A55" s="32"/>
      <c r="B55" s="76" t="s">
        <v>379</v>
      </c>
      <c r="C55" s="76"/>
      <c r="D55" s="72"/>
      <c r="E55" s="84"/>
      <c r="F55" s="84"/>
      <c r="G55" s="84"/>
      <c r="H55" s="84"/>
      <c r="I55" s="84"/>
      <c r="J55" s="102">
        <f t="shared" ref="J55:J56" si="60">SUM(AC55:AF55)</f>
        <v>605903</v>
      </c>
      <c r="K55" s="102">
        <f t="shared" ref="K55:K56" si="61">SUM(AG55:AJ55)</f>
        <v>694532.81081940455</v>
      </c>
      <c r="L55" s="102">
        <f t="shared" ref="L55:L56" si="62">SUM(AK55:AN55)</f>
        <v>669615.62500000023</v>
      </c>
      <c r="M55" s="72"/>
      <c r="N55" s="72"/>
      <c r="O55" s="71"/>
      <c r="P55" s="72"/>
      <c r="Q55" s="102">
        <v>9683</v>
      </c>
      <c r="R55" s="102">
        <v>11529</v>
      </c>
      <c r="S55" s="102">
        <v>14702.837000000001</v>
      </c>
      <c r="T55" s="102">
        <v>20677.163000000004</v>
      </c>
      <c r="U55" s="102">
        <v>27118</v>
      </c>
      <c r="V55" s="102">
        <v>38435</v>
      </c>
      <c r="W55" s="102">
        <v>52977</v>
      </c>
      <c r="X55" s="102">
        <v>77047</v>
      </c>
      <c r="Y55" s="102">
        <v>87653</v>
      </c>
      <c r="Z55" s="102">
        <v>102754</v>
      </c>
      <c r="AA55" s="102">
        <v>117923</v>
      </c>
      <c r="AB55" s="102">
        <v>126121</v>
      </c>
      <c r="AC55" s="102">
        <f t="shared" ref="AC55:AF55" si="63">AC168</f>
        <v>119871</v>
      </c>
      <c r="AD55" s="102">
        <f t="shared" si="63"/>
        <v>150736</v>
      </c>
      <c r="AE55" s="102">
        <f t="shared" si="63"/>
        <v>168755</v>
      </c>
      <c r="AF55" s="102">
        <f t="shared" si="63"/>
        <v>166541</v>
      </c>
      <c r="AG55" s="102">
        <f>AG168</f>
        <v>174539</v>
      </c>
      <c r="AH55" s="102">
        <f t="shared" ref="AH55:AL55" si="64">AH168</f>
        <v>168166.32844748424</v>
      </c>
      <c r="AI55" s="102">
        <f t="shared" si="64"/>
        <v>184468.28720276023</v>
      </c>
      <c r="AJ55" s="102">
        <f t="shared" si="64"/>
        <v>167359.19516916003</v>
      </c>
      <c r="AK55" s="102">
        <f t="shared" si="64"/>
        <v>145905.11425000004</v>
      </c>
      <c r="AL55" s="102">
        <f t="shared" si="64"/>
        <v>158320.8894499999</v>
      </c>
      <c r="AM55" s="102">
        <f t="shared" ref="AM55:AN55" si="65">AM168</f>
        <v>199147.62681300001</v>
      </c>
      <c r="AN55" s="102">
        <f t="shared" si="65"/>
        <v>166241.99448700028</v>
      </c>
      <c r="AO55" s="72"/>
      <c r="AP55" s="72"/>
    </row>
    <row r="56" spans="1:44" s="17" customFormat="1" ht="18" customHeight="1" outlineLevel="1" x14ac:dyDescent="0.35">
      <c r="A56" s="32"/>
      <c r="B56" s="91" t="s">
        <v>452</v>
      </c>
      <c r="C56" s="91"/>
      <c r="D56" s="92"/>
      <c r="E56" s="93"/>
      <c r="F56" s="93"/>
      <c r="G56" s="93"/>
      <c r="H56" s="93"/>
      <c r="I56" s="93"/>
      <c r="J56" s="227">
        <f t="shared" si="60"/>
        <v>0</v>
      </c>
      <c r="K56" s="227">
        <f t="shared" si="61"/>
        <v>8178.4380000000001</v>
      </c>
      <c r="L56" s="227">
        <f t="shared" si="62"/>
        <v>38747.460999999996</v>
      </c>
      <c r="M56" s="94"/>
      <c r="N56" s="94"/>
      <c r="O56" s="71"/>
      <c r="P56" s="72"/>
      <c r="Q56" s="93"/>
      <c r="R56" s="93"/>
      <c r="S56" s="93"/>
      <c r="T56" s="93"/>
      <c r="U56" s="93"/>
      <c r="V56" s="93"/>
      <c r="W56" s="93"/>
      <c r="X56" s="93"/>
      <c r="Y56" s="93"/>
      <c r="Z56" s="93"/>
      <c r="AA56" s="93"/>
      <c r="AB56" s="93"/>
      <c r="AC56" s="93">
        <f t="shared" ref="AC56:AF56" si="66">AC170</f>
        <v>0</v>
      </c>
      <c r="AD56" s="93">
        <f t="shared" si="66"/>
        <v>0</v>
      </c>
      <c r="AE56" s="93">
        <f t="shared" si="66"/>
        <v>0</v>
      </c>
      <c r="AF56" s="93">
        <f t="shared" si="66"/>
        <v>0</v>
      </c>
      <c r="AG56" s="93">
        <f>AG170</f>
        <v>0</v>
      </c>
      <c r="AH56" s="93">
        <f t="shared" ref="AH56:AL56" si="67">AH170</f>
        <v>0</v>
      </c>
      <c r="AI56" s="93">
        <f t="shared" si="67"/>
        <v>2696</v>
      </c>
      <c r="AJ56" s="93">
        <f t="shared" si="67"/>
        <v>5482.4380000000001</v>
      </c>
      <c r="AK56" s="93">
        <f t="shared" si="67"/>
        <v>5678.4610000000002</v>
      </c>
      <c r="AL56" s="93">
        <f t="shared" si="67"/>
        <v>10199</v>
      </c>
      <c r="AM56" s="93">
        <f t="shared" ref="AM56" si="68">AM170</f>
        <v>1000</v>
      </c>
      <c r="AN56" s="93">
        <f>AN170</f>
        <v>21870</v>
      </c>
      <c r="AO56" s="94"/>
      <c r="AP56" s="94"/>
    </row>
    <row r="57" spans="1:44" s="17" customFormat="1" ht="18" customHeight="1" outlineLevel="1" x14ac:dyDescent="0.35">
      <c r="A57" s="32"/>
      <c r="B57" s="73" t="s">
        <v>453</v>
      </c>
      <c r="C57" s="73" t="s">
        <v>439</v>
      </c>
      <c r="D57" s="58"/>
      <c r="E57" s="103">
        <v>19503</v>
      </c>
      <c r="F57" s="103">
        <v>30045</v>
      </c>
      <c r="G57" s="103">
        <f>SUM(Q57:T57)</f>
        <v>56592</v>
      </c>
      <c r="H57" s="103">
        <f>SUM(U57:X57)</f>
        <v>195577</v>
      </c>
      <c r="I57" s="103">
        <f>SUM(Y57:AB57)</f>
        <v>434451</v>
      </c>
      <c r="J57" s="103">
        <f>SUM(AC57:AF57)</f>
        <v>605903</v>
      </c>
      <c r="K57" s="103">
        <f>SUM(AG57:AJ57)</f>
        <v>702711.24881940451</v>
      </c>
      <c r="L57" s="103">
        <f>SUM(AK57:AN57)</f>
        <v>708363.08600000024</v>
      </c>
      <c r="M57" s="58"/>
      <c r="N57" s="58"/>
      <c r="O57" s="75"/>
      <c r="P57" s="58"/>
      <c r="Q57" s="103">
        <f t="shared" ref="Q57" si="69">Q55+Q56</f>
        <v>9683</v>
      </c>
      <c r="R57" s="103">
        <f t="shared" ref="R57" si="70">R55+R56</f>
        <v>11529</v>
      </c>
      <c r="S57" s="103">
        <f t="shared" ref="S57" si="71">S55+S56</f>
        <v>14702.837000000001</v>
      </c>
      <c r="T57" s="103">
        <f t="shared" ref="T57" si="72">T55+T56</f>
        <v>20677.163000000004</v>
      </c>
      <c r="U57" s="103">
        <f t="shared" ref="U57" si="73">U55+U56</f>
        <v>27118</v>
      </c>
      <c r="V57" s="103">
        <f t="shared" ref="V57" si="74">V55+V56</f>
        <v>38435</v>
      </c>
      <c r="W57" s="103">
        <f t="shared" ref="W57" si="75">W55+W56</f>
        <v>52977</v>
      </c>
      <c r="X57" s="103">
        <f t="shared" ref="X57" si="76">X55+X56</f>
        <v>77047</v>
      </c>
      <c r="Y57" s="103">
        <f t="shared" ref="Y57" si="77">Y55+Y56</f>
        <v>87653</v>
      </c>
      <c r="Z57" s="103">
        <f t="shared" ref="Z57" si="78">Z55+Z56</f>
        <v>102754</v>
      </c>
      <c r="AA57" s="103">
        <f t="shared" ref="AA57" si="79">AA55+AA56</f>
        <v>117923</v>
      </c>
      <c r="AB57" s="103">
        <f t="shared" ref="AB57" si="80">AB55+AB56</f>
        <v>126121</v>
      </c>
      <c r="AC57" s="103">
        <f t="shared" ref="AC57:AF57" si="81">AC55+AC56</f>
        <v>119871</v>
      </c>
      <c r="AD57" s="103">
        <f t="shared" si="81"/>
        <v>150736</v>
      </c>
      <c r="AE57" s="103">
        <f t="shared" si="81"/>
        <v>168755</v>
      </c>
      <c r="AF57" s="103">
        <f t="shared" si="81"/>
        <v>166541</v>
      </c>
      <c r="AG57" s="103">
        <f>AG55+AG56</f>
        <v>174539</v>
      </c>
      <c r="AH57" s="103">
        <f t="shared" ref="AH57:AL57" si="82">AH55+AH56</f>
        <v>168166.32844748424</v>
      </c>
      <c r="AI57" s="103">
        <f t="shared" si="82"/>
        <v>187164.28720276023</v>
      </c>
      <c r="AJ57" s="103">
        <f t="shared" si="82"/>
        <v>172841.63316916002</v>
      </c>
      <c r="AK57" s="103">
        <f t="shared" si="82"/>
        <v>151583.57525000005</v>
      </c>
      <c r="AL57" s="103">
        <f t="shared" si="82"/>
        <v>168519.8894499999</v>
      </c>
      <c r="AM57" s="103">
        <f>AM55+AM56</f>
        <v>200147.62681300001</v>
      </c>
      <c r="AN57" s="103">
        <f>AN55+AN56</f>
        <v>188111.99448700028</v>
      </c>
      <c r="AO57" s="72"/>
      <c r="AP57" s="72"/>
    </row>
    <row r="58" spans="1:44" s="17" customFormat="1" ht="18" customHeight="1" outlineLevel="1" x14ac:dyDescent="0.35">
      <c r="A58" s="32"/>
      <c r="B58" s="95" t="s">
        <v>454</v>
      </c>
      <c r="C58" s="95" t="s">
        <v>472</v>
      </c>
      <c r="D58" s="72"/>
      <c r="E58" s="84"/>
      <c r="F58" s="84"/>
      <c r="G58" s="84"/>
      <c r="H58" s="84"/>
      <c r="I58" s="84"/>
      <c r="J58" s="84">
        <f>J57/J163</f>
        <v>0.48477165279992446</v>
      </c>
      <c r="K58" s="84">
        <f>K57/K163</f>
        <v>0.45070933847748024</v>
      </c>
      <c r="L58" s="84">
        <f>L57/L163</f>
        <v>0.46964066272946992</v>
      </c>
      <c r="M58" s="72"/>
      <c r="N58" s="72"/>
      <c r="O58" s="71"/>
      <c r="P58" s="72"/>
      <c r="Q58" s="84" t="str">
        <f t="shared" ref="Q58:AF58" si="83">Q172</f>
        <v>N/D</v>
      </c>
      <c r="R58" s="84" t="str">
        <f t="shared" si="83"/>
        <v>N/D</v>
      </c>
      <c r="S58" s="84" t="str">
        <f t="shared" si="83"/>
        <v>N/D</v>
      </c>
      <c r="T58" s="84" t="str">
        <f t="shared" si="83"/>
        <v>N/D</v>
      </c>
      <c r="U58" s="84" t="str">
        <f t="shared" si="83"/>
        <v>N/D</v>
      </c>
      <c r="V58" s="84" t="str">
        <f t="shared" si="83"/>
        <v>N/D</v>
      </c>
      <c r="W58" s="84" t="str">
        <f t="shared" si="83"/>
        <v>N/D</v>
      </c>
      <c r="X58" s="84" t="str">
        <f t="shared" si="83"/>
        <v>N/D</v>
      </c>
      <c r="Y58" s="84" t="str">
        <f t="shared" si="83"/>
        <v>N/D</v>
      </c>
      <c r="Z58" s="84" t="str">
        <f t="shared" si="83"/>
        <v>N/D</v>
      </c>
      <c r="AA58" s="84" t="str">
        <f t="shared" si="83"/>
        <v>N/D</v>
      </c>
      <c r="AB58" s="84" t="str">
        <f t="shared" si="83"/>
        <v>N/D</v>
      </c>
      <c r="AC58" s="84">
        <f t="shared" si="83"/>
        <v>0.46828999593711912</v>
      </c>
      <c r="AD58" s="84">
        <f t="shared" si="83"/>
        <v>0.51570700331862196</v>
      </c>
      <c r="AE58" s="84">
        <f t="shared" si="83"/>
        <v>0.50028459791650604</v>
      </c>
      <c r="AF58" s="84">
        <f t="shared" si="83"/>
        <v>0.45716724907971418</v>
      </c>
      <c r="AG58" s="84">
        <f>AG172</f>
        <v>0.48141783799289484</v>
      </c>
      <c r="AH58" s="84">
        <f t="shared" ref="AH58:AL58" si="84">AH172</f>
        <v>0.44515656496210471</v>
      </c>
      <c r="AI58" s="84">
        <f t="shared" si="84"/>
        <v>0.44374421923766</v>
      </c>
      <c r="AJ58" s="84">
        <f t="shared" si="84"/>
        <v>0.43534986129000014</v>
      </c>
      <c r="AK58" s="84">
        <f>AK172</f>
        <v>0.41822627628869646</v>
      </c>
      <c r="AL58" s="84">
        <f t="shared" si="84"/>
        <v>0.45562970208997727</v>
      </c>
      <c r="AM58" s="84">
        <f t="shared" ref="AM58:AN58" si="85">AM172</f>
        <v>0.50554984418624049</v>
      </c>
      <c r="AN58" s="84">
        <f t="shared" si="85"/>
        <v>0.4948982563269424</v>
      </c>
      <c r="AO58" s="72"/>
      <c r="AP58" s="72"/>
    </row>
    <row r="59" spans="1:44" s="17" customFormat="1" ht="18" customHeight="1" outlineLevel="1" x14ac:dyDescent="0.35">
      <c r="A59" s="32"/>
      <c r="B59" s="73" t="s">
        <v>534</v>
      </c>
      <c r="C59" s="76"/>
      <c r="D59" s="72"/>
      <c r="E59" s="84"/>
      <c r="F59" s="84"/>
      <c r="G59" s="84"/>
      <c r="H59" s="84"/>
      <c r="I59" s="84"/>
      <c r="J59" s="84"/>
      <c r="K59" s="84"/>
      <c r="L59" s="84"/>
      <c r="M59" s="72"/>
      <c r="N59" s="72"/>
      <c r="O59" s="71"/>
      <c r="P59" s="72"/>
      <c r="Q59" s="84"/>
      <c r="R59" s="84"/>
      <c r="S59" s="84"/>
      <c r="T59" s="84"/>
      <c r="U59" s="84"/>
      <c r="V59" s="84"/>
      <c r="W59" s="84"/>
      <c r="X59" s="84"/>
      <c r="Y59" s="84"/>
      <c r="Z59" s="84"/>
      <c r="AA59" s="84"/>
      <c r="AB59" s="84"/>
      <c r="AC59" s="84"/>
      <c r="AD59" s="84"/>
      <c r="AE59" s="84"/>
      <c r="AF59" s="84"/>
      <c r="AG59" s="84"/>
      <c r="AH59" s="84"/>
      <c r="AI59" s="84"/>
      <c r="AJ59" s="84"/>
      <c r="AK59" s="84"/>
      <c r="AL59" s="84"/>
      <c r="AM59" s="84"/>
      <c r="AN59" s="102">
        <v>20617</v>
      </c>
      <c r="AO59" s="72"/>
      <c r="AP59" s="72"/>
    </row>
    <row r="60" spans="1:44" s="17" customFormat="1" ht="18" customHeight="1" outlineLevel="1" x14ac:dyDescent="0.35">
      <c r="A60" s="32"/>
      <c r="B60" s="73" t="s">
        <v>448</v>
      </c>
      <c r="C60" s="73" t="s">
        <v>449</v>
      </c>
      <c r="D60" s="72"/>
      <c r="E60" s="84"/>
      <c r="F60" s="84"/>
      <c r="G60" s="84"/>
      <c r="H60" s="84"/>
      <c r="I60" s="84"/>
      <c r="J60" s="102">
        <f>SUM(AC60:AF60)</f>
        <v>34836</v>
      </c>
      <c r="K60" s="102">
        <f>SUM(AG60:AJ60)</f>
        <v>17145.68293000001</v>
      </c>
      <c r="L60" s="102">
        <f>SUM(AK60:AN60)</f>
        <v>-12619.999999999982</v>
      </c>
      <c r="M60" s="72"/>
      <c r="N60" s="72"/>
      <c r="O60" s="71"/>
      <c r="P60" s="72"/>
      <c r="Q60" s="102">
        <f t="shared" ref="Q60:AA60" si="86">Q183</f>
        <v>0</v>
      </c>
      <c r="R60" s="102">
        <f t="shared" si="86"/>
        <v>-99</v>
      </c>
      <c r="S60" s="102">
        <f t="shared" si="86"/>
        <v>73</v>
      </c>
      <c r="T60" s="102">
        <f t="shared" si="86"/>
        <v>-427</v>
      </c>
      <c r="U60" s="102">
        <f t="shared" si="86"/>
        <v>20</v>
      </c>
      <c r="V60" s="102">
        <f t="shared" si="86"/>
        <v>64</v>
      </c>
      <c r="W60" s="102">
        <f t="shared" si="86"/>
        <v>117</v>
      </c>
      <c r="X60" s="102">
        <f t="shared" si="86"/>
        <v>1239</v>
      </c>
      <c r="Y60" s="102">
        <f t="shared" si="86"/>
        <v>2064</v>
      </c>
      <c r="Z60" s="102">
        <f t="shared" si="86"/>
        <v>3182</v>
      </c>
      <c r="AA60" s="102">
        <f t="shared" si="86"/>
        <v>7787</v>
      </c>
      <c r="AB60" s="102">
        <f>AB183</f>
        <v>9996</v>
      </c>
      <c r="AC60" s="102">
        <v>15492</v>
      </c>
      <c r="AD60" s="102">
        <v>4769</v>
      </c>
      <c r="AE60" s="102">
        <v>5964</v>
      </c>
      <c r="AF60" s="102">
        <v>8611</v>
      </c>
      <c r="AG60" s="102">
        <v>3662</v>
      </c>
      <c r="AH60" s="102">
        <v>3022</v>
      </c>
      <c r="AI60" s="102">
        <v>6322.5</v>
      </c>
      <c r="AJ60" s="102">
        <v>4139.1829300000099</v>
      </c>
      <c r="AK60" s="102">
        <v>1160.5805499999997</v>
      </c>
      <c r="AL60" s="54">
        <v>-4605.5805500000097</v>
      </c>
      <c r="AM60" s="54">
        <v>83.000000000014495</v>
      </c>
      <c r="AN60" s="54">
        <f>AN183</f>
        <v>-9257.9999999999854</v>
      </c>
      <c r="AO60" s="72"/>
      <c r="AP60" s="72"/>
    </row>
    <row r="61" spans="1:44" s="17" customFormat="1" ht="18" customHeight="1" outlineLevel="1" x14ac:dyDescent="0.35">
      <c r="A61" s="32"/>
      <c r="B61" s="73" t="s">
        <v>455</v>
      </c>
      <c r="C61" s="73" t="s">
        <v>473</v>
      </c>
      <c r="D61" s="72"/>
      <c r="E61" s="84"/>
      <c r="F61" s="84"/>
      <c r="G61" s="84"/>
      <c r="H61" s="84"/>
      <c r="I61" s="84"/>
      <c r="J61" s="102">
        <f>SUM(AC61:AF61)</f>
        <v>0</v>
      </c>
      <c r="K61" s="102">
        <f>SUM(AG61:AJ61)</f>
        <v>14852.231046670589</v>
      </c>
      <c r="L61" s="102">
        <f>SUM(AK61:AN61)</f>
        <v>-14681.36629999994</v>
      </c>
      <c r="M61" s="72"/>
      <c r="N61" s="72"/>
      <c r="O61" s="71"/>
      <c r="P61" s="72"/>
      <c r="Q61" s="102">
        <v>0</v>
      </c>
      <c r="R61" s="102">
        <v>0</v>
      </c>
      <c r="S61" s="102">
        <v>0</v>
      </c>
      <c r="T61" s="102">
        <v>0</v>
      </c>
      <c r="U61" s="102">
        <v>0</v>
      </c>
      <c r="V61" s="102">
        <v>0</v>
      </c>
      <c r="W61" s="102">
        <v>0</v>
      </c>
      <c r="X61" s="102">
        <v>0</v>
      </c>
      <c r="Y61" s="102">
        <v>0</v>
      </c>
      <c r="Z61" s="102">
        <v>0</v>
      </c>
      <c r="AA61" s="102">
        <v>0</v>
      </c>
      <c r="AB61" s="102">
        <v>0</v>
      </c>
      <c r="AC61" s="102">
        <v>0</v>
      </c>
      <c r="AD61" s="102">
        <v>0</v>
      </c>
      <c r="AE61" s="102">
        <v>0</v>
      </c>
      <c r="AF61" s="102">
        <v>0</v>
      </c>
      <c r="AG61" s="102">
        <v>0</v>
      </c>
      <c r="AH61" s="102">
        <v>1125</v>
      </c>
      <c r="AI61" s="102">
        <v>5370</v>
      </c>
      <c r="AJ61" s="102">
        <v>8357.2310466705894</v>
      </c>
      <c r="AK61" s="102">
        <v>1687.00000000002</v>
      </c>
      <c r="AL61" s="54">
        <v>-12488</v>
      </c>
      <c r="AM61" s="54">
        <v>-923.620299999998</v>
      </c>
      <c r="AN61" s="54">
        <v>-2956.7459999999601</v>
      </c>
      <c r="AO61" s="72"/>
      <c r="AP61" s="72"/>
    </row>
    <row r="62" spans="1:44" s="17" customFormat="1" ht="18" customHeight="1" outlineLevel="1" x14ac:dyDescent="0.35">
      <c r="A62" s="32"/>
      <c r="B62" s="104" t="s">
        <v>456</v>
      </c>
      <c r="C62" s="104" t="s">
        <v>474</v>
      </c>
      <c r="D62" s="92"/>
      <c r="E62" s="93"/>
      <c r="F62" s="93"/>
      <c r="G62" s="93"/>
      <c r="H62" s="93"/>
      <c r="I62" s="93"/>
      <c r="J62" s="227">
        <f>SUM(AC62:AF62)</f>
        <v>0</v>
      </c>
      <c r="K62" s="227">
        <f>SUM(AG62:AJ62)</f>
        <v>0</v>
      </c>
      <c r="L62" s="227">
        <f>SUM(AK62:AN62)</f>
        <v>15153.89</v>
      </c>
      <c r="M62" s="94"/>
      <c r="N62" s="94"/>
      <c r="O62" s="71"/>
      <c r="P62" s="72"/>
      <c r="Q62" s="93"/>
      <c r="R62" s="93"/>
      <c r="S62" s="93"/>
      <c r="T62" s="93"/>
      <c r="U62" s="93"/>
      <c r="V62" s="93"/>
      <c r="W62" s="93"/>
      <c r="X62" s="93"/>
      <c r="Y62" s="93"/>
      <c r="Z62" s="93"/>
      <c r="AA62" s="93"/>
      <c r="AB62" s="93"/>
      <c r="AC62" s="93"/>
      <c r="AD62" s="93"/>
      <c r="AE62" s="93"/>
      <c r="AF62" s="93"/>
      <c r="AG62" s="93"/>
      <c r="AH62" s="93"/>
      <c r="AI62" s="93"/>
      <c r="AJ62" s="93"/>
      <c r="AK62" s="93"/>
      <c r="AL62" s="93">
        <v>15153.89</v>
      </c>
      <c r="AM62" s="93">
        <v>0</v>
      </c>
      <c r="AN62" s="93">
        <v>0</v>
      </c>
      <c r="AO62" s="72"/>
      <c r="AP62" s="72"/>
    </row>
    <row r="63" spans="1:44" s="19" customFormat="1" ht="18" customHeight="1" outlineLevel="1" x14ac:dyDescent="0.35">
      <c r="A63" s="48"/>
      <c r="B63" s="73" t="s">
        <v>400</v>
      </c>
      <c r="C63" s="73"/>
      <c r="D63" s="58"/>
      <c r="E63" s="74"/>
      <c r="F63" s="74"/>
      <c r="G63" s="74"/>
      <c r="H63" s="74"/>
      <c r="I63" s="74"/>
      <c r="J63" s="74"/>
      <c r="K63" s="74"/>
      <c r="L63" s="74"/>
      <c r="M63" s="58"/>
      <c r="N63" s="58"/>
      <c r="O63" s="75"/>
      <c r="P63" s="58"/>
      <c r="Q63" s="103">
        <f t="shared" ref="Q63:AM63" si="87">Q57+Q60+Q61+Q62</f>
        <v>9683</v>
      </c>
      <c r="R63" s="103">
        <f t="shared" si="87"/>
        <v>11430</v>
      </c>
      <c r="S63" s="103">
        <f t="shared" si="87"/>
        <v>14775.837000000001</v>
      </c>
      <c r="T63" s="103">
        <f t="shared" si="87"/>
        <v>20250.163000000004</v>
      </c>
      <c r="U63" s="103">
        <f t="shared" si="87"/>
        <v>27138</v>
      </c>
      <c r="V63" s="103">
        <f t="shared" si="87"/>
        <v>38499</v>
      </c>
      <c r="W63" s="103">
        <f t="shared" si="87"/>
        <v>53094</v>
      </c>
      <c r="X63" s="103">
        <f t="shared" si="87"/>
        <v>78286</v>
      </c>
      <c r="Y63" s="103">
        <f t="shared" si="87"/>
        <v>89717</v>
      </c>
      <c r="Z63" s="103">
        <f t="shared" si="87"/>
        <v>105936</v>
      </c>
      <c r="AA63" s="103">
        <f t="shared" si="87"/>
        <v>125710</v>
      </c>
      <c r="AB63" s="103">
        <f t="shared" si="87"/>
        <v>136117</v>
      </c>
      <c r="AC63" s="103">
        <f t="shared" si="87"/>
        <v>135363</v>
      </c>
      <c r="AD63" s="103">
        <f t="shared" si="87"/>
        <v>155505</v>
      </c>
      <c r="AE63" s="103">
        <f t="shared" si="87"/>
        <v>174719</v>
      </c>
      <c r="AF63" s="103">
        <f t="shared" si="87"/>
        <v>175152</v>
      </c>
      <c r="AG63" s="103">
        <f t="shared" si="87"/>
        <v>178201</v>
      </c>
      <c r="AH63" s="103">
        <f t="shared" si="87"/>
        <v>172313.32844748424</v>
      </c>
      <c r="AI63" s="103">
        <f t="shared" si="87"/>
        <v>198856.78720276023</v>
      </c>
      <c r="AJ63" s="103">
        <f t="shared" si="87"/>
        <v>185338.04714583061</v>
      </c>
      <c r="AK63" s="103">
        <f t="shared" si="87"/>
        <v>154431.1558000001</v>
      </c>
      <c r="AL63" s="103">
        <f t="shared" si="87"/>
        <v>166580.1988999999</v>
      </c>
      <c r="AM63" s="103">
        <f t="shared" si="87"/>
        <v>199307.006513</v>
      </c>
      <c r="AN63" s="262">
        <f>AN57+AN60+AN61+AN62+AN59</f>
        <v>196514.24848700032</v>
      </c>
      <c r="AO63" s="58"/>
      <c r="AP63" s="58"/>
    </row>
    <row r="64" spans="1:44" s="17" customFormat="1" ht="18" customHeight="1" outlineLevel="1" x14ac:dyDescent="0.35">
      <c r="A64" s="32"/>
      <c r="B64" s="95"/>
      <c r="C64" s="76"/>
      <c r="D64" s="72"/>
      <c r="E64" s="84"/>
      <c r="F64" s="84"/>
      <c r="G64" s="84"/>
      <c r="H64" s="84"/>
      <c r="I64" s="84"/>
      <c r="J64" s="84"/>
      <c r="K64" s="84"/>
      <c r="L64" s="84"/>
      <c r="M64" s="72"/>
      <c r="N64" s="72"/>
      <c r="O64" s="71"/>
      <c r="P64" s="72"/>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72"/>
      <c r="AP64" s="72"/>
    </row>
    <row r="65" spans="1:44" s="17" customFormat="1" ht="18" customHeight="1" outlineLevel="1" x14ac:dyDescent="0.35">
      <c r="A65" s="32"/>
      <c r="B65" s="100" t="s">
        <v>145</v>
      </c>
      <c r="C65" s="100" t="s">
        <v>269</v>
      </c>
      <c r="D65" s="72"/>
      <c r="E65" s="54">
        <v>382</v>
      </c>
      <c r="F65" s="54">
        <v>439</v>
      </c>
      <c r="G65" s="54">
        <v>645</v>
      </c>
      <c r="H65" s="54">
        <f>SUM(U65:X65)</f>
        <v>-1440</v>
      </c>
      <c r="I65" s="54">
        <f>SUM(Y65:AB65)</f>
        <v>-23029</v>
      </c>
      <c r="J65" s="54">
        <f t="shared" si="44"/>
        <v>-34836</v>
      </c>
      <c r="K65" s="54">
        <f t="shared" ref="K65" si="88">SUM(AG65:AJ65)</f>
        <v>-17145.68293000001</v>
      </c>
      <c r="L65" s="54">
        <f>SUM(AK65:AN65)</f>
        <v>-5729.9999999999709</v>
      </c>
      <c r="M65" s="72"/>
      <c r="N65" s="72"/>
      <c r="O65" s="71"/>
      <c r="P65" s="72"/>
      <c r="Q65" s="54">
        <v>0</v>
      </c>
      <c r="R65" s="54">
        <v>99</v>
      </c>
      <c r="S65" s="54">
        <v>162</v>
      </c>
      <c r="T65" s="54">
        <v>384</v>
      </c>
      <c r="U65" s="54">
        <v>62</v>
      </c>
      <c r="V65" s="54">
        <v>-170</v>
      </c>
      <c r="W65" s="54">
        <v>-117</v>
      </c>
      <c r="X65" s="54">
        <v>-1215</v>
      </c>
      <c r="Y65" s="54">
        <v>-2064</v>
      </c>
      <c r="Z65" s="54">
        <v>-3182</v>
      </c>
      <c r="AA65" s="54">
        <v>-7787</v>
      </c>
      <c r="AB65" s="54">
        <v>-9996</v>
      </c>
      <c r="AC65" s="54">
        <v>-15492</v>
      </c>
      <c r="AD65" s="54">
        <v>-4769</v>
      </c>
      <c r="AE65" s="54">
        <v>-5964</v>
      </c>
      <c r="AF65" s="54">
        <v>-8611</v>
      </c>
      <c r="AG65" s="54">
        <f t="shared" ref="AG65:AK65" si="89">-AG183</f>
        <v>-3662</v>
      </c>
      <c r="AH65" s="54">
        <f t="shared" si="89"/>
        <v>-3022</v>
      </c>
      <c r="AI65" s="54">
        <f t="shared" si="89"/>
        <v>-6322.5</v>
      </c>
      <c r="AJ65" s="54">
        <f t="shared" si="89"/>
        <v>-4139.1829300000099</v>
      </c>
      <c r="AK65" s="54">
        <f t="shared" si="89"/>
        <v>-1160.5805499999988</v>
      </c>
      <c r="AL65" s="54">
        <f>-AL183</f>
        <v>4605.5805499999988</v>
      </c>
      <c r="AM65" s="105">
        <v>83.000000000014495</v>
      </c>
      <c r="AN65" s="254">
        <f>AN183</f>
        <v>-9257.9999999999854</v>
      </c>
      <c r="AO65" s="106"/>
      <c r="AP65" s="107"/>
    </row>
    <row r="66" spans="1:44" s="17" customFormat="1" ht="17.5" outlineLevel="1" x14ac:dyDescent="0.35">
      <c r="A66" s="32"/>
      <c r="B66" s="91" t="s">
        <v>401</v>
      </c>
      <c r="C66" s="91" t="s">
        <v>475</v>
      </c>
      <c r="D66" s="92"/>
      <c r="E66" s="93"/>
      <c r="F66" s="93"/>
      <c r="G66" s="93"/>
      <c r="H66" s="93"/>
      <c r="I66" s="93"/>
      <c r="J66" s="93"/>
      <c r="K66" s="93"/>
      <c r="L66" s="93"/>
      <c r="M66" s="94"/>
      <c r="N66" s="94"/>
      <c r="O66" s="71"/>
      <c r="P66" s="72"/>
      <c r="Q66" s="93">
        <v>0</v>
      </c>
      <c r="R66" s="93">
        <v>0</v>
      </c>
      <c r="S66" s="93">
        <v>0</v>
      </c>
      <c r="T66" s="93">
        <v>0</v>
      </c>
      <c r="U66" s="93">
        <v>0</v>
      </c>
      <c r="V66" s="93">
        <v>0</v>
      </c>
      <c r="W66" s="93">
        <v>0</v>
      </c>
      <c r="X66" s="93">
        <v>0</v>
      </c>
      <c r="Y66" s="93">
        <v>0</v>
      </c>
      <c r="Z66" s="93">
        <v>0</v>
      </c>
      <c r="AA66" s="93">
        <v>0</v>
      </c>
      <c r="AB66" s="93">
        <v>0</v>
      </c>
      <c r="AC66" s="93">
        <v>0</v>
      </c>
      <c r="AD66" s="93">
        <v>0</v>
      </c>
      <c r="AE66" s="93">
        <v>0</v>
      </c>
      <c r="AF66" s="93">
        <v>0</v>
      </c>
      <c r="AG66" s="93">
        <v>0</v>
      </c>
      <c r="AH66" s="93">
        <v>-1125</v>
      </c>
      <c r="AI66" s="93">
        <v>-5370</v>
      </c>
      <c r="AJ66" s="93">
        <f>-8.35723104667059*1000</f>
        <v>-8357.2310466705894</v>
      </c>
      <c r="AK66" s="93">
        <f>-1.68700000000002*1000</f>
        <v>-1687.00000000002</v>
      </c>
      <c r="AL66" s="93">
        <f>12488</f>
        <v>12488</v>
      </c>
      <c r="AM66" s="93">
        <v>-923.620299999998</v>
      </c>
      <c r="AN66" s="93">
        <f>AN61</f>
        <v>-2956.7459999999601</v>
      </c>
      <c r="AO66" s="106"/>
      <c r="AP66" s="84"/>
      <c r="AR66" s="42"/>
    </row>
    <row r="67" spans="1:44" s="17" customFormat="1" ht="6" customHeight="1" outlineLevel="1" x14ac:dyDescent="0.35">
      <c r="A67" s="32"/>
      <c r="B67" s="76"/>
      <c r="C67" s="76"/>
      <c r="D67" s="72"/>
      <c r="E67" s="84"/>
      <c r="F67" s="84"/>
      <c r="G67" s="84"/>
      <c r="H67" s="84"/>
      <c r="I67" s="84"/>
      <c r="J67" s="84"/>
      <c r="K67" s="84"/>
      <c r="L67" s="84"/>
      <c r="M67" s="72"/>
      <c r="N67" s="72"/>
      <c r="O67" s="71"/>
      <c r="P67" s="72"/>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72"/>
      <c r="AP67" s="72"/>
    </row>
    <row r="68" spans="1:44" s="19" customFormat="1" ht="17.5" outlineLevel="1" x14ac:dyDescent="0.35">
      <c r="A68" s="48"/>
      <c r="B68" s="73" t="s">
        <v>457</v>
      </c>
      <c r="C68" s="73" t="s">
        <v>382</v>
      </c>
      <c r="D68" s="58"/>
      <c r="E68" s="55">
        <f t="shared" ref="E68:K68" si="90">E57-E48</f>
        <v>14946</v>
      </c>
      <c r="F68" s="55">
        <f t="shared" si="90"/>
        <v>23044</v>
      </c>
      <c r="G68" s="55">
        <f t="shared" si="90"/>
        <v>40465</v>
      </c>
      <c r="H68" s="55">
        <f t="shared" si="90"/>
        <v>140963</v>
      </c>
      <c r="I68" s="55">
        <f t="shared" si="90"/>
        <v>297284</v>
      </c>
      <c r="J68" s="55">
        <f t="shared" si="90"/>
        <v>420251</v>
      </c>
      <c r="K68" s="55">
        <f t="shared" si="90"/>
        <v>499232.10181940452</v>
      </c>
      <c r="L68" s="55">
        <f>SUM(AK68:AN68)</f>
        <v>467919.60612925404</v>
      </c>
      <c r="M68" s="58"/>
      <c r="N68" s="58"/>
      <c r="O68" s="75"/>
      <c r="P68" s="58"/>
      <c r="Q68" s="55">
        <f t="shared" ref="Q68:AN68" si="91">Q57-Q48</f>
        <v>7299</v>
      </c>
      <c r="R68" s="55">
        <f t="shared" si="91"/>
        <v>8285</v>
      </c>
      <c r="S68" s="55">
        <f t="shared" si="91"/>
        <v>10651.837000000001</v>
      </c>
      <c r="T68" s="55">
        <f t="shared" si="91"/>
        <v>14229.163000000002</v>
      </c>
      <c r="U68" s="55">
        <f t="shared" si="91"/>
        <v>19036</v>
      </c>
      <c r="V68" s="55">
        <f t="shared" si="91"/>
        <v>27187</v>
      </c>
      <c r="W68" s="55">
        <f t="shared" si="91"/>
        <v>41226</v>
      </c>
      <c r="X68" s="55">
        <f t="shared" si="91"/>
        <v>53514</v>
      </c>
      <c r="Y68" s="55">
        <f t="shared" si="91"/>
        <v>60626</v>
      </c>
      <c r="Z68" s="55">
        <f t="shared" si="91"/>
        <v>71740</v>
      </c>
      <c r="AA68" s="55">
        <f t="shared" si="91"/>
        <v>81855</v>
      </c>
      <c r="AB68" s="55">
        <f t="shared" si="91"/>
        <v>83063</v>
      </c>
      <c r="AC68" s="55">
        <f t="shared" si="91"/>
        <v>78153</v>
      </c>
      <c r="AD68" s="55">
        <f t="shared" si="91"/>
        <v>106747</v>
      </c>
      <c r="AE68" s="55">
        <f t="shared" si="91"/>
        <v>120876</v>
      </c>
      <c r="AF68" s="55">
        <f t="shared" si="91"/>
        <v>114475</v>
      </c>
      <c r="AG68" s="55">
        <f t="shared" si="91"/>
        <v>130289</v>
      </c>
      <c r="AH68" s="55">
        <f t="shared" si="91"/>
        <v>132918.32844748424</v>
      </c>
      <c r="AI68" s="55">
        <f t="shared" si="91"/>
        <v>144652.28720276023</v>
      </c>
      <c r="AJ68" s="55">
        <f t="shared" si="91"/>
        <v>91372.486169160024</v>
      </c>
      <c r="AK68" s="55">
        <f t="shared" si="91"/>
        <v>95257.575250000053</v>
      </c>
      <c r="AL68" s="55">
        <f t="shared" si="91"/>
        <v>109366.9264499999</v>
      </c>
      <c r="AM68" s="55">
        <f t="shared" si="91"/>
        <v>142104.589813</v>
      </c>
      <c r="AN68" s="55">
        <f t="shared" si="91"/>
        <v>121190.51461625409</v>
      </c>
      <c r="AO68" s="58"/>
      <c r="AP68" s="58"/>
      <c r="AQ68" s="51"/>
    </row>
    <row r="69" spans="1:44" s="17" customFormat="1" ht="17.5" outlineLevel="1" x14ac:dyDescent="0.35">
      <c r="A69" s="32"/>
      <c r="B69" s="76" t="s">
        <v>148</v>
      </c>
      <c r="C69" s="76" t="s">
        <v>323</v>
      </c>
      <c r="D69" s="72"/>
      <c r="E69" s="84">
        <f>E68/'DRE - Income Statement'!E16</f>
        <v>0.36427004630757981</v>
      </c>
      <c r="F69" s="84">
        <f>F68/'DRE - Income Statement'!F16</f>
        <v>0.38404106392907139</v>
      </c>
      <c r="G69" s="84">
        <f>G68/'DRE - Income Statement'!G16</f>
        <v>0.36582830072686506</v>
      </c>
      <c r="H69" s="84">
        <f>H68/'DRE - Income Statement'!H16</f>
        <v>0.36638318665495317</v>
      </c>
      <c r="I69" s="84">
        <f>I68/'DRE - Income Statement'!I16</f>
        <v>0.33361014103726577</v>
      </c>
      <c r="J69" s="84">
        <f>J68/J163</f>
        <v>0.33623496147208554</v>
      </c>
      <c r="K69" s="84">
        <f>K68/K163</f>
        <v>0.320200609760799</v>
      </c>
      <c r="L69" s="84">
        <f>L68/L163</f>
        <v>0.31022801479897461</v>
      </c>
      <c r="M69" s="72"/>
      <c r="N69" s="72"/>
      <c r="O69" s="71"/>
      <c r="P69" s="72"/>
      <c r="Q69" s="84">
        <f>Q68/'DRE - Income Statement'!Q16</f>
        <v>0.36822722227827664</v>
      </c>
      <c r="R69" s="84">
        <f>R68/'DRE - Income Statement'!R16</f>
        <v>0.38289120990849429</v>
      </c>
      <c r="S69" s="84">
        <f>S68/'DRE - Income Statement'!S16</f>
        <v>0.36772316774260372</v>
      </c>
      <c r="T69" s="84">
        <f>T68/'DRE - Income Statement'!T16</f>
        <v>0.35409140226452662</v>
      </c>
      <c r="U69" s="84">
        <f>U68/'DRE - Income Statement'!U16</f>
        <v>0.38244098442993468</v>
      </c>
      <c r="V69" s="84">
        <f>V68/'DRE - Income Statement'!V16</f>
        <v>0.38323395497667073</v>
      </c>
      <c r="W69" s="84">
        <f>W68/'DRE - Income Statement'!W16</f>
        <v>0.4168157966574661</v>
      </c>
      <c r="X69" s="84">
        <f>X68/'DRE - Income Statement'!X16</f>
        <v>0.32409353254319612</v>
      </c>
      <c r="Y69" s="84">
        <f>Y68/'DRE - Income Statement'!Y16</f>
        <v>0.32612332503133423</v>
      </c>
      <c r="Z69" s="84">
        <v>0.33561317003340224</v>
      </c>
      <c r="AA69" s="84">
        <f>AA68/'DRE - Income Statement'!AA16</f>
        <v>0.35560527401872405</v>
      </c>
      <c r="AB69" s="84">
        <f>AB68/'DRE - Income Statement'!AB16</f>
        <v>0.31792015922226052</v>
      </c>
      <c r="AC69" s="84">
        <f>AC68/'DRE - Income Statement'!AC16</f>
        <v>0.30531377941682031</v>
      </c>
      <c r="AD69" s="84">
        <f>AD68/'DRE - Income Statement'!AD16</f>
        <v>0.36520921003113349</v>
      </c>
      <c r="AE69" s="84">
        <f>AE68/'DRE - Income Statement'!AE16</f>
        <v>0.35834435162072587</v>
      </c>
      <c r="AF69" s="84">
        <f>AF68/'DRE - Income Statement'!AF16</f>
        <v>0.31424226369722941</v>
      </c>
      <c r="AG69" s="84">
        <f t="shared" ref="AG69:AM69" si="92">AG68/AG163</f>
        <v>0.35936638054679054</v>
      </c>
      <c r="AH69" s="84">
        <f t="shared" si="92"/>
        <v>0.35185085539085553</v>
      </c>
      <c r="AI69" s="84">
        <f t="shared" si="92"/>
        <v>0.34295333369978481</v>
      </c>
      <c r="AJ69" s="84">
        <f t="shared" si="92"/>
        <v>0.23014709158952801</v>
      </c>
      <c r="AK69" s="84">
        <f t="shared" si="92"/>
        <v>0.26282016979341438</v>
      </c>
      <c r="AL69" s="84">
        <f t="shared" si="92"/>
        <v>0.29569696656901018</v>
      </c>
      <c r="AM69" s="84">
        <f t="shared" si="92"/>
        <v>0.3589398204817762</v>
      </c>
      <c r="AN69" s="84">
        <f t="shared" ref="AN69" si="93">AN68/AN163</f>
        <v>0.31883652358538872</v>
      </c>
      <c r="AO69" s="72"/>
      <c r="AP69" s="72"/>
    </row>
    <row r="70" spans="1:44" s="17" customFormat="1" ht="17.5" outlineLevel="1" x14ac:dyDescent="0.35">
      <c r="A70" s="32"/>
      <c r="B70" s="78" t="s">
        <v>409</v>
      </c>
      <c r="C70" s="76"/>
      <c r="D70" s="72"/>
      <c r="E70" s="84"/>
      <c r="F70" s="84"/>
      <c r="G70" s="84"/>
      <c r="H70" s="84"/>
      <c r="I70" s="84"/>
      <c r="J70" s="84"/>
      <c r="K70" s="84"/>
      <c r="L70" s="84"/>
      <c r="M70" s="72"/>
      <c r="N70" s="72"/>
      <c r="O70" s="71"/>
      <c r="P70" s="72"/>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72"/>
      <c r="AP70" s="72"/>
    </row>
    <row r="71" spans="1:44" s="17" customFormat="1" x14ac:dyDescent="0.35">
      <c r="A71" s="33" t="s">
        <v>140</v>
      </c>
      <c r="B71" s="72"/>
      <c r="C71" s="72"/>
      <c r="D71" s="72"/>
      <c r="E71" s="72"/>
      <c r="F71" s="72"/>
      <c r="G71" s="72"/>
      <c r="H71" s="72"/>
      <c r="I71" s="72"/>
      <c r="J71" s="72"/>
      <c r="K71" s="72"/>
      <c r="L71" s="72"/>
      <c r="M71" s="72"/>
      <c r="N71" s="72"/>
      <c r="O71" s="71"/>
      <c r="P71" s="72"/>
      <c r="Q71" s="108"/>
      <c r="R71" s="72"/>
      <c r="S71" s="72"/>
      <c r="T71" s="72"/>
      <c r="U71" s="72"/>
      <c r="V71" s="72"/>
      <c r="W71" s="109"/>
      <c r="X71" s="72"/>
      <c r="Y71" s="72"/>
      <c r="Z71" s="72"/>
      <c r="AA71" s="72"/>
      <c r="AB71" s="72"/>
      <c r="AC71" s="72"/>
      <c r="AD71" s="109"/>
      <c r="AE71" s="109"/>
      <c r="AF71" s="109"/>
      <c r="AG71" s="109"/>
      <c r="AH71" s="109"/>
      <c r="AI71" s="109"/>
      <c r="AJ71" s="109"/>
      <c r="AK71" s="109"/>
      <c r="AL71" s="109"/>
      <c r="AM71" s="109"/>
      <c r="AN71" s="109"/>
      <c r="AO71" s="72"/>
      <c r="AP71" s="72"/>
    </row>
    <row r="72" spans="1:44" s="17" customFormat="1" ht="17.5" x14ac:dyDescent="0.35">
      <c r="A72" s="32"/>
      <c r="B72" s="69" t="s">
        <v>125</v>
      </c>
      <c r="C72" s="69" t="s">
        <v>271</v>
      </c>
      <c r="D72" s="70"/>
      <c r="E72" s="70"/>
      <c r="F72" s="70"/>
      <c r="G72" s="70"/>
      <c r="H72" s="70"/>
      <c r="I72" s="70"/>
      <c r="J72" s="70"/>
      <c r="K72" s="70"/>
      <c r="L72" s="70"/>
      <c r="M72" s="70"/>
      <c r="N72" s="70"/>
      <c r="O72" s="71"/>
      <c r="P72" s="72"/>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row>
    <row r="73" spans="1:44" s="17" customFormat="1" ht="6.75" customHeight="1" x14ac:dyDescent="0.35">
      <c r="A73" s="32"/>
      <c r="B73" s="72"/>
      <c r="C73" s="72"/>
      <c r="D73" s="72"/>
      <c r="E73" s="72"/>
      <c r="F73" s="72"/>
      <c r="G73" s="72"/>
      <c r="H73" s="72"/>
      <c r="I73" s="72"/>
      <c r="J73" s="72"/>
      <c r="K73" s="72"/>
      <c r="L73" s="72"/>
      <c r="M73" s="72"/>
      <c r="N73" s="72"/>
      <c r="O73" s="71"/>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row>
    <row r="74" spans="1:44" s="17" customFormat="1" ht="17.5" x14ac:dyDescent="0.35">
      <c r="A74" s="32"/>
      <c r="B74" s="73" t="s">
        <v>85</v>
      </c>
      <c r="C74" s="73" t="s">
        <v>272</v>
      </c>
      <c r="D74" s="58"/>
      <c r="E74" s="55">
        <v>11594</v>
      </c>
      <c r="F74" s="55">
        <v>23633</v>
      </c>
      <c r="G74" s="55">
        <v>-74982</v>
      </c>
      <c r="H74" s="55">
        <f t="shared" ref="H74:H79" si="94">SUM(U74:X74)</f>
        <v>-592585.39179000002</v>
      </c>
      <c r="I74" s="55">
        <v>-693606</v>
      </c>
      <c r="J74" s="55">
        <v>125875.49404401478</v>
      </c>
      <c r="K74" s="55">
        <f>SUM(AG74:AJ74)</f>
        <v>38135.52272536364</v>
      </c>
      <c r="L74" s="55">
        <f>SUM(AK74:AN74)</f>
        <v>450644.93902122776</v>
      </c>
      <c r="M74" s="74"/>
      <c r="N74" s="74"/>
      <c r="O74" s="71"/>
      <c r="P74" s="72"/>
      <c r="Q74" s="55">
        <v>-821</v>
      </c>
      <c r="R74" s="55">
        <v>-929</v>
      </c>
      <c r="S74" s="55">
        <v>-30662.907790000001</v>
      </c>
      <c r="T74" s="55">
        <v>-42569.092210000003</v>
      </c>
      <c r="U74" s="55">
        <v>-106218</v>
      </c>
      <c r="V74" s="55">
        <v>-123341</v>
      </c>
      <c r="W74" s="55">
        <v>-212392</v>
      </c>
      <c r="X74" s="55">
        <v>-150634.39178999999</v>
      </c>
      <c r="Y74" s="55">
        <v>-113358.88311267571</v>
      </c>
      <c r="Z74" s="55">
        <v>-222585.11688732429</v>
      </c>
      <c r="AA74" s="55">
        <v>-188808.00000000006</v>
      </c>
      <c r="AB74" s="55">
        <v>-168854</v>
      </c>
      <c r="AC74" s="55">
        <v>76134.408110179254</v>
      </c>
      <c r="AD74" s="55">
        <v>-43637.056147649739</v>
      </c>
      <c r="AE74" s="55">
        <v>119699.35618494198</v>
      </c>
      <c r="AF74" s="55">
        <v>-26321.028712266336</v>
      </c>
      <c r="AG74" s="55">
        <v>68400</v>
      </c>
      <c r="AH74" s="55">
        <v>-98873.554501288454</v>
      </c>
      <c r="AI74" s="55">
        <v>106496.09105418675</v>
      </c>
      <c r="AJ74" s="55">
        <f>'DFC - Cash Flow Statement'!AH57</f>
        <v>-37887.013827534654</v>
      </c>
      <c r="AK74" s="55">
        <f>'DFC - Cash Flow Statement'!AI57</f>
        <v>243963.25390568248</v>
      </c>
      <c r="AL74" s="55">
        <f>'DFC - Cash Flow Statement'!AJ57</f>
        <v>91109.875138450283</v>
      </c>
      <c r="AM74" s="55">
        <f>'DFC - Cash Flow Statement'!AK57</f>
        <v>25324.818798777007</v>
      </c>
      <c r="AN74" s="55">
        <f>'DFC - Cash Flow Statement'!AL57</f>
        <v>90246.991178317985</v>
      </c>
      <c r="AO74" s="74"/>
      <c r="AP74" s="74"/>
    </row>
    <row r="75" spans="1:44" s="17" customFormat="1" ht="17.5" x14ac:dyDescent="0.35">
      <c r="A75" s="32"/>
      <c r="B75" s="76" t="s">
        <v>501</v>
      </c>
      <c r="C75" s="76" t="s">
        <v>477</v>
      </c>
      <c r="D75" s="72"/>
      <c r="E75" s="54">
        <v>0</v>
      </c>
      <c r="F75" s="54">
        <v>0</v>
      </c>
      <c r="G75" s="54">
        <v>0</v>
      </c>
      <c r="H75" s="54">
        <v>0</v>
      </c>
      <c r="I75" s="54">
        <v>-49795</v>
      </c>
      <c r="J75" s="54">
        <v>74115</v>
      </c>
      <c r="K75" s="54">
        <f t="shared" ref="K75:K90" si="95">SUM(AG75:AJ75)</f>
        <v>6342.3220900000015</v>
      </c>
      <c r="L75" s="54">
        <f t="shared" ref="L75:L90" si="96">SUM(AK75:AN75)</f>
        <v>-280114.00686000142</v>
      </c>
      <c r="M75" s="54"/>
      <c r="N75" s="54"/>
      <c r="O75" s="71"/>
      <c r="P75" s="54"/>
      <c r="Q75" s="54"/>
      <c r="R75" s="54"/>
      <c r="S75" s="54"/>
      <c r="T75" s="54"/>
      <c r="U75" s="54"/>
      <c r="V75" s="54"/>
      <c r="W75" s="54"/>
      <c r="X75" s="54"/>
      <c r="Y75" s="54"/>
      <c r="Z75" s="54"/>
      <c r="AA75" s="54">
        <v>-261423</v>
      </c>
      <c r="AB75" s="54">
        <v>177093</v>
      </c>
      <c r="AC75" s="54">
        <v>34486</v>
      </c>
      <c r="AD75" s="54">
        <v>37692</v>
      </c>
      <c r="AE75" s="54">
        <v>-7974</v>
      </c>
      <c r="AF75" s="54">
        <v>9911</v>
      </c>
      <c r="AG75" s="54">
        <v>8909.1527100000021</v>
      </c>
      <c r="AH75" s="54">
        <v>1305.8472899999979</v>
      </c>
      <c r="AI75" s="54">
        <v>-6983.4155099999989</v>
      </c>
      <c r="AJ75" s="54">
        <v>3110.7376000000004</v>
      </c>
      <c r="AK75" s="54">
        <v>-39351.394970000001</v>
      </c>
      <c r="AL75" s="54">
        <v>-47564.588649999998</v>
      </c>
      <c r="AM75" s="54">
        <v>48876.180590000004</v>
      </c>
      <c r="AN75" s="54">
        <v>-242074.20383000141</v>
      </c>
      <c r="AO75" s="54"/>
      <c r="AP75" s="54"/>
    </row>
    <row r="76" spans="1:44" s="17" customFormat="1" ht="17.5" x14ac:dyDescent="0.35">
      <c r="A76" s="32"/>
      <c r="B76" s="76" t="s">
        <v>55</v>
      </c>
      <c r="C76" s="76" t="s">
        <v>234</v>
      </c>
      <c r="D76" s="72"/>
      <c r="E76" s="54">
        <v>1795</v>
      </c>
      <c r="F76" s="54">
        <v>2837</v>
      </c>
      <c r="G76" s="54">
        <v>101279</v>
      </c>
      <c r="H76" s="54">
        <f t="shared" si="94"/>
        <v>645819</v>
      </c>
      <c r="I76" s="54">
        <v>1017461</v>
      </c>
      <c r="J76" s="54">
        <v>177238.5</v>
      </c>
      <c r="K76" s="54">
        <f t="shared" si="95"/>
        <v>267359.41993027058</v>
      </c>
      <c r="L76" s="54">
        <f t="shared" si="96"/>
        <v>551461.88078759308</v>
      </c>
      <c r="M76" s="54"/>
      <c r="N76" s="54"/>
      <c r="O76" s="71"/>
      <c r="P76" s="54"/>
      <c r="Q76" s="54">
        <v>2500</v>
      </c>
      <c r="R76" s="54">
        <v>11436</v>
      </c>
      <c r="S76" s="54">
        <v>39254</v>
      </c>
      <c r="T76" s="54">
        <v>48089</v>
      </c>
      <c r="U76" s="54">
        <v>106279</v>
      </c>
      <c r="V76" s="54">
        <v>136982</v>
      </c>
      <c r="W76" s="54">
        <v>239861</v>
      </c>
      <c r="X76" s="54">
        <v>162697</v>
      </c>
      <c r="Y76" s="54">
        <v>215710.01175996353</v>
      </c>
      <c r="Z76" s="54">
        <v>228206.98824003647</v>
      </c>
      <c r="AA76" s="54">
        <v>421924.00000000006</v>
      </c>
      <c r="AB76" s="54">
        <v>151620</v>
      </c>
      <c r="AC76" s="54">
        <v>46553</v>
      </c>
      <c r="AD76" s="54">
        <v>38531.354293035678</v>
      </c>
      <c r="AE76" s="54">
        <v>62628.44035674099</v>
      </c>
      <c r="AF76" s="54">
        <v>29526.05964325901</v>
      </c>
      <c r="AG76" s="54">
        <v>51816</v>
      </c>
      <c r="AH76" s="54">
        <v>93344.794854707143</v>
      </c>
      <c r="AI76" s="54">
        <v>76860.865304717212</v>
      </c>
      <c r="AJ76" s="54">
        <v>45337.759770846227</v>
      </c>
      <c r="AK76" s="54">
        <f>AK27</f>
        <v>103622.02616456899</v>
      </c>
      <c r="AL76" s="54">
        <f>AL27</f>
        <v>70407.214009560004</v>
      </c>
      <c r="AM76" s="54">
        <f>AM27</f>
        <v>51436.1913351529</v>
      </c>
      <c r="AN76" s="54">
        <f>AN27</f>
        <v>325996.44927831116</v>
      </c>
      <c r="AO76" s="54"/>
      <c r="AP76" s="54"/>
    </row>
    <row r="77" spans="1:44" s="17" customFormat="1" ht="17.5" x14ac:dyDescent="0.35">
      <c r="A77" s="32"/>
      <c r="B77" s="76" t="s">
        <v>56</v>
      </c>
      <c r="C77" s="76" t="s">
        <v>324</v>
      </c>
      <c r="D77" s="72"/>
      <c r="E77" s="54">
        <v>-1708</v>
      </c>
      <c r="F77" s="54">
        <v>-1368</v>
      </c>
      <c r="G77" s="54">
        <v>-130</v>
      </c>
      <c r="H77" s="54">
        <f t="shared" si="94"/>
        <v>-5012</v>
      </c>
      <c r="I77" s="54">
        <v>-60642</v>
      </c>
      <c r="J77" s="54">
        <v>-111094</v>
      </c>
      <c r="K77" s="54">
        <f t="shared" si="95"/>
        <v>-138484.68293000001</v>
      </c>
      <c r="L77" s="54">
        <f t="shared" si="96"/>
        <v>-335901</v>
      </c>
      <c r="M77" s="54"/>
      <c r="N77" s="54"/>
      <c r="O77" s="71"/>
      <c r="P77" s="54"/>
      <c r="Q77" s="54">
        <v>-5</v>
      </c>
      <c r="R77" s="54">
        <v>-230</v>
      </c>
      <c r="S77" s="54">
        <v>-377</v>
      </c>
      <c r="T77" s="54">
        <v>247</v>
      </c>
      <c r="U77" s="54">
        <v>-1880</v>
      </c>
      <c r="V77" s="54">
        <v>-750</v>
      </c>
      <c r="W77" s="54">
        <v>-439</v>
      </c>
      <c r="X77" s="54">
        <v>-1943</v>
      </c>
      <c r="Y77" s="54">
        <v>-9517</v>
      </c>
      <c r="Z77" s="54">
        <v>-12105</v>
      </c>
      <c r="AA77" s="54">
        <v>-20412</v>
      </c>
      <c r="AB77" s="54">
        <v>-18608</v>
      </c>
      <c r="AC77" s="54">
        <v>-35515</v>
      </c>
      <c r="AD77" s="54">
        <v>-18648</v>
      </c>
      <c r="AE77" s="54">
        <v>-22221</v>
      </c>
      <c r="AF77" s="54">
        <v>-34710</v>
      </c>
      <c r="AG77" s="54">
        <v>-25235</v>
      </c>
      <c r="AH77" s="54">
        <v>-20015</v>
      </c>
      <c r="AI77" s="54">
        <v>-47168.5</v>
      </c>
      <c r="AJ77" s="54">
        <v>-46066.18293000001</v>
      </c>
      <c r="AK77" s="54">
        <v>-63619.580549999999</v>
      </c>
      <c r="AL77" s="54">
        <v>-74893.419450000001</v>
      </c>
      <c r="AM77" s="54">
        <v>-86194.000000000015</v>
      </c>
      <c r="AN77" s="54">
        <v>-111194.00000000001</v>
      </c>
      <c r="AO77" s="54"/>
      <c r="AP77" s="54"/>
    </row>
    <row r="78" spans="1:44" s="17" customFormat="1" ht="17.5" x14ac:dyDescent="0.35">
      <c r="A78" s="32"/>
      <c r="B78" s="76" t="s">
        <v>459</v>
      </c>
      <c r="C78" s="76" t="s">
        <v>478</v>
      </c>
      <c r="D78" s="72"/>
      <c r="E78" s="54"/>
      <c r="F78" s="54"/>
      <c r="G78" s="54"/>
      <c r="H78" s="54"/>
      <c r="I78" s="54"/>
      <c r="J78" s="54"/>
      <c r="K78" s="54"/>
      <c r="L78" s="54">
        <f t="shared" si="96"/>
        <v>28174</v>
      </c>
      <c r="M78" s="54"/>
      <c r="N78" s="54"/>
      <c r="O78" s="71"/>
      <c r="P78" s="54"/>
      <c r="Q78" s="54">
        <f t="shared" ref="Q78:AE78" si="97">-Q180-Q182</f>
        <v>0</v>
      </c>
      <c r="R78" s="54">
        <f t="shared" si="97"/>
        <v>0</v>
      </c>
      <c r="S78" s="54">
        <f t="shared" si="97"/>
        <v>0</v>
      </c>
      <c r="T78" s="54">
        <f t="shared" si="97"/>
        <v>0</v>
      </c>
      <c r="U78" s="54">
        <f t="shared" si="97"/>
        <v>0</v>
      </c>
      <c r="V78" s="54">
        <f t="shared" si="97"/>
        <v>0</v>
      </c>
      <c r="W78" s="54">
        <f t="shared" si="97"/>
        <v>0</v>
      </c>
      <c r="X78" s="54">
        <f t="shared" si="97"/>
        <v>0</v>
      </c>
      <c r="Y78" s="54">
        <f t="shared" si="97"/>
        <v>0</v>
      </c>
      <c r="Z78" s="54">
        <f t="shared" si="97"/>
        <v>0</v>
      </c>
      <c r="AA78" s="54">
        <f t="shared" si="97"/>
        <v>0</v>
      </c>
      <c r="AB78" s="54">
        <f t="shared" si="97"/>
        <v>0</v>
      </c>
      <c r="AC78" s="54">
        <f t="shared" si="97"/>
        <v>0</v>
      </c>
      <c r="AD78" s="54">
        <f t="shared" si="97"/>
        <v>0</v>
      </c>
      <c r="AE78" s="54">
        <f t="shared" si="97"/>
        <v>0</v>
      </c>
      <c r="AF78" s="54">
        <f t="shared" ref="AF78" si="98">-AF180-AF182</f>
        <v>0</v>
      </c>
      <c r="AG78" s="54">
        <f t="shared" ref="AG78:AL78" si="99">-(AG180+AG182)</f>
        <v>1248</v>
      </c>
      <c r="AH78" s="54">
        <f t="shared" si="99"/>
        <v>939</v>
      </c>
      <c r="AI78" s="54">
        <f t="shared" si="99"/>
        <v>1347</v>
      </c>
      <c r="AJ78" s="54">
        <f t="shared" si="99"/>
        <v>2025</v>
      </c>
      <c r="AK78" s="54">
        <f t="shared" si="99"/>
        <v>4973</v>
      </c>
      <c r="AL78" s="54">
        <f t="shared" si="99"/>
        <v>8114</v>
      </c>
      <c r="AM78" s="54">
        <f>-(AM180+AM182)</f>
        <v>7775</v>
      </c>
      <c r="AN78" s="54">
        <f>-(AN180+AN182)</f>
        <v>7312</v>
      </c>
      <c r="AO78" s="54"/>
      <c r="AP78" s="54"/>
    </row>
    <row r="79" spans="1:44" s="17" customFormat="1" ht="17.5" x14ac:dyDescent="0.35">
      <c r="A79" s="32"/>
      <c r="B79" s="76" t="s">
        <v>54</v>
      </c>
      <c r="C79" s="76" t="s">
        <v>231</v>
      </c>
      <c r="D79" s="72"/>
      <c r="E79" s="54">
        <v>4201</v>
      </c>
      <c r="F79" s="54">
        <v>6798</v>
      </c>
      <c r="G79" s="54">
        <v>12756</v>
      </c>
      <c r="H79" s="54">
        <f t="shared" si="94"/>
        <v>49538</v>
      </c>
      <c r="I79" s="54">
        <v>232727</v>
      </c>
      <c r="J79" s="54">
        <v>282115.1231201982</v>
      </c>
      <c r="K79" s="54">
        <f t="shared" si="95"/>
        <v>283896.29382731573</v>
      </c>
      <c r="L79" s="54">
        <f t="shared" si="96"/>
        <v>316955.72970699106</v>
      </c>
      <c r="M79" s="54"/>
      <c r="N79" s="54"/>
      <c r="O79" s="71"/>
      <c r="P79" s="54"/>
      <c r="Q79" s="54">
        <v>2181</v>
      </c>
      <c r="R79" s="54">
        <v>1954</v>
      </c>
      <c r="S79" s="54">
        <v>3553</v>
      </c>
      <c r="T79" s="54">
        <v>5068</v>
      </c>
      <c r="U79" s="54">
        <v>6947</v>
      </c>
      <c r="V79" s="54">
        <v>8430</v>
      </c>
      <c r="W79" s="54">
        <v>13398</v>
      </c>
      <c r="X79" s="54">
        <v>20763</v>
      </c>
      <c r="Y79" s="54">
        <v>29220</v>
      </c>
      <c r="Z79" s="54">
        <v>80828</v>
      </c>
      <c r="AA79" s="54">
        <v>13147</v>
      </c>
      <c r="AB79" s="54">
        <v>109532</v>
      </c>
      <c r="AC79" s="54">
        <v>8964.3970340467476</v>
      </c>
      <c r="AD79" s="54">
        <v>132717.15177442326</v>
      </c>
      <c r="AE79" s="54">
        <v>8889.8663762409869</v>
      </c>
      <c r="AF79" s="54">
        <v>131543.70793548718</v>
      </c>
      <c r="AG79" s="54">
        <v>7379.8891530034662</v>
      </c>
      <c r="AH79" s="54">
        <v>115101.69130654534</v>
      </c>
      <c r="AI79" s="54">
        <v>49385.970169787644</v>
      </c>
      <c r="AJ79" s="54">
        <v>112028.74319797929</v>
      </c>
      <c r="AK79" s="54">
        <f>-'DFC - Cash Flow Statement'!AI49</f>
        <v>95130.768158974082</v>
      </c>
      <c r="AL79" s="54">
        <f>-'DFC - Cash Flow Statement'!AJ49</f>
        <v>45626.869455712949</v>
      </c>
      <c r="AM79" s="54">
        <f>-'DFC - Cash Flow Statement'!AK49</f>
        <v>123566.6971884212</v>
      </c>
      <c r="AN79" s="54">
        <f>-'DFC - Cash Flow Statement'!AL49</f>
        <v>52631.3949038828</v>
      </c>
      <c r="AO79" s="54"/>
      <c r="AP79" s="54"/>
    </row>
    <row r="80" spans="1:44" s="17" customFormat="1" ht="17.5" x14ac:dyDescent="0.35">
      <c r="A80" s="32"/>
      <c r="B80" s="76" t="s">
        <v>342</v>
      </c>
      <c r="C80" s="76" t="s">
        <v>344</v>
      </c>
      <c r="D80" s="72"/>
      <c r="E80" s="54"/>
      <c r="F80" s="54"/>
      <c r="G80" s="54"/>
      <c r="H80" s="54"/>
      <c r="I80" s="54"/>
      <c r="J80" s="54">
        <v>14044.359925632571</v>
      </c>
      <c r="K80" s="54">
        <f t="shared" si="95"/>
        <v>40991.697528074204</v>
      </c>
      <c r="L80" s="54">
        <f t="shared" si="96"/>
        <v>47173.865772492667</v>
      </c>
      <c r="M80" s="54"/>
      <c r="N80" s="54"/>
      <c r="O80" s="71"/>
      <c r="P80" s="54"/>
      <c r="Q80" s="54">
        <v>0</v>
      </c>
      <c r="R80" s="54">
        <v>0</v>
      </c>
      <c r="S80" s="54">
        <v>0</v>
      </c>
      <c r="T80" s="54">
        <v>0</v>
      </c>
      <c r="U80" s="54">
        <v>0</v>
      </c>
      <c r="V80" s="54">
        <v>0</v>
      </c>
      <c r="W80" s="54">
        <v>0</v>
      </c>
      <c r="X80" s="54">
        <v>0</v>
      </c>
      <c r="Y80" s="54">
        <v>0</v>
      </c>
      <c r="Z80" s="54">
        <v>0</v>
      </c>
      <c r="AA80" s="54">
        <v>0</v>
      </c>
      <c r="AB80" s="54">
        <v>0</v>
      </c>
      <c r="AC80" s="54">
        <v>4568</v>
      </c>
      <c r="AD80" s="54">
        <v>2751.9941101928998</v>
      </c>
      <c r="AE80" s="54">
        <v>6548.1342381048999</v>
      </c>
      <c r="AF80" s="54">
        <v>176.23157733477092</v>
      </c>
      <c r="AG80" s="54">
        <v>21332</v>
      </c>
      <c r="AH80" s="54">
        <v>15132.176932221031</v>
      </c>
      <c r="AI80" s="54">
        <v>11050.112431479007</v>
      </c>
      <c r="AJ80" s="54">
        <v>-6522.5918356258335</v>
      </c>
      <c r="AK80" s="54">
        <f>-'DFC - Cash Flow Statement'!AI51</f>
        <v>17236.651272781772</v>
      </c>
      <c r="AL80" s="54">
        <f>-'DFC - Cash Flow Statement'!AJ51</f>
        <v>21165.974469481462</v>
      </c>
      <c r="AM80" s="54">
        <f>-'DFC - Cash Flow Statement'!AK51</f>
        <v>6522.3853802294325</v>
      </c>
      <c r="AN80" s="54">
        <v>2248.8546500000011</v>
      </c>
      <c r="AO80" s="54"/>
      <c r="AP80" s="54"/>
    </row>
    <row r="81" spans="1:42" s="17" customFormat="1" ht="17.5" x14ac:dyDescent="0.35">
      <c r="A81" s="32"/>
      <c r="B81" s="76" t="s">
        <v>87</v>
      </c>
      <c r="C81" s="76" t="s">
        <v>248</v>
      </c>
      <c r="D81" s="72"/>
      <c r="E81" s="54">
        <v>0</v>
      </c>
      <c r="F81" s="54">
        <v>0</v>
      </c>
      <c r="G81" s="54">
        <v>-693</v>
      </c>
      <c r="H81" s="54">
        <f>SUM(U81:X81)</f>
        <v>-2624</v>
      </c>
      <c r="I81" s="54">
        <v>-5914</v>
      </c>
      <c r="J81" s="54">
        <v>-6560</v>
      </c>
      <c r="K81" s="54">
        <f t="shared" ref="K81:K89" si="100">SUM(AG81:AJ81)</f>
        <v>-8834.8008126254426</v>
      </c>
      <c r="L81" s="54">
        <f t="shared" si="96"/>
        <v>-11334.860082974492</v>
      </c>
      <c r="M81" s="54"/>
      <c r="N81" s="54"/>
      <c r="O81" s="71"/>
      <c r="P81" s="54"/>
      <c r="Q81" s="54">
        <v>-78</v>
      </c>
      <c r="R81" s="54">
        <v>-99</v>
      </c>
      <c r="S81" s="54">
        <v>-185</v>
      </c>
      <c r="T81" s="54">
        <v>-331</v>
      </c>
      <c r="U81" s="54">
        <v>-429</v>
      </c>
      <c r="V81" s="54">
        <v>-561</v>
      </c>
      <c r="W81" s="54">
        <v>-563</v>
      </c>
      <c r="X81" s="54">
        <v>-1071</v>
      </c>
      <c r="Y81" s="54">
        <v>-1415.550809138867</v>
      </c>
      <c r="Z81" s="54">
        <v>-1851.449190861133</v>
      </c>
      <c r="AA81" s="54">
        <v>-1658</v>
      </c>
      <c r="AB81" s="54">
        <v>-989</v>
      </c>
      <c r="AC81" s="54">
        <v>-1489.6746042259847</v>
      </c>
      <c r="AD81" s="54">
        <v>-1356.9429581409954</v>
      </c>
      <c r="AE81" s="54">
        <v>-1634.7573548764399</v>
      </c>
      <c r="AF81" s="54">
        <v>-2078.62508275658</v>
      </c>
      <c r="AG81" s="54">
        <v>-1917</v>
      </c>
      <c r="AH81" s="54">
        <v>-2097.9108114481078</v>
      </c>
      <c r="AI81" s="54">
        <v>-2357.6251810928261</v>
      </c>
      <c r="AJ81" s="54">
        <v>-2462.2648200845088</v>
      </c>
      <c r="AK81" s="54">
        <v>-2438.7794942860151</v>
      </c>
      <c r="AL81" s="54">
        <v>-2769.6409674543502</v>
      </c>
      <c r="AM81" s="54">
        <v>-2918.94889627049</v>
      </c>
      <c r="AN81" s="54">
        <v>-3207.4907249636376</v>
      </c>
      <c r="AO81" s="54"/>
      <c r="AP81" s="54"/>
    </row>
    <row r="82" spans="1:42" s="17" customFormat="1" ht="17.5" x14ac:dyDescent="0.35">
      <c r="A82" s="32"/>
      <c r="B82" s="76" t="s">
        <v>68</v>
      </c>
      <c r="C82" s="76" t="s">
        <v>249</v>
      </c>
      <c r="D82" s="72"/>
      <c r="E82" s="54">
        <v>-50</v>
      </c>
      <c r="F82" s="54">
        <v>-52</v>
      </c>
      <c r="G82" s="54">
        <v>-57</v>
      </c>
      <c r="H82" s="54">
        <f>SUM(U82:X82)</f>
        <v>-123</v>
      </c>
      <c r="I82" s="54">
        <v>0</v>
      </c>
      <c r="J82" s="54">
        <v>0</v>
      </c>
      <c r="K82" s="54">
        <f t="shared" si="100"/>
        <v>-1900.66696</v>
      </c>
      <c r="L82" s="54">
        <f t="shared" si="96"/>
        <v>-14081.091709999997</v>
      </c>
      <c r="M82" s="54"/>
      <c r="N82" s="54"/>
      <c r="O82" s="71"/>
      <c r="P82" s="54"/>
      <c r="Q82" s="54">
        <v>-15</v>
      </c>
      <c r="R82" s="54">
        <v>0</v>
      </c>
      <c r="S82" s="54">
        <v>-14</v>
      </c>
      <c r="T82" s="54">
        <v>-28</v>
      </c>
      <c r="U82" s="54">
        <v>-24</v>
      </c>
      <c r="V82" s="54">
        <v>-24</v>
      </c>
      <c r="W82" s="54">
        <v>-31</v>
      </c>
      <c r="X82" s="54">
        <v>-44</v>
      </c>
      <c r="Y82" s="54">
        <v>-1223</v>
      </c>
      <c r="Z82" s="54">
        <v>52</v>
      </c>
      <c r="AA82" s="54">
        <v>-86</v>
      </c>
      <c r="AB82" s="54">
        <v>1257</v>
      </c>
      <c r="AC82" s="54">
        <v>-18</v>
      </c>
      <c r="AD82" s="54">
        <v>-34</v>
      </c>
      <c r="AE82" s="54">
        <v>-13</v>
      </c>
      <c r="AF82" s="54">
        <v>65</v>
      </c>
      <c r="AG82" s="54">
        <v>0</v>
      </c>
      <c r="AH82" s="54">
        <v>-783.98269205617862</v>
      </c>
      <c r="AI82" s="54">
        <v>-554.01730794382138</v>
      </c>
      <c r="AJ82" s="54">
        <v>-562.66696000000002</v>
      </c>
      <c r="AK82" s="54">
        <v>-556.00444999999991</v>
      </c>
      <c r="AL82" s="54">
        <v>-621.99554999999998</v>
      </c>
      <c r="AM82" s="54">
        <v>-1105.6703500000001</v>
      </c>
      <c r="AN82" s="54">
        <v>-11797.421359999997</v>
      </c>
      <c r="AO82" s="54"/>
      <c r="AP82" s="54"/>
    </row>
    <row r="83" spans="1:42" s="17" customFormat="1" ht="17.5" x14ac:dyDescent="0.35">
      <c r="A83" s="32"/>
      <c r="B83" s="76" t="s">
        <v>88</v>
      </c>
      <c r="C83" s="76" t="s">
        <v>267</v>
      </c>
      <c r="D83" s="72"/>
      <c r="E83" s="54">
        <v>-563</v>
      </c>
      <c r="F83" s="54">
        <v>-296</v>
      </c>
      <c r="G83" s="54">
        <v>-859</v>
      </c>
      <c r="H83" s="54">
        <f>SUM(U83:X83)</f>
        <v>-27692</v>
      </c>
      <c r="I83" s="54">
        <v>-126974</v>
      </c>
      <c r="J83" s="54">
        <v>-99055.6</v>
      </c>
      <c r="K83" s="54">
        <f t="shared" si="100"/>
        <v>-117515.69500000001</v>
      </c>
      <c r="L83" s="54">
        <f t="shared" si="96"/>
        <v>-105450.29800000001</v>
      </c>
      <c r="M83" s="54"/>
      <c r="N83" s="54"/>
      <c r="O83" s="71"/>
      <c r="P83" s="54"/>
      <c r="Q83" s="54">
        <v>-125</v>
      </c>
      <c r="R83" s="54">
        <v>-33</v>
      </c>
      <c r="S83" s="54">
        <v>-70.755319999999998</v>
      </c>
      <c r="T83" s="54">
        <v>-630.24468000000002</v>
      </c>
      <c r="U83" s="54">
        <v>-447</v>
      </c>
      <c r="V83" s="54">
        <v>-567</v>
      </c>
      <c r="W83" s="54">
        <v>-9378</v>
      </c>
      <c r="X83" s="54">
        <v>-17300</v>
      </c>
      <c r="Y83" s="54">
        <v>-38592</v>
      </c>
      <c r="Z83" s="54">
        <v>-29335</v>
      </c>
      <c r="AA83" s="54">
        <v>-31475</v>
      </c>
      <c r="AB83" s="54">
        <v>-27572</v>
      </c>
      <c r="AC83" s="54">
        <v>-28107</v>
      </c>
      <c r="AD83" s="54">
        <v>-25253</v>
      </c>
      <c r="AE83" s="54">
        <v>-23878.600000000006</v>
      </c>
      <c r="AF83" s="54">
        <v>-21817</v>
      </c>
      <c r="AG83" s="54">
        <v>-21400</v>
      </c>
      <c r="AH83" s="54">
        <v>-31689.232999999993</v>
      </c>
      <c r="AI83" s="54">
        <v>-29504.135999999999</v>
      </c>
      <c r="AJ83" s="54">
        <v>-34922.326000000015</v>
      </c>
      <c r="AK83" s="54">
        <v>-20045.397000000001</v>
      </c>
      <c r="AL83" s="54">
        <v>-19611.448</v>
      </c>
      <c r="AM83" s="54">
        <v>-33340.084999999999</v>
      </c>
      <c r="AN83" s="54">
        <v>-32453.368000000013</v>
      </c>
      <c r="AO83" s="54"/>
      <c r="AP83" s="54"/>
    </row>
    <row r="84" spans="1:42" s="17" customFormat="1" ht="17.5" x14ac:dyDescent="0.35">
      <c r="A84" s="32"/>
      <c r="B84" s="76" t="s">
        <v>365</v>
      </c>
      <c r="C84" s="76" t="s">
        <v>377</v>
      </c>
      <c r="D84" s="72"/>
      <c r="E84" s="54"/>
      <c r="F84" s="54"/>
      <c r="G84" s="54"/>
      <c r="H84" s="54"/>
      <c r="I84" s="54"/>
      <c r="J84" s="54"/>
      <c r="K84" s="54">
        <f t="shared" si="100"/>
        <v>79528.874911060455</v>
      </c>
      <c r="L84" s="54">
        <f t="shared" si="96"/>
        <v>60686.862954146207</v>
      </c>
      <c r="M84" s="54"/>
      <c r="N84" s="54"/>
      <c r="O84" s="71"/>
      <c r="P84" s="54"/>
      <c r="Q84" s="54"/>
      <c r="R84" s="54"/>
      <c r="S84" s="54"/>
      <c r="T84" s="54"/>
      <c r="U84" s="54"/>
      <c r="V84" s="54"/>
      <c r="W84" s="54"/>
      <c r="X84" s="54"/>
      <c r="Y84" s="54"/>
      <c r="Z84" s="54"/>
      <c r="AA84" s="54"/>
      <c r="AB84" s="54"/>
      <c r="AC84" s="54"/>
      <c r="AD84" s="54"/>
      <c r="AE84" s="54"/>
      <c r="AF84" s="54">
        <v>32074</v>
      </c>
      <c r="AG84" s="54">
        <v>14896.217790259367</v>
      </c>
      <c r="AH84" s="54">
        <v>39141.963113291858</v>
      </c>
      <c r="AI84" s="54">
        <v>-941.96557167473657</v>
      </c>
      <c r="AJ84" s="54">
        <v>26432.659579183965</v>
      </c>
      <c r="AK84" s="54">
        <v>6410.3384682829219</v>
      </c>
      <c r="AL84" s="54">
        <v>8597.4046402418408</v>
      </c>
      <c r="AM84" s="54">
        <v>-5267.8027333457403</v>
      </c>
      <c r="AN84" s="54">
        <v>50946.922578967184</v>
      </c>
      <c r="AO84" s="54"/>
      <c r="AP84" s="54"/>
    </row>
    <row r="85" spans="1:42" s="17" customFormat="1" ht="17.5" outlineLevel="1" x14ac:dyDescent="0.35">
      <c r="A85" s="32"/>
      <c r="B85" s="76" t="s">
        <v>149</v>
      </c>
      <c r="C85" s="76" t="s">
        <v>274</v>
      </c>
      <c r="D85" s="72"/>
      <c r="E85" s="54">
        <v>100</v>
      </c>
      <c r="F85" s="54">
        <v>0</v>
      </c>
      <c r="G85" s="54">
        <v>317</v>
      </c>
      <c r="H85" s="54">
        <f>SUM(U85:X85)</f>
        <v>1246</v>
      </c>
      <c r="I85" s="54">
        <v>0</v>
      </c>
      <c r="J85" s="54">
        <v>0</v>
      </c>
      <c r="K85" s="54">
        <f t="shared" si="100"/>
        <v>0</v>
      </c>
      <c r="L85" s="54">
        <f t="shared" si="96"/>
        <v>0</v>
      </c>
      <c r="M85" s="54"/>
      <c r="N85" s="54"/>
      <c r="O85" s="71"/>
      <c r="P85" s="54"/>
      <c r="Q85" s="54">
        <v>34</v>
      </c>
      <c r="R85" s="54">
        <v>266</v>
      </c>
      <c r="S85" s="54">
        <v>0</v>
      </c>
      <c r="T85" s="54">
        <v>17</v>
      </c>
      <c r="U85" s="54">
        <v>0</v>
      </c>
      <c r="V85" s="54">
        <v>0</v>
      </c>
      <c r="W85" s="54">
        <v>0</v>
      </c>
      <c r="X85" s="54">
        <v>1246</v>
      </c>
      <c r="Y85" s="54">
        <v>0</v>
      </c>
      <c r="Z85" s="54">
        <v>0</v>
      </c>
      <c r="AA85" s="54">
        <v>0</v>
      </c>
      <c r="AB85" s="54">
        <v>0</v>
      </c>
      <c r="AC85" s="54">
        <v>0</v>
      </c>
      <c r="AD85" s="54">
        <v>0</v>
      </c>
      <c r="AE85" s="54">
        <v>0</v>
      </c>
      <c r="AF85" s="54">
        <v>0</v>
      </c>
      <c r="AG85" s="54">
        <v>0</v>
      </c>
      <c r="AH85" s="54">
        <v>0</v>
      </c>
      <c r="AI85" s="54">
        <v>0</v>
      </c>
      <c r="AJ85" s="54">
        <v>0</v>
      </c>
      <c r="AK85" s="54">
        <v>0</v>
      </c>
      <c r="AL85" s="54">
        <v>0</v>
      </c>
      <c r="AM85" s="54">
        <v>0</v>
      </c>
      <c r="AN85" s="54">
        <v>0</v>
      </c>
      <c r="AO85" s="54"/>
      <c r="AP85" s="54"/>
    </row>
    <row r="86" spans="1:42" s="17" customFormat="1" ht="17.5" outlineLevel="1" x14ac:dyDescent="0.35">
      <c r="A86" s="32"/>
      <c r="B86" s="76" t="s">
        <v>86</v>
      </c>
      <c r="C86" s="76" t="s">
        <v>273</v>
      </c>
      <c r="D86" s="72"/>
      <c r="E86" s="54">
        <v>3137</v>
      </c>
      <c r="F86" s="54">
        <v>4152</v>
      </c>
      <c r="G86" s="54">
        <v>15912</v>
      </c>
      <c r="H86" s="54">
        <f>SUM(U86:X86)</f>
        <v>37558.995716949998</v>
      </c>
      <c r="I86" s="54">
        <v>68448.972478555603</v>
      </c>
      <c r="J86" s="54">
        <v>0</v>
      </c>
      <c r="K86" s="54">
        <f t="shared" si="100"/>
        <v>0</v>
      </c>
      <c r="L86" s="54">
        <f t="shared" si="96"/>
        <v>0</v>
      </c>
      <c r="M86" s="54"/>
      <c r="N86" s="54"/>
      <c r="O86" s="71"/>
      <c r="P86" s="54"/>
      <c r="Q86" s="54">
        <v>1995</v>
      </c>
      <c r="R86" s="54">
        <v>3432</v>
      </c>
      <c r="S86" s="54">
        <v>6563</v>
      </c>
      <c r="T86" s="54">
        <v>3922</v>
      </c>
      <c r="U86" s="54">
        <v>7547</v>
      </c>
      <c r="V86" s="54">
        <v>15099</v>
      </c>
      <c r="W86" s="54">
        <v>14912.995716949998</v>
      </c>
      <c r="X86" s="54">
        <v>0</v>
      </c>
      <c r="Y86" s="54">
        <v>11998</v>
      </c>
      <c r="Z86" s="54">
        <v>12385.313</v>
      </c>
      <c r="AA86" s="54">
        <v>27437.533857655599</v>
      </c>
      <c r="AB86" s="54">
        <v>16628.125620899998</v>
      </c>
      <c r="AC86" s="54">
        <v>0</v>
      </c>
      <c r="AD86" s="54">
        <v>0</v>
      </c>
      <c r="AE86" s="54">
        <v>0</v>
      </c>
      <c r="AF86" s="54">
        <v>0</v>
      </c>
      <c r="AG86" s="54">
        <v>0</v>
      </c>
      <c r="AH86" s="54">
        <v>0</v>
      </c>
      <c r="AI86" s="54">
        <v>0</v>
      </c>
      <c r="AJ86" s="54">
        <v>0</v>
      </c>
      <c r="AK86" s="54">
        <v>0</v>
      </c>
      <c r="AL86" s="54">
        <v>0</v>
      </c>
      <c r="AM86" s="54">
        <v>0</v>
      </c>
      <c r="AN86" s="54">
        <v>0</v>
      </c>
      <c r="AO86" s="54"/>
      <c r="AP86" s="54"/>
    </row>
    <row r="87" spans="1:42" s="17" customFormat="1" ht="17.5" outlineLevel="1" x14ac:dyDescent="0.35">
      <c r="A87" s="32"/>
      <c r="B87" s="76" t="s">
        <v>89</v>
      </c>
      <c r="C87" s="76" t="s">
        <v>325</v>
      </c>
      <c r="D87" s="72"/>
      <c r="E87" s="54">
        <v>0</v>
      </c>
      <c r="F87" s="54">
        <v>0</v>
      </c>
      <c r="G87" s="54">
        <v>0</v>
      </c>
      <c r="H87" s="54">
        <f>SUM(U87:X87)</f>
        <v>2934</v>
      </c>
      <c r="I87" s="54">
        <v>0</v>
      </c>
      <c r="J87" s="54">
        <v>0</v>
      </c>
      <c r="K87" s="54">
        <f t="shared" si="100"/>
        <v>0</v>
      </c>
      <c r="L87" s="54">
        <f t="shared" si="96"/>
        <v>0</v>
      </c>
      <c r="M87" s="54"/>
      <c r="N87" s="54"/>
      <c r="O87" s="71"/>
      <c r="P87" s="54"/>
      <c r="Q87" s="54">
        <v>0</v>
      </c>
      <c r="R87" s="54">
        <v>0</v>
      </c>
      <c r="S87" s="54">
        <v>0</v>
      </c>
      <c r="T87" s="54">
        <v>0</v>
      </c>
      <c r="U87" s="54">
        <v>0</v>
      </c>
      <c r="V87" s="54">
        <v>2934</v>
      </c>
      <c r="W87" s="54">
        <v>0</v>
      </c>
      <c r="X87" s="54">
        <v>0</v>
      </c>
      <c r="Y87" s="54">
        <v>0</v>
      </c>
      <c r="Z87" s="54">
        <v>0</v>
      </c>
      <c r="AA87" s="54">
        <v>0</v>
      </c>
      <c r="AB87" s="54">
        <v>0</v>
      </c>
      <c r="AC87" s="54">
        <v>0</v>
      </c>
      <c r="AD87" s="54">
        <v>0</v>
      </c>
      <c r="AE87" s="54">
        <v>0</v>
      </c>
      <c r="AF87" s="54">
        <v>0</v>
      </c>
      <c r="AG87" s="54">
        <v>0</v>
      </c>
      <c r="AH87" s="54">
        <v>0</v>
      </c>
      <c r="AI87" s="54">
        <v>0</v>
      </c>
      <c r="AJ87" s="54">
        <v>0</v>
      </c>
      <c r="AK87" s="54">
        <v>0</v>
      </c>
      <c r="AL87" s="54">
        <v>0</v>
      </c>
      <c r="AM87" s="54"/>
      <c r="AN87" s="54"/>
      <c r="AO87" s="54"/>
      <c r="AP87" s="54"/>
    </row>
    <row r="88" spans="1:42" s="17" customFormat="1" ht="17.5" outlineLevel="1" x14ac:dyDescent="0.35">
      <c r="A88" s="32"/>
      <c r="B88" s="76" t="s">
        <v>292</v>
      </c>
      <c r="C88" s="76" t="s">
        <v>275</v>
      </c>
      <c r="D88" s="72"/>
      <c r="E88" s="54">
        <v>0</v>
      </c>
      <c r="F88" s="54">
        <v>0</v>
      </c>
      <c r="G88" s="54">
        <v>0</v>
      </c>
      <c r="H88" s="54">
        <f>SUM(U88:X88)</f>
        <v>12842.720700000002</v>
      </c>
      <c r="I88" s="54">
        <v>0</v>
      </c>
      <c r="J88" s="54">
        <v>0</v>
      </c>
      <c r="K88" s="54">
        <f t="shared" si="100"/>
        <v>0</v>
      </c>
      <c r="L88" s="54">
        <f t="shared" si="96"/>
        <v>0</v>
      </c>
      <c r="M88" s="54"/>
      <c r="N88" s="54"/>
      <c r="O88" s="71"/>
      <c r="P88" s="54"/>
      <c r="Q88" s="54">
        <v>0</v>
      </c>
      <c r="R88" s="54">
        <v>0</v>
      </c>
      <c r="S88" s="54">
        <v>0</v>
      </c>
      <c r="T88" s="54">
        <v>0</v>
      </c>
      <c r="U88" s="54">
        <v>0</v>
      </c>
      <c r="V88" s="54">
        <v>0</v>
      </c>
      <c r="W88" s="54">
        <v>2843.0962700000018</v>
      </c>
      <c r="X88" s="54">
        <v>9999.6244299999998</v>
      </c>
      <c r="Y88" s="54">
        <v>0</v>
      </c>
      <c r="Z88" s="54">
        <v>0</v>
      </c>
      <c r="AA88" s="54">
        <v>0</v>
      </c>
      <c r="AB88" s="54">
        <v>0</v>
      </c>
      <c r="AC88" s="54">
        <v>0</v>
      </c>
      <c r="AD88" s="54">
        <v>0</v>
      </c>
      <c r="AE88" s="54">
        <v>0</v>
      </c>
      <c r="AF88" s="54">
        <v>0</v>
      </c>
      <c r="AG88" s="54">
        <v>0</v>
      </c>
      <c r="AH88" s="54">
        <v>0</v>
      </c>
      <c r="AI88" s="54">
        <v>0</v>
      </c>
      <c r="AJ88" s="54">
        <v>0</v>
      </c>
      <c r="AK88" s="54">
        <v>0</v>
      </c>
      <c r="AL88" s="54">
        <v>0</v>
      </c>
      <c r="AM88" s="54"/>
      <c r="AN88" s="54"/>
      <c r="AO88" s="54"/>
      <c r="AP88" s="54"/>
    </row>
    <row r="89" spans="1:42" s="17" customFormat="1" ht="17.5" outlineLevel="1" x14ac:dyDescent="0.35">
      <c r="A89" s="32"/>
      <c r="B89" s="91" t="s">
        <v>126</v>
      </c>
      <c r="C89" s="91" t="s">
        <v>326</v>
      </c>
      <c r="D89" s="92"/>
      <c r="E89" s="93">
        <v>0</v>
      </c>
      <c r="F89" s="93">
        <v>0</v>
      </c>
      <c r="G89" s="93">
        <v>0</v>
      </c>
      <c r="H89" s="93">
        <f>SUM(U89:X89)</f>
        <v>12059</v>
      </c>
      <c r="I89" s="93">
        <v>0</v>
      </c>
      <c r="J89" s="93">
        <v>0</v>
      </c>
      <c r="K89" s="93">
        <f t="shared" si="100"/>
        <v>0</v>
      </c>
      <c r="L89" s="93">
        <f t="shared" si="96"/>
        <v>0</v>
      </c>
      <c r="M89" s="94"/>
      <c r="N89" s="94"/>
      <c r="O89" s="71"/>
      <c r="P89" s="72"/>
      <c r="Q89" s="93">
        <v>0</v>
      </c>
      <c r="R89" s="93">
        <v>0</v>
      </c>
      <c r="S89" s="93">
        <v>0</v>
      </c>
      <c r="T89" s="93">
        <v>0</v>
      </c>
      <c r="U89" s="93">
        <v>0</v>
      </c>
      <c r="V89" s="93">
        <v>0</v>
      </c>
      <c r="W89" s="93">
        <v>12059</v>
      </c>
      <c r="X89" s="93">
        <v>0</v>
      </c>
      <c r="Y89" s="93">
        <v>0</v>
      </c>
      <c r="Z89" s="93">
        <v>0</v>
      </c>
      <c r="AA89" s="93">
        <v>0</v>
      </c>
      <c r="AB89" s="93">
        <v>0</v>
      </c>
      <c r="AC89" s="93">
        <v>0</v>
      </c>
      <c r="AD89" s="93">
        <v>0</v>
      </c>
      <c r="AE89" s="93">
        <v>0</v>
      </c>
      <c r="AF89" s="93">
        <v>0</v>
      </c>
      <c r="AG89" s="93">
        <v>0</v>
      </c>
      <c r="AH89" s="93">
        <v>0</v>
      </c>
      <c r="AI89" s="93">
        <v>0</v>
      </c>
      <c r="AJ89" s="93">
        <v>0</v>
      </c>
      <c r="AK89" s="93">
        <v>0</v>
      </c>
      <c r="AL89" s="93">
        <v>0</v>
      </c>
      <c r="AM89" s="93">
        <v>0</v>
      </c>
      <c r="AN89" s="93">
        <v>0</v>
      </c>
      <c r="AO89" s="94"/>
      <c r="AP89" s="94"/>
    </row>
    <row r="90" spans="1:42" s="17" customFormat="1" ht="17.5" x14ac:dyDescent="0.35">
      <c r="A90" s="32"/>
      <c r="B90" s="73" t="s">
        <v>127</v>
      </c>
      <c r="C90" s="73" t="s">
        <v>271</v>
      </c>
      <c r="D90" s="79"/>
      <c r="E90" s="55">
        <f t="shared" ref="E90:J90" si="101">SUM(E74:E89)</f>
        <v>18506</v>
      </c>
      <c r="F90" s="55">
        <f t="shared" si="101"/>
        <v>35704</v>
      </c>
      <c r="G90" s="55">
        <f t="shared" si="101"/>
        <v>53543</v>
      </c>
      <c r="H90" s="55">
        <f t="shared" si="101"/>
        <v>133961.32462694997</v>
      </c>
      <c r="I90" s="55">
        <f t="shared" si="101"/>
        <v>381705.97247855563</v>
      </c>
      <c r="J90" s="55">
        <f t="shared" si="101"/>
        <v>456678.8770898456</v>
      </c>
      <c r="K90" s="55">
        <f t="shared" si="95"/>
        <v>455077.2853094592</v>
      </c>
      <c r="L90" s="55">
        <f t="shared" si="96"/>
        <v>708216.02158947475</v>
      </c>
      <c r="M90" s="74">
        <f t="shared" ref="M90" si="102">K90/J90-1</f>
        <v>-3.507041513705289E-3</v>
      </c>
      <c r="N90" s="74">
        <f t="shared" ref="N90" si="103">L90/K90-1</f>
        <v>0.55625438678592265</v>
      </c>
      <c r="O90" s="71"/>
      <c r="P90" s="72"/>
      <c r="Q90" s="55">
        <f t="shared" ref="Q90:Y90" si="104">SUM(Q74:Q89)</f>
        <v>5666</v>
      </c>
      <c r="R90" s="55">
        <f t="shared" si="104"/>
        <v>15797</v>
      </c>
      <c r="S90" s="55">
        <f t="shared" si="104"/>
        <v>18060.336889999999</v>
      </c>
      <c r="T90" s="55">
        <f t="shared" si="104"/>
        <v>13784.663109999998</v>
      </c>
      <c r="U90" s="55">
        <f t="shared" si="104"/>
        <v>11775</v>
      </c>
      <c r="V90" s="55">
        <f t="shared" si="104"/>
        <v>38202</v>
      </c>
      <c r="W90" s="55">
        <f t="shared" si="104"/>
        <v>60271.091986949999</v>
      </c>
      <c r="X90" s="55">
        <f t="shared" si="104"/>
        <v>23713.232640000006</v>
      </c>
      <c r="Y90" s="55">
        <f t="shared" si="104"/>
        <v>92821.577838148951</v>
      </c>
      <c r="Z90" s="55">
        <v>55595.735161851044</v>
      </c>
      <c r="AA90" s="55">
        <f t="shared" ref="AA90:AL90" si="105">SUM(AA74:AA89)</f>
        <v>-41353.466142344405</v>
      </c>
      <c r="AB90" s="55">
        <f t="shared" si="105"/>
        <v>240107.12562090001</v>
      </c>
      <c r="AC90" s="55">
        <f t="shared" si="105"/>
        <v>105576.13054000001</v>
      </c>
      <c r="AD90" s="55">
        <f t="shared" si="105"/>
        <v>122763.50107186107</v>
      </c>
      <c r="AE90" s="55">
        <f t="shared" si="105"/>
        <v>142044.43980115242</v>
      </c>
      <c r="AF90" s="55">
        <f t="shared" si="105"/>
        <v>118369.34536105805</v>
      </c>
      <c r="AG90" s="55">
        <f t="shared" si="105"/>
        <v>125429.25965326282</v>
      </c>
      <c r="AH90" s="55">
        <f t="shared" si="105"/>
        <v>111505.79249197265</v>
      </c>
      <c r="AI90" s="55">
        <f t="shared" si="105"/>
        <v>157630.37938945927</v>
      </c>
      <c r="AJ90" s="55">
        <f t="shared" si="105"/>
        <v>60511.853774764444</v>
      </c>
      <c r="AK90" s="55">
        <f t="shared" si="105"/>
        <v>345324.88150600425</v>
      </c>
      <c r="AL90" s="55">
        <f t="shared" si="105"/>
        <v>99560.24509599217</v>
      </c>
      <c r="AM90" s="55">
        <f>SUM(AM74:AM85)</f>
        <v>134674.76631296429</v>
      </c>
      <c r="AN90" s="55">
        <f>SUM(AN74:AN85)</f>
        <v>128656.12867451407</v>
      </c>
      <c r="AO90" s="74">
        <f t="shared" ref="AO90" si="106">AN90/AJ90-1</f>
        <v>1.1261310082053404</v>
      </c>
      <c r="AP90" s="74">
        <f t="shared" ref="AP90" si="107">AN90/AM90-1</f>
        <v>-4.4690165821144268E-2</v>
      </c>
    </row>
    <row r="91" spans="1:42" s="17" customFormat="1" ht="17.5" x14ac:dyDescent="0.35">
      <c r="A91" s="32"/>
      <c r="B91" s="76" t="s">
        <v>533</v>
      </c>
      <c r="C91" s="76" t="s">
        <v>383</v>
      </c>
      <c r="D91" s="72"/>
      <c r="E91" s="84">
        <f t="shared" ref="E91:L91" si="108">E90/E57</f>
        <v>0.948879659539558</v>
      </c>
      <c r="F91" s="84">
        <f t="shared" si="108"/>
        <v>1.1883508071226494</v>
      </c>
      <c r="G91" s="84">
        <f t="shared" si="108"/>
        <v>0.94612312694373768</v>
      </c>
      <c r="H91" s="84">
        <f t="shared" si="108"/>
        <v>0.68495438945760478</v>
      </c>
      <c r="I91" s="84">
        <f t="shared" si="108"/>
        <v>0.87859384022261577</v>
      </c>
      <c r="J91" s="84">
        <f t="shared" si="108"/>
        <v>0.75371615108333445</v>
      </c>
      <c r="K91" s="84">
        <f t="shared" si="108"/>
        <v>0.64760210694508635</v>
      </c>
      <c r="L91" s="84">
        <f t="shared" si="108"/>
        <v>0.99979238837619855</v>
      </c>
      <c r="M91" s="72"/>
      <c r="N91" s="72"/>
      <c r="O91" s="71"/>
      <c r="P91" s="72"/>
      <c r="Q91" s="84">
        <f t="shared" ref="Q91:AN91" si="109">Q90/Q55</f>
        <v>0.58514923061034807</v>
      </c>
      <c r="R91" s="84">
        <f t="shared" si="109"/>
        <v>1.3701968947870586</v>
      </c>
      <c r="S91" s="84">
        <f t="shared" si="109"/>
        <v>1.2283572816593149</v>
      </c>
      <c r="T91" s="84">
        <f t="shared" si="109"/>
        <v>0.66666123926188492</v>
      </c>
      <c r="U91" s="84">
        <f t="shared" si="109"/>
        <v>0.43421343756914227</v>
      </c>
      <c r="V91" s="84">
        <f t="shared" si="109"/>
        <v>0.9939378170937947</v>
      </c>
      <c r="W91" s="84">
        <f t="shared" si="109"/>
        <v>1.1376841268276798</v>
      </c>
      <c r="X91" s="84">
        <f t="shared" si="109"/>
        <v>0.3077761968668476</v>
      </c>
      <c r="Y91" s="84">
        <f t="shared" si="109"/>
        <v>1.058966354125346</v>
      </c>
      <c r="Z91" s="84">
        <f t="shared" si="109"/>
        <v>0.54105665143791037</v>
      </c>
      <c r="AA91" s="84">
        <f t="shared" si="109"/>
        <v>-0.35068193772499345</v>
      </c>
      <c r="AB91" s="84">
        <f t="shared" si="109"/>
        <v>1.9037838712101871</v>
      </c>
      <c r="AC91" s="84">
        <f t="shared" si="109"/>
        <v>0.88074789181703672</v>
      </c>
      <c r="AD91" s="84">
        <f t="shared" si="109"/>
        <v>0.81442721759805936</v>
      </c>
      <c r="AE91" s="84">
        <f t="shared" si="109"/>
        <v>0.8417198886027224</v>
      </c>
      <c r="AF91" s="84">
        <f t="shared" si="109"/>
        <v>0.71075197915863386</v>
      </c>
      <c r="AG91" s="84">
        <f t="shared" si="109"/>
        <v>0.71863170783184749</v>
      </c>
      <c r="AH91" s="84">
        <f t="shared" si="109"/>
        <v>0.66306848416919684</v>
      </c>
      <c r="AI91" s="84">
        <f t="shared" si="109"/>
        <v>0.85451207781963201</v>
      </c>
      <c r="AJ91" s="84">
        <f t="shared" si="109"/>
        <v>0.36156874268904954</v>
      </c>
      <c r="AK91" s="84">
        <f t="shared" si="109"/>
        <v>2.366777088528301</v>
      </c>
      <c r="AL91" s="84">
        <f t="shared" si="109"/>
        <v>0.62885097122597189</v>
      </c>
      <c r="AM91" s="84">
        <f t="shared" si="109"/>
        <v>0.67625594373476594</v>
      </c>
      <c r="AN91" s="84">
        <f t="shared" si="109"/>
        <v>0.7739087170574982</v>
      </c>
      <c r="AO91" s="72"/>
      <c r="AP91" s="72"/>
    </row>
    <row r="92" spans="1:42" s="17" customFormat="1" x14ac:dyDescent="0.35">
      <c r="A92" s="33" t="s">
        <v>140</v>
      </c>
      <c r="B92" s="72"/>
      <c r="C92" s="72"/>
      <c r="D92" s="72"/>
      <c r="E92" s="107"/>
      <c r="F92" s="107"/>
      <c r="G92" s="107"/>
      <c r="H92" s="107"/>
      <c r="I92" s="107"/>
      <c r="J92" s="107"/>
      <c r="K92" s="107"/>
      <c r="L92" s="107"/>
      <c r="M92" s="72"/>
      <c r="N92" s="72"/>
      <c r="O92" s="71"/>
      <c r="P92" s="72"/>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72"/>
      <c r="AP92" s="72"/>
    </row>
    <row r="93" spans="1:42" s="17" customFormat="1" ht="17.5" x14ac:dyDescent="0.35">
      <c r="A93" s="32"/>
      <c r="B93" s="69" t="s">
        <v>75</v>
      </c>
      <c r="C93" s="69" t="s">
        <v>276</v>
      </c>
      <c r="D93" s="70"/>
      <c r="E93" s="70"/>
      <c r="F93" s="70"/>
      <c r="G93" s="70"/>
      <c r="H93" s="70"/>
      <c r="I93" s="70"/>
      <c r="J93" s="70"/>
      <c r="K93" s="70"/>
      <c r="L93" s="70"/>
      <c r="M93" s="70"/>
      <c r="N93" s="70"/>
      <c r="O93" s="71"/>
      <c r="P93" s="72"/>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row>
    <row r="94" spans="1:42" s="17" customFormat="1" ht="6.75" customHeight="1" outlineLevel="1" x14ac:dyDescent="0.35">
      <c r="A94" s="32"/>
      <c r="B94" s="72"/>
      <c r="C94" s="72"/>
      <c r="D94" s="72"/>
      <c r="E94" s="72"/>
      <c r="F94" s="72"/>
      <c r="G94" s="72"/>
      <c r="H94" s="72"/>
      <c r="I94" s="72"/>
      <c r="J94" s="72"/>
      <c r="K94" s="72"/>
      <c r="L94" s="72"/>
      <c r="M94" s="72"/>
      <c r="N94" s="72"/>
      <c r="O94" s="71"/>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row>
    <row r="95" spans="1:42" s="17" customFormat="1" ht="17.5" outlineLevel="1" x14ac:dyDescent="0.35">
      <c r="A95" s="32"/>
      <c r="B95" s="76" t="s">
        <v>128</v>
      </c>
      <c r="C95" s="76" t="s">
        <v>327</v>
      </c>
      <c r="D95" s="72"/>
      <c r="E95" s="54">
        <v>15247</v>
      </c>
      <c r="F95" s="54">
        <v>27070</v>
      </c>
      <c r="G95" s="54">
        <v>64963</v>
      </c>
      <c r="H95" s="54">
        <f>'BP - Balance Sheet'!H31</f>
        <v>163742</v>
      </c>
      <c r="I95" s="54">
        <v>56580</v>
      </c>
      <c r="J95" s="54">
        <v>261370</v>
      </c>
      <c r="K95" s="54">
        <f>AJ95</f>
        <v>73555.362999999998</v>
      </c>
      <c r="L95" s="54">
        <f>AN95</f>
        <v>60807.046000000002</v>
      </c>
      <c r="M95" s="84">
        <f t="shared" ref="M95:M99" si="110">K95/J95-1</f>
        <v>-0.71857763706622801</v>
      </c>
      <c r="N95" s="84">
        <f t="shared" ref="N95:N99" si="111">L95/K95-1</f>
        <v>-0.17331594162617336</v>
      </c>
      <c r="O95" s="71"/>
      <c r="P95" s="72"/>
      <c r="Q95" s="54">
        <f>'BP - Balance Sheet'!Q31</f>
        <v>27221</v>
      </c>
      <c r="R95" s="54">
        <f>'BP - Balance Sheet'!R31</f>
        <v>27029</v>
      </c>
      <c r="S95" s="54">
        <f>'BP - Balance Sheet'!S31</f>
        <v>41489</v>
      </c>
      <c r="T95" s="54">
        <f>'BP - Balance Sheet'!T31</f>
        <v>64963</v>
      </c>
      <c r="U95" s="54">
        <f>'BP - Balance Sheet'!U31</f>
        <v>78358</v>
      </c>
      <c r="V95" s="54">
        <f>'BP - Balance Sheet'!V31</f>
        <v>83984</v>
      </c>
      <c r="W95" s="54">
        <f>'BP - Balance Sheet'!W31</f>
        <v>124893</v>
      </c>
      <c r="X95" s="54">
        <f>'BP - Balance Sheet'!X31</f>
        <v>163742</v>
      </c>
      <c r="Y95" s="54">
        <v>190376</v>
      </c>
      <c r="Z95" s="54">
        <v>124856</v>
      </c>
      <c r="AA95" s="54">
        <v>95102</v>
      </c>
      <c r="AB95" s="54">
        <v>56580</v>
      </c>
      <c r="AC95" s="54">
        <v>126671</v>
      </c>
      <c r="AD95" s="54">
        <v>64454</v>
      </c>
      <c r="AE95" s="54">
        <v>126640</v>
      </c>
      <c r="AF95" s="54">
        <v>261370</v>
      </c>
      <c r="AG95" s="54">
        <v>366950</v>
      </c>
      <c r="AH95" s="54">
        <v>343902</v>
      </c>
      <c r="AI95" s="54">
        <v>379004.86200000002</v>
      </c>
      <c r="AJ95" s="54">
        <f>73.555363*1000</f>
        <v>73555.362999999998</v>
      </c>
      <c r="AK95" s="54">
        <v>50478.559000000001</v>
      </c>
      <c r="AL95" s="54">
        <v>83573.263000000006</v>
      </c>
      <c r="AM95" s="54">
        <f>'BP - Balance Sheet'!AM31</f>
        <v>50678.697999999997</v>
      </c>
      <c r="AN95" s="54">
        <f>'BP - Balance Sheet'!AN31</f>
        <v>60807.046000000002</v>
      </c>
      <c r="AO95" s="84">
        <f t="shared" ref="AO95:AO99" si="112">AN95/AJ95-1</f>
        <v>-0.17331594162617336</v>
      </c>
      <c r="AP95" s="84">
        <f t="shared" ref="AP95:AP99" si="113">AN95/AM95-1</f>
        <v>0.19985414779203703</v>
      </c>
    </row>
    <row r="96" spans="1:42" s="17" customFormat="1" ht="17.5" outlineLevel="1" x14ac:dyDescent="0.35">
      <c r="A96" s="32"/>
      <c r="B96" s="110" t="s">
        <v>129</v>
      </c>
      <c r="C96" s="110" t="s">
        <v>328</v>
      </c>
      <c r="D96" s="111"/>
      <c r="E96" s="112">
        <v>33543</v>
      </c>
      <c r="F96" s="112">
        <v>45754</v>
      </c>
      <c r="G96" s="112">
        <v>223592</v>
      </c>
      <c r="H96" s="112">
        <f>'BP - Balance Sheet'!H43</f>
        <v>1710082</v>
      </c>
      <c r="I96" s="112">
        <v>2008093</v>
      </c>
      <c r="J96" s="112">
        <v>1788717</v>
      </c>
      <c r="K96" s="112">
        <f t="shared" ref="K96:K99" si="114">AJ96</f>
        <v>2316814.1599999997</v>
      </c>
      <c r="L96" s="112">
        <f t="shared" ref="L96:L99" si="115">AN96</f>
        <v>2796072.93506</v>
      </c>
      <c r="M96" s="113">
        <f t="shared" si="110"/>
        <v>0.29523796106371192</v>
      </c>
      <c r="N96" s="113">
        <f t="shared" si="111"/>
        <v>0.20686112133396173</v>
      </c>
      <c r="O96" s="71"/>
      <c r="P96" s="72"/>
      <c r="Q96" s="112">
        <f>'BP - Balance Sheet'!Q43</f>
        <v>67713</v>
      </c>
      <c r="R96" s="112">
        <f>'BP - Balance Sheet'!R43</f>
        <v>83162</v>
      </c>
      <c r="S96" s="112">
        <f>'BP - Balance Sheet'!S43</f>
        <v>180474</v>
      </c>
      <c r="T96" s="112">
        <f>'BP - Balance Sheet'!T43</f>
        <v>223592</v>
      </c>
      <c r="U96" s="112">
        <f>'BP - Balance Sheet'!U43</f>
        <v>323020</v>
      </c>
      <c r="V96" s="112">
        <f>'BP - Balance Sheet'!V43</f>
        <v>524767</v>
      </c>
      <c r="W96" s="112">
        <f>'BP - Balance Sheet'!W43</f>
        <v>597846</v>
      </c>
      <c r="X96" s="112">
        <f>'BP - Balance Sheet'!X43</f>
        <v>1710082</v>
      </c>
      <c r="Y96" s="112">
        <v>1600634</v>
      </c>
      <c r="Z96" s="112">
        <v>1445087</v>
      </c>
      <c r="AA96" s="112">
        <v>1716675</v>
      </c>
      <c r="AB96" s="112">
        <v>2008093</v>
      </c>
      <c r="AC96" s="112">
        <v>2001548</v>
      </c>
      <c r="AD96" s="112">
        <v>1992595</v>
      </c>
      <c r="AE96" s="112">
        <v>1990287</v>
      </c>
      <c r="AF96" s="112">
        <v>1788717</v>
      </c>
      <c r="AG96" s="112">
        <v>2433112</v>
      </c>
      <c r="AH96" s="112">
        <v>2423527</v>
      </c>
      <c r="AI96" s="112">
        <v>2425763.02</v>
      </c>
      <c r="AJ96" s="112">
        <f>2316.81416*1000</f>
        <v>2316814.1599999997</v>
      </c>
      <c r="AK96" s="112">
        <v>2327233.0669999998</v>
      </c>
      <c r="AL96" s="112">
        <v>2333031.1919999998</v>
      </c>
      <c r="AM96" s="112">
        <f>'BP - Balance Sheet'!AM43</f>
        <v>2335330.7519999999</v>
      </c>
      <c r="AN96" s="112">
        <f>'BP - Balance Sheet'!AN43</f>
        <v>2796072.93506</v>
      </c>
      <c r="AO96" s="113">
        <f t="shared" si="112"/>
        <v>0.20686112133396173</v>
      </c>
      <c r="AP96" s="113">
        <f t="shared" si="113"/>
        <v>0.19729204639018105</v>
      </c>
    </row>
    <row r="97" spans="1:44" s="17" customFormat="1" ht="17.5" outlineLevel="1" x14ac:dyDescent="0.35">
      <c r="A97" s="32"/>
      <c r="B97" s="73" t="s">
        <v>76</v>
      </c>
      <c r="C97" s="73" t="s">
        <v>277</v>
      </c>
      <c r="D97" s="79"/>
      <c r="E97" s="55">
        <f t="shared" ref="E97:J97" si="116">SUM(E95:E96)</f>
        <v>48790</v>
      </c>
      <c r="F97" s="55">
        <f t="shared" si="116"/>
        <v>72824</v>
      </c>
      <c r="G97" s="55">
        <f t="shared" si="116"/>
        <v>288555</v>
      </c>
      <c r="H97" s="55">
        <f t="shared" si="116"/>
        <v>1873824</v>
      </c>
      <c r="I97" s="55">
        <f t="shared" si="116"/>
        <v>2064673</v>
      </c>
      <c r="J97" s="55">
        <f t="shared" si="116"/>
        <v>2050087</v>
      </c>
      <c r="K97" s="55">
        <f t="shared" si="114"/>
        <v>2390369.5229999996</v>
      </c>
      <c r="L97" s="55">
        <f t="shared" si="115"/>
        <v>2856879.9810600001</v>
      </c>
      <c r="M97" s="74">
        <f t="shared" si="110"/>
        <v>0.16598443041685518</v>
      </c>
      <c r="N97" s="74">
        <f t="shared" si="111"/>
        <v>0.19516248578776763</v>
      </c>
      <c r="O97" s="71"/>
      <c r="P97" s="72"/>
      <c r="Q97" s="55">
        <f t="shared" ref="Q97:AI97" si="117">SUM(Q95:Q96)</f>
        <v>94934</v>
      </c>
      <c r="R97" s="55">
        <f t="shared" si="117"/>
        <v>110191</v>
      </c>
      <c r="S97" s="55">
        <f t="shared" si="117"/>
        <v>221963</v>
      </c>
      <c r="T97" s="55">
        <f t="shared" si="117"/>
        <v>288555</v>
      </c>
      <c r="U97" s="55">
        <f t="shared" si="117"/>
        <v>401378</v>
      </c>
      <c r="V97" s="55">
        <f t="shared" si="117"/>
        <v>608751</v>
      </c>
      <c r="W97" s="55">
        <f t="shared" si="117"/>
        <v>722739</v>
      </c>
      <c r="X97" s="55">
        <f t="shared" si="117"/>
        <v>1873824</v>
      </c>
      <c r="Y97" s="55">
        <f t="shared" si="117"/>
        <v>1791010</v>
      </c>
      <c r="Z97" s="55">
        <v>1569943</v>
      </c>
      <c r="AA97" s="55">
        <f t="shared" si="117"/>
        <v>1811777</v>
      </c>
      <c r="AB97" s="55">
        <f t="shared" si="117"/>
        <v>2064673</v>
      </c>
      <c r="AC97" s="55">
        <f t="shared" si="117"/>
        <v>2128219</v>
      </c>
      <c r="AD97" s="55">
        <f t="shared" si="117"/>
        <v>2057049</v>
      </c>
      <c r="AE97" s="55">
        <f t="shared" si="117"/>
        <v>2116927</v>
      </c>
      <c r="AF97" s="55">
        <f t="shared" si="117"/>
        <v>2050087</v>
      </c>
      <c r="AG97" s="55">
        <f t="shared" si="117"/>
        <v>2800062</v>
      </c>
      <c r="AH97" s="55">
        <f t="shared" si="117"/>
        <v>2767429</v>
      </c>
      <c r="AI97" s="55">
        <f t="shared" si="117"/>
        <v>2804767.8820000002</v>
      </c>
      <c r="AJ97" s="55">
        <f t="shared" ref="AJ97:AK97" si="118">SUM(AJ95:AJ96)</f>
        <v>2390369.5229999996</v>
      </c>
      <c r="AK97" s="55">
        <f t="shared" si="118"/>
        <v>2377711.6259999997</v>
      </c>
      <c r="AL97" s="55">
        <f t="shared" ref="AL97:AM97" si="119">SUM(AL95:AL96)</f>
        <v>2416604.4549999996</v>
      </c>
      <c r="AM97" s="55">
        <f t="shared" si="119"/>
        <v>2386009.4499999997</v>
      </c>
      <c r="AN97" s="55">
        <f t="shared" ref="AN97" si="120">SUM(AN95:AN96)</f>
        <v>2856879.9810600001</v>
      </c>
      <c r="AO97" s="74">
        <f t="shared" si="112"/>
        <v>0.19516248578776763</v>
      </c>
      <c r="AP97" s="74">
        <f t="shared" si="113"/>
        <v>0.19734646527070554</v>
      </c>
      <c r="AR97" s="34"/>
    </row>
    <row r="98" spans="1:44" s="17" customFormat="1" ht="17.5" outlineLevel="1" x14ac:dyDescent="0.35">
      <c r="A98" s="32"/>
      <c r="B98" s="91" t="s">
        <v>368</v>
      </c>
      <c r="C98" s="91" t="s">
        <v>181</v>
      </c>
      <c r="D98" s="92"/>
      <c r="E98" s="93">
        <v>-2460</v>
      </c>
      <c r="F98" s="93">
        <v>-6793</v>
      </c>
      <c r="G98" s="93">
        <v>-84767</v>
      </c>
      <c r="H98" s="93">
        <v>-1668121</v>
      </c>
      <c r="I98" s="93">
        <v>-938358</v>
      </c>
      <c r="J98" s="93">
        <v>-729595</v>
      </c>
      <c r="K98" s="93">
        <f t="shared" si="114"/>
        <v>-641486.66100000008</v>
      </c>
      <c r="L98" s="93">
        <f t="shared" si="115"/>
        <v>-1162545.0490600001</v>
      </c>
      <c r="M98" s="113">
        <f t="shared" si="110"/>
        <v>-0.12076335364140367</v>
      </c>
      <c r="N98" s="113">
        <f t="shared" si="111"/>
        <v>0.81226691019222907</v>
      </c>
      <c r="O98" s="71"/>
      <c r="P98" s="72"/>
      <c r="Q98" s="93">
        <v>-4405</v>
      </c>
      <c r="R98" s="93">
        <v>-13372</v>
      </c>
      <c r="S98" s="93">
        <v>-49038.092210000003</v>
      </c>
      <c r="T98" s="93">
        <v>-84767</v>
      </c>
      <c r="U98" s="93">
        <v>-108963</v>
      </c>
      <c r="V98" s="93">
        <v>-134925</v>
      </c>
      <c r="W98" s="93">
        <v>-892411.2876618756</v>
      </c>
      <c r="X98" s="93">
        <v>-1668121</v>
      </c>
      <c r="Y98" s="93">
        <v>-1352979</v>
      </c>
      <c r="Z98" s="93">
        <v>-883958</v>
      </c>
      <c r="AA98" s="93">
        <v>-859354</v>
      </c>
      <c r="AB98" s="93">
        <v>-938358</v>
      </c>
      <c r="AC98" s="93">
        <v>-869390</v>
      </c>
      <c r="AD98" s="93">
        <v>-762979</v>
      </c>
      <c r="AE98" s="93">
        <v>-787044</v>
      </c>
      <c r="AF98" s="93">
        <v>-729595</v>
      </c>
      <c r="AG98" s="93">
        <v>-1344971</v>
      </c>
      <c r="AH98" s="93">
        <v>-1175703.773</v>
      </c>
      <c r="AI98" s="93">
        <v>-1122961.8599999999</v>
      </c>
      <c r="AJ98" s="93">
        <f>-641.486661*1000</f>
        <v>-641486.66100000008</v>
      </c>
      <c r="AK98" s="93">
        <v>-721574.29500000004</v>
      </c>
      <c r="AL98" s="93">
        <v>-623331.99100000004</v>
      </c>
      <c r="AM98" s="93">
        <f>-('BP - Balance Sheet'!AM6+'BP - Balance Sheet'!AM7+'BP - Balance Sheet'!AM17)</f>
        <v>-629596.9850000001</v>
      </c>
      <c r="AN98" s="93">
        <f>-('BP - Balance Sheet'!AN6+'BP - Balance Sheet'!AN7+'BP - Balance Sheet'!AN17)</f>
        <v>-1162545.0490600001</v>
      </c>
      <c r="AO98" s="113">
        <f t="shared" si="112"/>
        <v>0.81226691019222907</v>
      </c>
      <c r="AP98" s="113">
        <f t="shared" si="113"/>
        <v>0.84649081357973777</v>
      </c>
    </row>
    <row r="99" spans="1:44" s="17" customFormat="1" ht="17.5" outlineLevel="1" x14ac:dyDescent="0.35">
      <c r="A99" s="32"/>
      <c r="B99" s="73" t="s">
        <v>5</v>
      </c>
      <c r="C99" s="73" t="s">
        <v>276</v>
      </c>
      <c r="D99" s="79"/>
      <c r="E99" s="55">
        <f t="shared" ref="E99:J99" si="121">E97+E98</f>
        <v>46330</v>
      </c>
      <c r="F99" s="55">
        <f t="shared" si="121"/>
        <v>66031</v>
      </c>
      <c r="G99" s="55">
        <f t="shared" si="121"/>
        <v>203788</v>
      </c>
      <c r="H99" s="55">
        <f t="shared" si="121"/>
        <v>205703</v>
      </c>
      <c r="I99" s="55">
        <f t="shared" si="121"/>
        <v>1126315</v>
      </c>
      <c r="J99" s="55">
        <f t="shared" si="121"/>
        <v>1320492</v>
      </c>
      <c r="K99" s="55">
        <f t="shared" si="114"/>
        <v>1748882.8619999995</v>
      </c>
      <c r="L99" s="55">
        <f t="shared" si="115"/>
        <v>1694334.932</v>
      </c>
      <c r="M99" s="74">
        <f t="shared" si="110"/>
        <v>0.32441761252623991</v>
      </c>
      <c r="N99" s="74">
        <f t="shared" si="111"/>
        <v>-3.1190156405111802E-2</v>
      </c>
      <c r="O99" s="71"/>
      <c r="P99" s="72"/>
      <c r="Q99" s="55">
        <f t="shared" ref="Q99:Y99" si="122">Q97+Q98</f>
        <v>90529</v>
      </c>
      <c r="R99" s="55">
        <f t="shared" si="122"/>
        <v>96819</v>
      </c>
      <c r="S99" s="55">
        <f t="shared" si="122"/>
        <v>172924.90779</v>
      </c>
      <c r="T99" s="55">
        <f t="shared" si="122"/>
        <v>203788</v>
      </c>
      <c r="U99" s="55">
        <f t="shared" si="122"/>
        <v>292415</v>
      </c>
      <c r="V99" s="55">
        <f t="shared" si="122"/>
        <v>473826</v>
      </c>
      <c r="W99" s="55">
        <f t="shared" si="122"/>
        <v>-169672.2876618756</v>
      </c>
      <c r="X99" s="55">
        <f t="shared" si="122"/>
        <v>205703</v>
      </c>
      <c r="Y99" s="55">
        <f t="shared" si="122"/>
        <v>438031</v>
      </c>
      <c r="Z99" s="55">
        <f t="shared" ref="Z99:AI99" si="123">Z97+Z98</f>
        <v>685985</v>
      </c>
      <c r="AA99" s="55">
        <f t="shared" si="123"/>
        <v>952423</v>
      </c>
      <c r="AB99" s="55">
        <f t="shared" si="123"/>
        <v>1126315</v>
      </c>
      <c r="AC99" s="55">
        <f t="shared" si="123"/>
        <v>1258829</v>
      </c>
      <c r="AD99" s="55">
        <f t="shared" si="123"/>
        <v>1294070</v>
      </c>
      <c r="AE99" s="55">
        <f t="shared" si="123"/>
        <v>1329883</v>
      </c>
      <c r="AF99" s="55">
        <f t="shared" si="123"/>
        <v>1320492</v>
      </c>
      <c r="AG99" s="55">
        <f t="shared" si="123"/>
        <v>1455091</v>
      </c>
      <c r="AH99" s="55">
        <f t="shared" si="123"/>
        <v>1591725.227</v>
      </c>
      <c r="AI99" s="55">
        <f t="shared" si="123"/>
        <v>1681806.0220000003</v>
      </c>
      <c r="AJ99" s="55">
        <f t="shared" ref="AJ99:AK99" si="124">AJ97+AJ98</f>
        <v>1748882.8619999995</v>
      </c>
      <c r="AK99" s="55">
        <f t="shared" si="124"/>
        <v>1656137.3309999998</v>
      </c>
      <c r="AL99" s="55">
        <f t="shared" ref="AL99:AN99" si="125">AL97+AL98</f>
        <v>1793272.4639999997</v>
      </c>
      <c r="AM99" s="55">
        <f t="shared" si="125"/>
        <v>1756412.4649999996</v>
      </c>
      <c r="AN99" s="55">
        <f t="shared" si="125"/>
        <v>1694334.932</v>
      </c>
      <c r="AO99" s="74">
        <f t="shared" si="112"/>
        <v>-3.1190156405111802E-2</v>
      </c>
      <c r="AP99" s="74">
        <f t="shared" si="113"/>
        <v>-3.5343368506553841E-2</v>
      </c>
    </row>
    <row r="100" spans="1:44" s="17" customFormat="1" ht="6" customHeight="1" outlineLevel="1" x14ac:dyDescent="0.35">
      <c r="A100" s="32"/>
      <c r="B100" s="73"/>
      <c r="C100" s="73"/>
      <c r="D100" s="79"/>
      <c r="E100" s="55"/>
      <c r="F100" s="55"/>
      <c r="G100" s="55"/>
      <c r="H100" s="55"/>
      <c r="I100" s="55"/>
      <c r="J100" s="55"/>
      <c r="K100" s="55"/>
      <c r="L100" s="55"/>
      <c r="M100" s="74"/>
      <c r="N100" s="74"/>
      <c r="O100" s="71"/>
      <c r="P100" s="72"/>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74"/>
      <c r="AP100" s="74"/>
    </row>
    <row r="101" spans="1:44" s="17" customFormat="1" ht="17.5" outlineLevel="1" x14ac:dyDescent="0.35">
      <c r="A101" s="32"/>
      <c r="B101" s="76" t="s">
        <v>415</v>
      </c>
      <c r="C101" s="76" t="s">
        <v>384</v>
      </c>
      <c r="D101" s="72"/>
      <c r="E101" s="114">
        <f t="shared" ref="E101:J101" si="126">E99/E49</f>
        <v>2.4229904293708486</v>
      </c>
      <c r="F101" s="114">
        <f t="shared" si="126"/>
        <v>2.2303249341349725</v>
      </c>
      <c r="G101" s="114">
        <f t="shared" si="126"/>
        <v>3.642518812447495</v>
      </c>
      <c r="H101" s="114">
        <f t="shared" si="126"/>
        <v>1.1176170166526309</v>
      </c>
      <c r="I101" s="114">
        <f t="shared" si="126"/>
        <v>2.46199833872519</v>
      </c>
      <c r="J101" s="114">
        <f t="shared" si="126"/>
        <v>2.0608890671552693</v>
      </c>
      <c r="K101" s="114">
        <f>AJ101</f>
        <v>2.3803743720090464</v>
      </c>
      <c r="L101" s="114">
        <f>AN101</f>
        <v>2.3636409798782609</v>
      </c>
      <c r="M101" s="84"/>
      <c r="N101" s="84"/>
      <c r="O101" s="71"/>
      <c r="P101" s="72"/>
      <c r="Q101" s="114">
        <v>2.7186702303372474</v>
      </c>
      <c r="R101" s="114">
        <v>2.5852180182104618</v>
      </c>
      <c r="S101" s="114">
        <v>3.6829490790939854</v>
      </c>
      <c r="T101" s="114">
        <v>3.642518812447495</v>
      </c>
      <c r="U101" s="114">
        <v>3.9882024004364429</v>
      </c>
      <c r="V101" s="114">
        <v>4.7149211403552416</v>
      </c>
      <c r="W101" s="114">
        <v>-1.2202411308510102</v>
      </c>
      <c r="X101" s="114">
        <v>1.0440875660475999</v>
      </c>
      <c r="Y101" s="114">
        <v>1.6868236816364883</v>
      </c>
      <c r="Z101" s="114">
        <v>2.0977557192615501</v>
      </c>
      <c r="AA101" s="114">
        <v>2.3832918360963404</v>
      </c>
      <c r="AB101" s="114">
        <v>2.46199833872519</v>
      </c>
      <c r="AC101" s="114">
        <v>2.5020153997209444</v>
      </c>
      <c r="AD101" s="114">
        <v>2.3413817747582302</v>
      </c>
      <c r="AE101" s="114">
        <v>2.2101947136798161</v>
      </c>
      <c r="AF101" s="114">
        <v>2.0608890671552693</v>
      </c>
      <c r="AG101" s="114">
        <f t="shared" ref="AG101:AM101" si="127">AG99/SUM(AD63:AG63)</f>
        <v>2.1286424206782848</v>
      </c>
      <c r="AH101" s="114">
        <f t="shared" si="127"/>
        <v>2.2726421618915302</v>
      </c>
      <c r="AI101" s="114">
        <f t="shared" si="127"/>
        <v>2.3212593023903931</v>
      </c>
      <c r="AJ101" s="114">
        <f t="shared" si="127"/>
        <v>2.3803743720090464</v>
      </c>
      <c r="AK101" s="114">
        <f t="shared" si="127"/>
        <v>2.3295058912629152</v>
      </c>
      <c r="AL101" s="114">
        <f t="shared" si="127"/>
        <v>2.5429051699324177</v>
      </c>
      <c r="AM101" s="114">
        <f t="shared" si="127"/>
        <v>2.4890477067797749</v>
      </c>
      <c r="AN101" s="114">
        <f>AN99/SUM(AK63:AN63)</f>
        <v>2.3636409798782609</v>
      </c>
      <c r="AO101" s="114">
        <f>AN101-AJ101</f>
        <v>-1.6733392130785507E-2</v>
      </c>
      <c r="AP101" s="114">
        <f>AN101-AM101</f>
        <v>-0.125406726901514</v>
      </c>
    </row>
    <row r="102" spans="1:44" s="17" customFormat="1" x14ac:dyDescent="0.35">
      <c r="A102" s="33" t="s">
        <v>140</v>
      </c>
      <c r="B102" s="76"/>
      <c r="C102" s="76"/>
      <c r="D102" s="72"/>
      <c r="E102" s="84"/>
      <c r="F102" s="84"/>
      <c r="G102" s="84"/>
      <c r="H102" s="84"/>
      <c r="I102" s="84"/>
      <c r="J102" s="84"/>
      <c r="K102" s="84"/>
      <c r="L102" s="84"/>
      <c r="M102" s="72"/>
      <c r="N102" s="72"/>
      <c r="O102" s="71"/>
      <c r="P102" s="72"/>
      <c r="Q102" s="72"/>
      <c r="R102" s="72"/>
      <c r="S102" s="72"/>
      <c r="T102" s="72"/>
      <c r="U102" s="84"/>
      <c r="V102" s="84"/>
      <c r="W102" s="115"/>
      <c r="X102" s="115"/>
      <c r="Y102" s="115"/>
      <c r="Z102" s="115"/>
      <c r="AA102" s="115"/>
      <c r="AB102" s="115"/>
      <c r="AC102" s="115"/>
      <c r="AD102" s="115"/>
      <c r="AE102" s="115"/>
      <c r="AF102" s="115"/>
      <c r="AG102" s="115"/>
      <c r="AH102" s="115"/>
      <c r="AI102" s="115"/>
      <c r="AJ102" s="115"/>
      <c r="AK102" s="115"/>
      <c r="AL102" s="115"/>
      <c r="AM102" s="115"/>
      <c r="AN102" s="115"/>
      <c r="AO102" s="72"/>
      <c r="AP102" s="72"/>
    </row>
    <row r="103" spans="1:44" s="17" customFormat="1" ht="17.5" x14ac:dyDescent="0.35">
      <c r="A103" s="32"/>
      <c r="B103" s="69" t="s">
        <v>6</v>
      </c>
      <c r="C103" s="69" t="s">
        <v>278</v>
      </c>
      <c r="D103" s="70"/>
      <c r="E103" s="70"/>
      <c r="F103" s="70"/>
      <c r="G103" s="70"/>
      <c r="H103" s="70"/>
      <c r="I103" s="70"/>
      <c r="J103" s="70"/>
      <c r="K103" s="70"/>
      <c r="L103" s="70"/>
      <c r="M103" s="70"/>
      <c r="N103" s="70"/>
      <c r="O103" s="71"/>
      <c r="P103" s="72"/>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row>
    <row r="104" spans="1:44" s="17" customFormat="1" ht="6.75" hidden="1" customHeight="1" outlineLevel="1" x14ac:dyDescent="0.35">
      <c r="A104" s="32"/>
      <c r="B104" s="72"/>
      <c r="C104" s="72"/>
      <c r="D104" s="72"/>
      <c r="E104" s="72"/>
      <c r="F104" s="72"/>
      <c r="G104" s="72"/>
      <c r="H104" s="72"/>
      <c r="I104" s="72"/>
      <c r="J104" s="72"/>
      <c r="K104" s="72"/>
      <c r="L104" s="72"/>
      <c r="M104" s="72"/>
      <c r="N104" s="72"/>
      <c r="O104" s="71"/>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row>
    <row r="105" spans="1:44" s="17" customFormat="1" ht="17.5" hidden="1" outlineLevel="1" x14ac:dyDescent="0.35">
      <c r="A105" s="32"/>
      <c r="B105" s="76" t="s">
        <v>380</v>
      </c>
      <c r="C105" s="76" t="s">
        <v>385</v>
      </c>
      <c r="D105" s="72"/>
      <c r="E105" s="54">
        <v>14946</v>
      </c>
      <c r="F105" s="54">
        <v>23044</v>
      </c>
      <c r="G105" s="54">
        <v>40465</v>
      </c>
      <c r="H105" s="54">
        <f>H68</f>
        <v>140963</v>
      </c>
      <c r="I105" s="54">
        <v>297284</v>
      </c>
      <c r="J105" s="54">
        <v>420251</v>
      </c>
      <c r="K105" s="54" t="s">
        <v>405</v>
      </c>
      <c r="L105" s="54"/>
      <c r="M105" s="84"/>
      <c r="N105" s="84"/>
      <c r="O105" s="71"/>
      <c r="P105" s="72"/>
      <c r="Q105" s="54">
        <f t="shared" ref="Q105:X105" si="128">Q68</f>
        <v>7299</v>
      </c>
      <c r="R105" s="54">
        <f t="shared" si="128"/>
        <v>8285</v>
      </c>
      <c r="S105" s="54">
        <f t="shared" si="128"/>
        <v>10651.837000000001</v>
      </c>
      <c r="T105" s="54">
        <f t="shared" si="128"/>
        <v>14229.163000000002</v>
      </c>
      <c r="U105" s="54">
        <f t="shared" si="128"/>
        <v>19036</v>
      </c>
      <c r="V105" s="54">
        <f t="shared" si="128"/>
        <v>27187</v>
      </c>
      <c r="W105" s="54">
        <f t="shared" si="128"/>
        <v>41226</v>
      </c>
      <c r="X105" s="54">
        <f t="shared" si="128"/>
        <v>53514</v>
      </c>
      <c r="Y105" s="54">
        <v>60626</v>
      </c>
      <c r="Z105" s="54">
        <v>71740</v>
      </c>
      <c r="AA105" s="54">
        <f>AA68</f>
        <v>81855</v>
      </c>
      <c r="AB105" s="54">
        <f>AB68</f>
        <v>83063</v>
      </c>
      <c r="AC105" s="54">
        <f>AC68</f>
        <v>78153</v>
      </c>
      <c r="AD105" s="54">
        <v>106747</v>
      </c>
      <c r="AE105" s="54">
        <v>120876</v>
      </c>
      <c r="AF105" s="54">
        <v>114475</v>
      </c>
      <c r="AG105" s="54">
        <v>129041</v>
      </c>
      <c r="AH105" s="54">
        <v>133105.32844748424</v>
      </c>
      <c r="AI105" s="54">
        <v>143305.28720276023</v>
      </c>
      <c r="AJ105" s="54" t="s">
        <v>405</v>
      </c>
      <c r="AK105" s="54" t="s">
        <v>405</v>
      </c>
      <c r="AL105" s="54" t="s">
        <v>405</v>
      </c>
      <c r="AM105" s="54" t="s">
        <v>405</v>
      </c>
      <c r="AN105" s="54" t="s">
        <v>405</v>
      </c>
      <c r="AO105" s="84"/>
      <c r="AP105" s="84"/>
    </row>
    <row r="106" spans="1:44" s="17" customFormat="1" ht="17.5" hidden="1" outlineLevel="1" x14ac:dyDescent="0.35">
      <c r="A106" s="32"/>
      <c r="B106" s="91" t="s">
        <v>77</v>
      </c>
      <c r="C106" s="91" t="s">
        <v>330</v>
      </c>
      <c r="D106" s="92"/>
      <c r="E106" s="93">
        <v>0</v>
      </c>
      <c r="F106" s="93">
        <v>-106</v>
      </c>
      <c r="G106" s="93">
        <v>0</v>
      </c>
      <c r="H106" s="93">
        <f>MIN('DRE - Income Statement'!H39,0)</f>
        <v>-3500</v>
      </c>
      <c r="I106" s="93">
        <v>-6080</v>
      </c>
      <c r="J106" s="93">
        <v>0</v>
      </c>
      <c r="K106" s="93" t="s">
        <v>405</v>
      </c>
      <c r="L106" s="93"/>
      <c r="M106" s="94"/>
      <c r="N106" s="94"/>
      <c r="O106" s="71"/>
      <c r="P106" s="72"/>
      <c r="Q106" s="93">
        <f>MIN('DRE - Income Statement'!Q39,0)</f>
        <v>0</v>
      </c>
      <c r="R106" s="93">
        <f>MIN('DRE - Income Statement'!R39,0)</f>
        <v>0</v>
      </c>
      <c r="S106" s="93">
        <f>MIN('DRE - Income Statement'!S39,0)</f>
        <v>0</v>
      </c>
      <c r="T106" s="93">
        <f>MIN('DRE - Income Statement'!T39,0)</f>
        <v>0</v>
      </c>
      <c r="U106" s="93">
        <f>MIN('DRE - Income Statement'!U39,0)</f>
        <v>-134</v>
      </c>
      <c r="V106" s="93">
        <f>MIN('DRE - Income Statement'!V39,0)</f>
        <v>-481</v>
      </c>
      <c r="W106" s="93">
        <f>MIN('DRE - Income Statement'!W39,0)</f>
        <v>0</v>
      </c>
      <c r="X106" s="93">
        <f>MIN('DRE - Income Statement'!X39,0)</f>
        <v>-3124</v>
      </c>
      <c r="Y106" s="93">
        <v>-1800</v>
      </c>
      <c r="Z106" s="93">
        <v>-1748</v>
      </c>
      <c r="AA106" s="93">
        <v>-2532</v>
      </c>
      <c r="AB106" s="93">
        <v>0</v>
      </c>
      <c r="AC106" s="93" t="s">
        <v>343</v>
      </c>
      <c r="AD106" s="93">
        <v>0</v>
      </c>
      <c r="AE106" s="93">
        <v>0</v>
      </c>
      <c r="AF106" s="93">
        <v>0</v>
      </c>
      <c r="AG106" s="93">
        <v>0</v>
      </c>
      <c r="AH106" s="93">
        <v>0</v>
      </c>
      <c r="AI106" s="93">
        <v>-4528.0360000000001</v>
      </c>
      <c r="AJ106" s="93" t="s">
        <v>405</v>
      </c>
      <c r="AK106" s="93" t="s">
        <v>405</v>
      </c>
      <c r="AL106" s="93" t="s">
        <v>405</v>
      </c>
      <c r="AM106" s="93" t="s">
        <v>405</v>
      </c>
      <c r="AN106" s="93" t="s">
        <v>405</v>
      </c>
      <c r="AO106" s="116"/>
      <c r="AP106" s="94"/>
    </row>
    <row r="107" spans="1:44" s="17" customFormat="1" ht="17.5" hidden="1" outlineLevel="1" x14ac:dyDescent="0.35">
      <c r="A107" s="32"/>
      <c r="B107" s="73" t="s">
        <v>78</v>
      </c>
      <c r="C107" s="73" t="s">
        <v>78</v>
      </c>
      <c r="D107" s="79"/>
      <c r="E107" s="55">
        <f t="shared" ref="E107:J107" si="129">SUM(E105:E106)</f>
        <v>14946</v>
      </c>
      <c r="F107" s="55">
        <f t="shared" si="129"/>
        <v>22938</v>
      </c>
      <c r="G107" s="55">
        <f t="shared" si="129"/>
        <v>40465</v>
      </c>
      <c r="H107" s="55">
        <f t="shared" si="129"/>
        <v>137463</v>
      </c>
      <c r="I107" s="55">
        <f t="shared" si="129"/>
        <v>291204</v>
      </c>
      <c r="J107" s="55">
        <f t="shared" si="129"/>
        <v>420251</v>
      </c>
      <c r="K107" s="55" t="s">
        <v>405</v>
      </c>
      <c r="L107" s="55"/>
      <c r="M107" s="74">
        <f t="shared" ref="M107" si="130">J107/I107-1</f>
        <v>0.44314981937061315</v>
      </c>
      <c r="N107" s="74" t="s">
        <v>405</v>
      </c>
      <c r="O107" s="71"/>
      <c r="P107" s="72"/>
      <c r="Q107" s="55">
        <f t="shared" ref="Q107:X107" si="131">SUM(Q105:Q106)</f>
        <v>7299</v>
      </c>
      <c r="R107" s="55">
        <f t="shared" si="131"/>
        <v>8285</v>
      </c>
      <c r="S107" s="55">
        <f t="shared" si="131"/>
        <v>10651.837000000001</v>
      </c>
      <c r="T107" s="55">
        <f t="shared" si="131"/>
        <v>14229.163000000002</v>
      </c>
      <c r="U107" s="55">
        <f t="shared" si="131"/>
        <v>18902</v>
      </c>
      <c r="V107" s="55">
        <f t="shared" si="131"/>
        <v>26706</v>
      </c>
      <c r="W107" s="55">
        <f t="shared" si="131"/>
        <v>41226</v>
      </c>
      <c r="X107" s="55">
        <f t="shared" si="131"/>
        <v>50390</v>
      </c>
      <c r="Y107" s="55">
        <f>SUM(Y105:Y106)</f>
        <v>58826</v>
      </c>
      <c r="Z107" s="55">
        <v>69992</v>
      </c>
      <c r="AA107" s="55">
        <f t="shared" ref="AA107:AI107" si="132">SUM(AA105:AA106)</f>
        <v>79323</v>
      </c>
      <c r="AB107" s="55">
        <f t="shared" si="132"/>
        <v>83063</v>
      </c>
      <c r="AC107" s="55">
        <f t="shared" si="132"/>
        <v>78153</v>
      </c>
      <c r="AD107" s="55">
        <f t="shared" si="132"/>
        <v>106747</v>
      </c>
      <c r="AE107" s="55">
        <f t="shared" si="132"/>
        <v>120876</v>
      </c>
      <c r="AF107" s="55">
        <f t="shared" si="132"/>
        <v>114475</v>
      </c>
      <c r="AG107" s="55">
        <f t="shared" si="132"/>
        <v>129041</v>
      </c>
      <c r="AH107" s="55">
        <f t="shared" si="132"/>
        <v>133105.32844748424</v>
      </c>
      <c r="AI107" s="55">
        <f t="shared" si="132"/>
        <v>138777.25120276024</v>
      </c>
      <c r="AJ107" s="55" t="s">
        <v>405</v>
      </c>
      <c r="AK107" s="55" t="s">
        <v>405</v>
      </c>
      <c r="AL107" s="55" t="s">
        <v>405</v>
      </c>
      <c r="AM107" s="55" t="s">
        <v>405</v>
      </c>
      <c r="AN107" s="55" t="s">
        <v>405</v>
      </c>
      <c r="AO107" s="74" t="s">
        <v>405</v>
      </c>
      <c r="AP107" s="74" t="s">
        <v>405</v>
      </c>
    </row>
    <row r="108" spans="1:44" s="17" customFormat="1" ht="17.5" hidden="1" outlineLevel="1" x14ac:dyDescent="0.35">
      <c r="A108" s="32"/>
      <c r="B108" s="72"/>
      <c r="C108" s="72"/>
      <c r="D108" s="72"/>
      <c r="E108" s="72"/>
      <c r="F108" s="72"/>
      <c r="G108" s="72"/>
      <c r="H108" s="72"/>
      <c r="I108" s="72"/>
      <c r="J108" s="72"/>
      <c r="K108" s="72"/>
      <c r="L108" s="72"/>
      <c r="M108" s="72"/>
      <c r="N108" s="72"/>
      <c r="O108" s="71"/>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row>
    <row r="109" spans="1:44" s="17" customFormat="1" ht="17.5" hidden="1" outlineLevel="1" x14ac:dyDescent="0.35">
      <c r="A109" s="32"/>
      <c r="B109" s="76" t="s">
        <v>79</v>
      </c>
      <c r="C109" s="76" t="s">
        <v>279</v>
      </c>
      <c r="D109" s="72"/>
      <c r="E109" s="54">
        <v>3772</v>
      </c>
      <c r="F109" s="54">
        <v>2183</v>
      </c>
      <c r="G109" s="54">
        <v>20786</v>
      </c>
      <c r="H109" s="54">
        <f>X109</f>
        <v>159923.67042006896</v>
      </c>
      <c r="I109" s="54">
        <v>39597.728330000013</v>
      </c>
      <c r="J109" s="54">
        <v>28162.728330000013</v>
      </c>
      <c r="K109" s="54" t="s">
        <v>405</v>
      </c>
      <c r="L109" s="54"/>
      <c r="M109" s="84">
        <f t="shared" ref="M109:M111" si="133">J109/I109-1</f>
        <v>-0.28877919219766501</v>
      </c>
      <c r="N109" s="84" t="s">
        <v>405</v>
      </c>
      <c r="O109" s="71"/>
      <c r="P109" s="72"/>
      <c r="Q109" s="54">
        <v>8235.1697199999981</v>
      </c>
      <c r="R109" s="54">
        <v>-4012</v>
      </c>
      <c r="S109" s="54">
        <v>8763.51</v>
      </c>
      <c r="T109" s="54">
        <v>20786</v>
      </c>
      <c r="U109" s="54">
        <v>42824</v>
      </c>
      <c r="V109" s="54">
        <v>58758</v>
      </c>
      <c r="W109" s="54">
        <v>79084</v>
      </c>
      <c r="X109" s="54">
        <v>159923.67042006896</v>
      </c>
      <c r="Y109" s="54">
        <v>159727.72833000001</v>
      </c>
      <c r="Z109" s="54">
        <v>211430.72833000001</v>
      </c>
      <c r="AA109" s="54">
        <v>35642.728330000013</v>
      </c>
      <c r="AB109" s="54">
        <v>39597.728330000013</v>
      </c>
      <c r="AC109" s="54">
        <v>108533.72833000001</v>
      </c>
      <c r="AD109" s="54">
        <v>119456.72833000001</v>
      </c>
      <c r="AE109" s="54">
        <v>91296.128330000385</v>
      </c>
      <c r="AF109" s="54">
        <v>34347.728330000013</v>
      </c>
      <c r="AG109" s="54">
        <v>202436.36968499137</v>
      </c>
      <c r="AH109" s="54">
        <v>100186.68232999989</v>
      </c>
      <c r="AI109" s="54">
        <v>119526.79033000012</v>
      </c>
      <c r="AJ109" s="54" t="s">
        <v>405</v>
      </c>
      <c r="AK109" s="54" t="s">
        <v>405</v>
      </c>
      <c r="AL109" s="54" t="s">
        <v>405</v>
      </c>
      <c r="AM109" s="54" t="s">
        <v>405</v>
      </c>
      <c r="AN109" s="54" t="s">
        <v>405</v>
      </c>
      <c r="AO109" s="84" t="s">
        <v>405</v>
      </c>
      <c r="AP109" s="84" t="s">
        <v>405</v>
      </c>
    </row>
    <row r="110" spans="1:44" s="17" customFormat="1" ht="17.5" hidden="1" outlineLevel="1" x14ac:dyDescent="0.35">
      <c r="A110" s="32"/>
      <c r="B110" s="91" t="s">
        <v>80</v>
      </c>
      <c r="C110" s="91" t="s">
        <v>280</v>
      </c>
      <c r="D110" s="92"/>
      <c r="E110" s="93">
        <v>35713</v>
      </c>
      <c r="F110" s="93">
        <v>56063.5</v>
      </c>
      <c r="G110" s="93">
        <v>160367.5</v>
      </c>
      <c r="H110" s="93">
        <f>X110</f>
        <v>645577.5</v>
      </c>
      <c r="I110" s="93">
        <v>1259979.5</v>
      </c>
      <c r="J110" s="93">
        <v>1490293</v>
      </c>
      <c r="K110" s="93" t="s">
        <v>405</v>
      </c>
      <c r="L110" s="93"/>
      <c r="M110" s="113">
        <f t="shared" si="133"/>
        <v>0.1827914660516301</v>
      </c>
      <c r="N110" s="113" t="s">
        <v>405</v>
      </c>
      <c r="O110" s="71"/>
      <c r="P110" s="72"/>
      <c r="Q110" s="93">
        <v>65625.401610000001</v>
      </c>
      <c r="R110" s="93">
        <v>81127.147220000013</v>
      </c>
      <c r="S110" s="93">
        <v>125643.21699</v>
      </c>
      <c r="T110" s="93">
        <v>152907.42561000001</v>
      </c>
      <c r="U110" s="93">
        <v>225434</v>
      </c>
      <c r="V110" s="93">
        <v>321181.5</v>
      </c>
      <c r="W110" s="93">
        <v>467171</v>
      </c>
      <c r="X110" s="93">
        <v>645577.5</v>
      </c>
      <c r="Y110" s="93">
        <v>748978.5</v>
      </c>
      <c r="Z110" s="93">
        <v>857712.5</v>
      </c>
      <c r="AA110" s="93">
        <v>1107173.311375</v>
      </c>
      <c r="AB110" s="93">
        <v>1259979.5</v>
      </c>
      <c r="AC110" s="93">
        <v>1304546.5</v>
      </c>
      <c r="AD110" s="93">
        <v>1360913.5</v>
      </c>
      <c r="AE110" s="93">
        <v>1444916.5</v>
      </c>
      <c r="AF110" s="93">
        <v>1490293</v>
      </c>
      <c r="AG110" s="93">
        <v>1526542.5</v>
      </c>
      <c r="AH110" s="93">
        <v>1672694.5</v>
      </c>
      <c r="AI110" s="93">
        <v>1735689</v>
      </c>
      <c r="AJ110" s="93" t="s">
        <v>405</v>
      </c>
      <c r="AK110" s="93" t="s">
        <v>405</v>
      </c>
      <c r="AL110" s="93" t="s">
        <v>405</v>
      </c>
      <c r="AM110" s="93" t="s">
        <v>405</v>
      </c>
      <c r="AN110" s="93" t="s">
        <v>405</v>
      </c>
      <c r="AO110" s="113" t="s">
        <v>405</v>
      </c>
      <c r="AP110" s="113" t="s">
        <v>405</v>
      </c>
    </row>
    <row r="111" spans="1:44" s="17" customFormat="1" ht="17.5" hidden="1" outlineLevel="1" x14ac:dyDescent="0.35">
      <c r="A111" s="32"/>
      <c r="B111" s="73" t="s">
        <v>81</v>
      </c>
      <c r="C111" s="73" t="s">
        <v>281</v>
      </c>
      <c r="D111" s="79"/>
      <c r="E111" s="55">
        <f t="shared" ref="E111:J111" si="134">SUM(E109:E110)</f>
        <v>39485</v>
      </c>
      <c r="F111" s="55">
        <f t="shared" si="134"/>
        <v>58246.5</v>
      </c>
      <c r="G111" s="55">
        <f t="shared" si="134"/>
        <v>181153.5</v>
      </c>
      <c r="H111" s="55">
        <f t="shared" si="134"/>
        <v>805501.17042006901</v>
      </c>
      <c r="I111" s="55">
        <f t="shared" si="134"/>
        <v>1299577.2283300001</v>
      </c>
      <c r="J111" s="55">
        <f t="shared" si="134"/>
        <v>1518455.7283300001</v>
      </c>
      <c r="K111" s="55" t="s">
        <v>405</v>
      </c>
      <c r="L111" s="55"/>
      <c r="M111" s="74">
        <f t="shared" si="133"/>
        <v>0.16842284954566811</v>
      </c>
      <c r="N111" s="74" t="s">
        <v>405</v>
      </c>
      <c r="O111" s="71"/>
      <c r="P111" s="72"/>
      <c r="Q111" s="55">
        <f t="shared" ref="Q111:Y111" si="135">SUM(Q109:Q110)</f>
        <v>73860.571330000006</v>
      </c>
      <c r="R111" s="55">
        <f t="shared" si="135"/>
        <v>77115.147220000013</v>
      </c>
      <c r="S111" s="55">
        <f t="shared" si="135"/>
        <v>134406.72699</v>
      </c>
      <c r="T111" s="55">
        <f t="shared" si="135"/>
        <v>173693.42561000001</v>
      </c>
      <c r="U111" s="55">
        <f t="shared" si="135"/>
        <v>268258</v>
      </c>
      <c r="V111" s="55">
        <f t="shared" si="135"/>
        <v>379939.5</v>
      </c>
      <c r="W111" s="55">
        <f t="shared" si="135"/>
        <v>546255</v>
      </c>
      <c r="X111" s="55">
        <f t="shared" si="135"/>
        <v>805501.17042006901</v>
      </c>
      <c r="Y111" s="55">
        <f t="shared" si="135"/>
        <v>908706.22833000007</v>
      </c>
      <c r="Z111" s="55">
        <v>1069143.2283300001</v>
      </c>
      <c r="AA111" s="55">
        <f t="shared" ref="AA111:AI111" si="136">SUM(AA109:AA110)</f>
        <v>1142816.0397050001</v>
      </c>
      <c r="AB111" s="55">
        <f t="shared" si="136"/>
        <v>1299577.2283300001</v>
      </c>
      <c r="AC111" s="55">
        <f t="shared" si="136"/>
        <v>1413080.2283300001</v>
      </c>
      <c r="AD111" s="55">
        <f t="shared" si="136"/>
        <v>1480370.2283300001</v>
      </c>
      <c r="AE111" s="55">
        <f t="shared" si="136"/>
        <v>1536212.6283300004</v>
      </c>
      <c r="AF111" s="55">
        <f t="shared" si="136"/>
        <v>1524640.7283300001</v>
      </c>
      <c r="AG111" s="55">
        <f t="shared" si="136"/>
        <v>1728978.8696849914</v>
      </c>
      <c r="AH111" s="55">
        <f t="shared" si="136"/>
        <v>1772881.18233</v>
      </c>
      <c r="AI111" s="55">
        <f t="shared" si="136"/>
        <v>1855215.7903300002</v>
      </c>
      <c r="AJ111" s="55" t="s">
        <v>405</v>
      </c>
      <c r="AK111" s="55" t="s">
        <v>405</v>
      </c>
      <c r="AL111" s="55" t="s">
        <v>405</v>
      </c>
      <c r="AM111" s="55" t="s">
        <v>405</v>
      </c>
      <c r="AN111" s="55" t="s">
        <v>405</v>
      </c>
      <c r="AO111" s="74" t="s">
        <v>405</v>
      </c>
      <c r="AP111" s="74" t="s">
        <v>405</v>
      </c>
    </row>
    <row r="112" spans="1:44" s="25" customFormat="1" ht="18" hidden="1" customHeight="1" outlineLevel="1" x14ac:dyDescent="0.35">
      <c r="A112" s="35"/>
      <c r="B112" s="78" t="s">
        <v>313</v>
      </c>
      <c r="C112" s="117" t="s">
        <v>314</v>
      </c>
      <c r="D112" s="99"/>
      <c r="E112" s="96">
        <v>31613.990933076922</v>
      </c>
      <c r="F112" s="96">
        <v>48371.876859999997</v>
      </c>
      <c r="G112" s="96">
        <v>106834.94424307691</v>
      </c>
      <c r="H112" s="96">
        <v>435298.5149902</v>
      </c>
      <c r="I112" s="96">
        <v>1045148.779023014</v>
      </c>
      <c r="J112" s="96">
        <v>1450776.2083300003</v>
      </c>
      <c r="K112" s="96" t="s">
        <v>405</v>
      </c>
      <c r="L112" s="96"/>
      <c r="M112" s="84">
        <f t="shared" ref="M112" si="137">J112/I112-1</f>
        <v>0.38810496404747208</v>
      </c>
      <c r="N112" s="84" t="s">
        <v>405</v>
      </c>
      <c r="O112" s="98"/>
      <c r="P112" s="99"/>
      <c r="Q112" s="96">
        <v>65696.143102499991</v>
      </c>
      <c r="R112" s="96">
        <v>83088.170089999985</v>
      </c>
      <c r="S112" s="96">
        <v>114465.75064750001</v>
      </c>
      <c r="T112" s="96">
        <v>162328.00276749997</v>
      </c>
      <c r="U112" s="96">
        <v>221230.94528124999</v>
      </c>
      <c r="V112" s="96">
        <v>327542.48431000003</v>
      </c>
      <c r="W112" s="96">
        <f>AVERAGE(V111:W111)</f>
        <v>463097.25</v>
      </c>
      <c r="X112" s="96">
        <f>AVERAGE(W111:X111)</f>
        <v>675878.08521003451</v>
      </c>
      <c r="Y112" s="96">
        <f>AVERAGE(X111:Y111)</f>
        <v>857103.69937503454</v>
      </c>
      <c r="Z112" s="96">
        <v>988924.72833000007</v>
      </c>
      <c r="AA112" s="96">
        <f t="shared" ref="AA112:AI112" si="138">AVERAGE(Z111:AA111)</f>
        <v>1105979.6340175001</v>
      </c>
      <c r="AB112" s="96">
        <f t="shared" si="138"/>
        <v>1221196.6340175001</v>
      </c>
      <c r="AC112" s="96">
        <f t="shared" si="138"/>
        <v>1356328.7283300001</v>
      </c>
      <c r="AD112" s="96">
        <f t="shared" si="138"/>
        <v>1446725.2283300001</v>
      </c>
      <c r="AE112" s="96">
        <f t="shared" si="138"/>
        <v>1508291.4283300003</v>
      </c>
      <c r="AF112" s="96">
        <f t="shared" si="138"/>
        <v>1530426.6783300003</v>
      </c>
      <c r="AG112" s="96">
        <f t="shared" si="138"/>
        <v>1626809.7990074959</v>
      </c>
      <c r="AH112" s="96">
        <f t="shared" si="138"/>
        <v>1750930.0260074958</v>
      </c>
      <c r="AI112" s="96">
        <f t="shared" si="138"/>
        <v>1814048.4863300002</v>
      </c>
      <c r="AJ112" s="96" t="s">
        <v>405</v>
      </c>
      <c r="AK112" s="96" t="s">
        <v>405</v>
      </c>
      <c r="AL112" s="96" t="s">
        <v>405</v>
      </c>
      <c r="AM112" s="96" t="s">
        <v>405</v>
      </c>
      <c r="AN112" s="96" t="s">
        <v>405</v>
      </c>
      <c r="AO112" s="97" t="s">
        <v>405</v>
      </c>
      <c r="AP112" s="97" t="s">
        <v>405</v>
      </c>
    </row>
    <row r="113" spans="1:44" s="17" customFormat="1" ht="17.5" hidden="1" outlineLevel="1" x14ac:dyDescent="0.35">
      <c r="A113" s="32"/>
      <c r="B113" s="91"/>
      <c r="C113" s="91"/>
      <c r="D113" s="92"/>
      <c r="E113" s="93"/>
      <c r="F113" s="93"/>
      <c r="G113" s="93"/>
      <c r="H113" s="93"/>
      <c r="I113" s="93"/>
      <c r="J113" s="93"/>
      <c r="K113" s="93"/>
      <c r="L113" s="93"/>
      <c r="M113" s="94"/>
      <c r="N113" s="94"/>
      <c r="O113" s="71"/>
      <c r="P113" s="72"/>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4"/>
      <c r="AP113" s="94"/>
    </row>
    <row r="114" spans="1:44" s="17" customFormat="1" ht="17.5" hidden="1" outlineLevel="1" x14ac:dyDescent="0.35">
      <c r="A114" s="32"/>
      <c r="B114" s="73" t="s">
        <v>6</v>
      </c>
      <c r="C114" s="73" t="s">
        <v>278</v>
      </c>
      <c r="D114" s="79"/>
      <c r="E114" s="74">
        <f t="shared" ref="E114:J114" si="139">E107/E112</f>
        <v>0.47276536618356452</v>
      </c>
      <c r="F114" s="74">
        <f t="shared" si="139"/>
        <v>0.47420115755252096</v>
      </c>
      <c r="G114" s="74">
        <f t="shared" si="139"/>
        <v>0.37876183945892966</v>
      </c>
      <c r="H114" s="74">
        <f t="shared" si="139"/>
        <v>0.31579018826447119</v>
      </c>
      <c r="I114" s="74">
        <f t="shared" si="139"/>
        <v>0.27862444643738871</v>
      </c>
      <c r="J114" s="74">
        <f t="shared" si="139"/>
        <v>0.28967320913247824</v>
      </c>
      <c r="K114" s="74" t="s">
        <v>405</v>
      </c>
      <c r="L114" s="74"/>
      <c r="M114" s="118" t="s">
        <v>405</v>
      </c>
      <c r="N114" s="118" t="s">
        <v>405</v>
      </c>
      <c r="O114" s="71"/>
      <c r="P114" s="72"/>
      <c r="Q114" s="74">
        <f t="shared" ref="Q114:X114" si="140">4*Q107/Q112</f>
        <v>0.44440965057032367</v>
      </c>
      <c r="R114" s="74">
        <f t="shared" si="140"/>
        <v>0.39885341034834682</v>
      </c>
      <c r="S114" s="74">
        <f t="shared" si="140"/>
        <v>0.37222791759965251</v>
      </c>
      <c r="T114" s="74">
        <f t="shared" si="140"/>
        <v>0.35062743968778387</v>
      </c>
      <c r="U114" s="74">
        <f t="shared" si="140"/>
        <v>0.34176050689418636</v>
      </c>
      <c r="V114" s="74">
        <f t="shared" si="140"/>
        <v>0.32613784506469473</v>
      </c>
      <c r="W114" s="74">
        <f t="shared" si="140"/>
        <v>0.35608935272234937</v>
      </c>
      <c r="X114" s="74">
        <f t="shared" si="140"/>
        <v>0.29821946355512269</v>
      </c>
      <c r="Y114" s="74">
        <f>4*Y107/Y112</f>
        <v>0.27453387515603328</v>
      </c>
      <c r="Z114" s="74">
        <v>0.28310344759280387</v>
      </c>
      <c r="AA114" s="74">
        <f t="shared" ref="AA114:AI114" si="141">4*AA107/AA112</f>
        <v>0.28688774208927198</v>
      </c>
      <c r="AB114" s="74">
        <f t="shared" si="141"/>
        <v>0.2720708448949416</v>
      </c>
      <c r="AC114" s="74">
        <f t="shared" si="141"/>
        <v>0.23048394793267277</v>
      </c>
      <c r="AD114" s="74">
        <f t="shared" si="141"/>
        <v>0.29514104796035495</v>
      </c>
      <c r="AE114" s="74">
        <f t="shared" si="141"/>
        <v>0.32056404413525169</v>
      </c>
      <c r="AF114" s="74">
        <f t="shared" si="141"/>
        <v>0.29919760710108628</v>
      </c>
      <c r="AG114" s="74">
        <f t="shared" si="141"/>
        <v>0.31728601605111284</v>
      </c>
      <c r="AH114" s="74">
        <f t="shared" si="141"/>
        <v>0.30407914986984047</v>
      </c>
      <c r="AI114" s="74">
        <f t="shared" si="141"/>
        <v>0.30600560513907843</v>
      </c>
      <c r="AJ114" s="74" t="s">
        <v>405</v>
      </c>
      <c r="AK114" s="74" t="s">
        <v>405</v>
      </c>
      <c r="AL114" s="74" t="s">
        <v>405</v>
      </c>
      <c r="AM114" s="74" t="s">
        <v>405</v>
      </c>
      <c r="AN114" s="74" t="s">
        <v>405</v>
      </c>
      <c r="AO114" s="118" t="s">
        <v>405</v>
      </c>
      <c r="AP114" s="118" t="s">
        <v>405</v>
      </c>
    </row>
    <row r="115" spans="1:44" s="17" customFormat="1" collapsed="1" x14ac:dyDescent="0.35">
      <c r="A115" s="33" t="s">
        <v>140</v>
      </c>
      <c r="B115" s="72"/>
      <c r="C115" s="72"/>
      <c r="D115" s="72"/>
      <c r="E115" s="108"/>
      <c r="F115" s="108"/>
      <c r="G115" s="108"/>
      <c r="H115" s="108"/>
      <c r="I115" s="108"/>
      <c r="J115" s="108"/>
      <c r="K115" s="108"/>
      <c r="L115" s="108"/>
      <c r="M115" s="72"/>
      <c r="N115" s="72"/>
      <c r="O115" s="71"/>
      <c r="P115" s="72"/>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72"/>
      <c r="AP115" s="72"/>
    </row>
    <row r="116" spans="1:44" s="17" customFormat="1" ht="17.5" x14ac:dyDescent="0.35">
      <c r="A116" s="32"/>
      <c r="B116" s="69" t="s">
        <v>370</v>
      </c>
      <c r="C116" s="69" t="s">
        <v>278</v>
      </c>
      <c r="D116" s="70"/>
      <c r="E116" s="70"/>
      <c r="F116" s="70"/>
      <c r="G116" s="70"/>
      <c r="H116" s="70"/>
      <c r="I116" s="70"/>
      <c r="J116" s="70"/>
      <c r="K116" s="70"/>
      <c r="L116" s="70"/>
      <c r="M116" s="70"/>
      <c r="N116" s="70"/>
      <c r="O116" s="71"/>
      <c r="P116" s="72"/>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row>
    <row r="117" spans="1:44" s="17" customFormat="1" ht="6.75" customHeight="1" outlineLevel="1" x14ac:dyDescent="0.35">
      <c r="A117" s="32"/>
      <c r="B117" s="72"/>
      <c r="C117" s="72"/>
      <c r="D117" s="72"/>
      <c r="E117" s="72"/>
      <c r="F117" s="72"/>
      <c r="G117" s="72"/>
      <c r="H117" s="72"/>
      <c r="I117" s="72"/>
      <c r="J117" s="72"/>
      <c r="K117" s="72"/>
      <c r="L117" s="72"/>
      <c r="M117" s="72"/>
      <c r="N117" s="72"/>
      <c r="O117" s="71"/>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row>
    <row r="118" spans="1:44" s="17" customFormat="1" ht="17.5" outlineLevel="1" x14ac:dyDescent="0.35">
      <c r="A118" s="32"/>
      <c r="B118" s="100" t="s">
        <v>371</v>
      </c>
      <c r="C118" s="76" t="s">
        <v>371</v>
      </c>
      <c r="D118" s="72"/>
      <c r="E118" s="54">
        <v>14564</v>
      </c>
      <c r="F118" s="54">
        <v>22605</v>
      </c>
      <c r="G118" s="54">
        <v>39820</v>
      </c>
      <c r="H118" s="54">
        <v>142403</v>
      </c>
      <c r="I118" s="54">
        <v>320313</v>
      </c>
      <c r="J118" s="54">
        <v>455087</v>
      </c>
      <c r="K118" s="54">
        <f>SUM(AG118:AJ118)</f>
        <v>523052.81832000031</v>
      </c>
      <c r="L118" s="54">
        <f>SUM(AK118:AN118)</f>
        <v>422488.5840000005</v>
      </c>
      <c r="M118" s="84"/>
      <c r="N118" s="84"/>
      <c r="O118" s="71"/>
      <c r="P118" s="72"/>
      <c r="Q118" s="54">
        <v>7299</v>
      </c>
      <c r="R118" s="54">
        <v>8186</v>
      </c>
      <c r="S118" s="54">
        <v>10489.837000000001</v>
      </c>
      <c r="T118" s="54">
        <v>13845.163000000002</v>
      </c>
      <c r="U118" s="54">
        <v>18974</v>
      </c>
      <c r="V118" s="54">
        <v>27357</v>
      </c>
      <c r="W118" s="54">
        <v>41343</v>
      </c>
      <c r="X118" s="54">
        <v>54729</v>
      </c>
      <c r="Y118" s="54">
        <v>62690</v>
      </c>
      <c r="Z118" s="54">
        <v>74922</v>
      </c>
      <c r="AA118" s="54">
        <v>89642</v>
      </c>
      <c r="AB118" s="54">
        <v>93059</v>
      </c>
      <c r="AC118" s="54">
        <v>93645</v>
      </c>
      <c r="AD118" s="54">
        <v>111516</v>
      </c>
      <c r="AE118" s="54">
        <v>126840</v>
      </c>
      <c r="AF118" s="54">
        <v>123086</v>
      </c>
      <c r="AG118" s="54">
        <v>133951</v>
      </c>
      <c r="AH118" s="54">
        <v>137066.32844748424</v>
      </c>
      <c r="AI118" s="54">
        <v>153648.29693668551</v>
      </c>
      <c r="AJ118" s="54">
        <f>98.3871929358306*1000</f>
        <v>98387.192935830593</v>
      </c>
      <c r="AK118" s="54">
        <v>92426.694800000056</v>
      </c>
      <c r="AL118" s="54">
        <v>82074.979789999896</v>
      </c>
      <c r="AM118" s="54">
        <v>140263.84579300004</v>
      </c>
      <c r="AN118" s="54">
        <f>'DRE - Income Statement'!AN28</f>
        <v>107723.06361700044</v>
      </c>
      <c r="AO118" s="102"/>
      <c r="AP118" s="102"/>
    </row>
    <row r="119" spans="1:44" s="17" customFormat="1" ht="17.5" outlineLevel="1" x14ac:dyDescent="0.35">
      <c r="A119" s="32"/>
      <c r="B119" s="91" t="s">
        <v>77</v>
      </c>
      <c r="C119" s="91" t="s">
        <v>330</v>
      </c>
      <c r="D119" s="92"/>
      <c r="E119" s="93">
        <v>0</v>
      </c>
      <c r="F119" s="93">
        <v>-106</v>
      </c>
      <c r="G119" s="93">
        <v>0</v>
      </c>
      <c r="H119" s="93">
        <v>-3500</v>
      </c>
      <c r="I119" s="93">
        <v>-6080</v>
      </c>
      <c r="J119" s="93">
        <v>0</v>
      </c>
      <c r="K119" s="93">
        <f>SUM(AG119:AJ119)</f>
        <v>-9862.4120000000003</v>
      </c>
      <c r="L119" s="93">
        <f t="shared" ref="L119:L120" si="142">SUM(AK119:AN119)</f>
        <v>-4725.8019999999997</v>
      </c>
      <c r="M119" s="94"/>
      <c r="N119" s="94"/>
      <c r="O119" s="71"/>
      <c r="P119" s="72"/>
      <c r="Q119" s="93">
        <v>0</v>
      </c>
      <c r="R119" s="93">
        <v>0</v>
      </c>
      <c r="S119" s="93">
        <f>MIN('DRE - Income Statement'!S52,0)</f>
        <v>0</v>
      </c>
      <c r="T119" s="93">
        <f>MIN('DRE - Income Statement'!T52,0)</f>
        <v>0</v>
      </c>
      <c r="U119" s="93">
        <v>-134</v>
      </c>
      <c r="V119" s="93">
        <v>-481</v>
      </c>
      <c r="W119" s="93">
        <v>0</v>
      </c>
      <c r="X119" s="93">
        <v>-3124</v>
      </c>
      <c r="Y119" s="93">
        <v>-1800</v>
      </c>
      <c r="Z119" s="93">
        <v>-1748</v>
      </c>
      <c r="AA119" s="93">
        <v>-2532</v>
      </c>
      <c r="AB119" s="93">
        <v>0</v>
      </c>
      <c r="AC119" s="93">
        <v>0</v>
      </c>
      <c r="AD119" s="93">
        <v>0</v>
      </c>
      <c r="AE119" s="93">
        <v>0</v>
      </c>
      <c r="AF119" s="93">
        <v>0</v>
      </c>
      <c r="AG119" s="93" t="s">
        <v>343</v>
      </c>
      <c r="AH119" s="93" t="s">
        <v>343</v>
      </c>
      <c r="AI119" s="93">
        <v>-4528.0360000000001</v>
      </c>
      <c r="AJ119" s="93">
        <f>-5.334376*1000</f>
        <v>-5334.3760000000002</v>
      </c>
      <c r="AK119" s="93">
        <v>-614.25800000000004</v>
      </c>
      <c r="AL119" s="93">
        <v>-1446.1589999999999</v>
      </c>
      <c r="AM119" s="93">
        <f>'DRE - Income Statement'!AM39</f>
        <v>-679.82400000000007</v>
      </c>
      <c r="AN119" s="93">
        <f>'DRE - Income Statement'!AN39</f>
        <v>-1985.5609999999995</v>
      </c>
      <c r="AO119" s="116"/>
      <c r="AP119" s="94"/>
    </row>
    <row r="120" spans="1:44" s="17" customFormat="1" ht="17.5" outlineLevel="1" x14ac:dyDescent="0.35">
      <c r="A120" s="32"/>
      <c r="B120" s="73" t="s">
        <v>503</v>
      </c>
      <c r="C120" s="73" t="s">
        <v>78</v>
      </c>
      <c r="D120" s="79"/>
      <c r="E120" s="55">
        <f t="shared" ref="E120:K120" si="143">SUM(E118:E119)</f>
        <v>14564</v>
      </c>
      <c r="F120" s="55">
        <f t="shared" si="143"/>
        <v>22499</v>
      </c>
      <c r="G120" s="55">
        <f t="shared" si="143"/>
        <v>39820</v>
      </c>
      <c r="H120" s="55">
        <f t="shared" si="143"/>
        <v>138903</v>
      </c>
      <c r="I120" s="55">
        <f t="shared" si="143"/>
        <v>314233</v>
      </c>
      <c r="J120" s="55">
        <f t="shared" si="143"/>
        <v>455087</v>
      </c>
      <c r="K120" s="55">
        <f t="shared" si="143"/>
        <v>513190.4063200003</v>
      </c>
      <c r="L120" s="55">
        <f t="shared" si="142"/>
        <v>417762.78200000041</v>
      </c>
      <c r="M120" s="74">
        <f>K120/J120-1</f>
        <v>0.12767538145453572</v>
      </c>
      <c r="N120" s="74">
        <f>L120/K120-1</f>
        <v>-0.18594974330150649</v>
      </c>
      <c r="O120" s="71"/>
      <c r="P120" s="72"/>
      <c r="Q120" s="55">
        <f t="shared" ref="Q120:X120" si="144">SUM(Q118:Q119)</f>
        <v>7299</v>
      </c>
      <c r="R120" s="55">
        <f t="shared" si="144"/>
        <v>8186</v>
      </c>
      <c r="S120" s="55">
        <f t="shared" si="144"/>
        <v>10489.837000000001</v>
      </c>
      <c r="T120" s="55">
        <f t="shared" si="144"/>
        <v>13845.163000000002</v>
      </c>
      <c r="U120" s="55">
        <f t="shared" si="144"/>
        <v>18840</v>
      </c>
      <c r="V120" s="55">
        <f t="shared" si="144"/>
        <v>26876</v>
      </c>
      <c r="W120" s="55">
        <f t="shared" si="144"/>
        <v>41343</v>
      </c>
      <c r="X120" s="55">
        <f t="shared" si="144"/>
        <v>51605</v>
      </c>
      <c r="Y120" s="55">
        <f>SUM(Y118:Y119)</f>
        <v>60890</v>
      </c>
      <c r="Z120" s="55">
        <v>69992</v>
      </c>
      <c r="AA120" s="55">
        <f t="shared" ref="AA120:AG120" si="145">SUM(AA118:AA119)</f>
        <v>87110</v>
      </c>
      <c r="AB120" s="55">
        <f t="shared" si="145"/>
        <v>93059</v>
      </c>
      <c r="AC120" s="55">
        <f t="shared" si="145"/>
        <v>93645</v>
      </c>
      <c r="AD120" s="55">
        <f t="shared" si="145"/>
        <v>111516</v>
      </c>
      <c r="AE120" s="55">
        <f t="shared" si="145"/>
        <v>126840</v>
      </c>
      <c r="AF120" s="55">
        <f t="shared" si="145"/>
        <v>123086</v>
      </c>
      <c r="AG120" s="55">
        <f t="shared" si="145"/>
        <v>133951</v>
      </c>
      <c r="AH120" s="55">
        <f t="shared" ref="AH120:AI120" si="146">SUM(AH118:AH119)</f>
        <v>137066.32844748424</v>
      </c>
      <c r="AI120" s="55">
        <f t="shared" si="146"/>
        <v>149120.26093668552</v>
      </c>
      <c r="AJ120" s="55">
        <f t="shared" ref="AJ120:AK120" si="147">SUM(AJ118:AJ119)</f>
        <v>93052.81693583059</v>
      </c>
      <c r="AK120" s="55">
        <f t="shared" si="147"/>
        <v>91812.436800000054</v>
      </c>
      <c r="AL120" s="55">
        <f t="shared" ref="AL120:AM120" si="148">SUM(AL118:AL119)</f>
        <v>80628.820789999896</v>
      </c>
      <c r="AM120" s="55">
        <f t="shared" si="148"/>
        <v>139584.02179300005</v>
      </c>
      <c r="AN120" s="55">
        <f t="shared" ref="AN120" si="149">SUM(AN118:AN119)</f>
        <v>105737.50261700044</v>
      </c>
      <c r="AO120" s="74">
        <f t="shared" ref="AO120" si="150">AN120/AJ120-1</f>
        <v>0.13631705195896693</v>
      </c>
      <c r="AP120" s="74">
        <f t="shared" ref="AP120" si="151">AN120/AM120-1</f>
        <v>-0.24248132946185796</v>
      </c>
    </row>
    <row r="121" spans="1:44" s="17" customFormat="1" ht="17.5" outlineLevel="1" x14ac:dyDescent="0.35">
      <c r="A121" s="32"/>
      <c r="B121" s="72"/>
      <c r="C121" s="72"/>
      <c r="D121" s="72"/>
      <c r="E121" s="72"/>
      <c r="F121" s="72"/>
      <c r="G121" s="72"/>
      <c r="H121" s="72"/>
      <c r="I121" s="72"/>
      <c r="J121" s="72"/>
      <c r="K121" s="72"/>
      <c r="L121" s="72"/>
      <c r="M121" s="72"/>
      <c r="N121" s="72"/>
      <c r="O121" s="71"/>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row>
    <row r="122" spans="1:44" s="17" customFormat="1" ht="17.5" outlineLevel="1" x14ac:dyDescent="0.35">
      <c r="A122" s="32"/>
      <c r="B122" s="76" t="s">
        <v>372</v>
      </c>
      <c r="C122" s="76" t="s">
        <v>279</v>
      </c>
      <c r="D122" s="72"/>
      <c r="E122" s="54">
        <v>16632</v>
      </c>
      <c r="F122" s="54">
        <v>23109</v>
      </c>
      <c r="G122" s="54">
        <v>85060</v>
      </c>
      <c r="H122" s="54">
        <v>1112696.2112683957</v>
      </c>
      <c r="I122" s="54">
        <v>1158521</v>
      </c>
      <c r="J122" s="54">
        <v>1229942</v>
      </c>
      <c r="K122" s="54">
        <f>1258.625*1000</f>
        <v>1258625</v>
      </c>
      <c r="L122" s="54">
        <f>AN122</f>
        <v>1330338.1036222694</v>
      </c>
      <c r="M122" s="84">
        <f t="shared" ref="M122:M125" si="152">K122/J122-1</f>
        <v>2.3320611866250562E-2</v>
      </c>
      <c r="N122" s="84">
        <f t="shared" ref="N122:N125" si="153">L122/K122-1</f>
        <v>5.6977339256942594E-2</v>
      </c>
      <c r="O122" s="71"/>
      <c r="P122" s="72"/>
      <c r="Q122" s="54">
        <v>26157</v>
      </c>
      <c r="R122" s="54">
        <v>34671</v>
      </c>
      <c r="S122" s="54">
        <v>54444.514159999999</v>
      </c>
      <c r="T122" s="54">
        <v>85060</v>
      </c>
      <c r="U122" s="54">
        <v>142160</v>
      </c>
      <c r="V122" s="54">
        <v>132536</v>
      </c>
      <c r="W122" s="54">
        <v>1108480</v>
      </c>
      <c r="X122" s="54">
        <v>1112696.2112683957</v>
      </c>
      <c r="Y122" s="54">
        <v>1135235</v>
      </c>
      <c r="Z122" s="54">
        <v>1119421</v>
      </c>
      <c r="AA122" s="54">
        <v>1139267</v>
      </c>
      <c r="AB122" s="54">
        <v>1158521</v>
      </c>
      <c r="AC122" s="54">
        <v>1139732</v>
      </c>
      <c r="AD122" s="54">
        <v>1175248</v>
      </c>
      <c r="AE122" s="54">
        <v>1213294.8</v>
      </c>
      <c r="AF122" s="54">
        <v>1229942</v>
      </c>
      <c r="AG122" s="54">
        <v>1270841.5</v>
      </c>
      <c r="AH122" s="54">
        <v>1288619.9169999999</v>
      </c>
      <c r="AI122" s="54">
        <v>1238584.51</v>
      </c>
      <c r="AJ122" s="54">
        <f>1258.625*1000</f>
        <v>1258625</v>
      </c>
      <c r="AK122" s="54">
        <f>1263.402*1000</f>
        <v>1263402</v>
      </c>
      <c r="AL122" s="54">
        <v>1232630</v>
      </c>
      <c r="AM122" s="54">
        <f>'BP - Balance Sheet'!AM61</f>
        <v>1319395.6930938461</v>
      </c>
      <c r="AN122" s="54">
        <f>'BP - Balance Sheet'!AN61</f>
        <v>1330338.1036222694</v>
      </c>
      <c r="AO122" s="84">
        <f t="shared" ref="AO122:AO125" si="154">AN122/AJ122-1</f>
        <v>5.6977339256942594E-2</v>
      </c>
      <c r="AP122" s="84">
        <f t="shared" ref="AP122:AP125" si="155">AN122/AM122-1</f>
        <v>8.293501779412793E-3</v>
      </c>
    </row>
    <row r="123" spans="1:44" s="17" customFormat="1" ht="17.5" outlineLevel="1" x14ac:dyDescent="0.35">
      <c r="A123" s="32"/>
      <c r="B123" s="91" t="s">
        <v>75</v>
      </c>
      <c r="C123" s="91" t="s">
        <v>280</v>
      </c>
      <c r="D123" s="92"/>
      <c r="E123" s="93">
        <v>46330</v>
      </c>
      <c r="F123" s="93">
        <v>66031</v>
      </c>
      <c r="G123" s="93">
        <v>203788</v>
      </c>
      <c r="H123" s="93">
        <v>205703</v>
      </c>
      <c r="I123" s="93">
        <v>1126315</v>
      </c>
      <c r="J123" s="93">
        <v>1320492</v>
      </c>
      <c r="K123" s="93">
        <f>1748.882862*1000</f>
        <v>1748882.862</v>
      </c>
      <c r="L123" s="93">
        <f t="shared" ref="L123" si="156">AN123</f>
        <v>1694334.932</v>
      </c>
      <c r="M123" s="113">
        <f t="shared" si="152"/>
        <v>0.32441761252624013</v>
      </c>
      <c r="N123" s="113">
        <f t="shared" si="153"/>
        <v>-3.1190156405112024E-2</v>
      </c>
      <c r="O123" s="71"/>
      <c r="P123" s="72"/>
      <c r="Q123" s="93">
        <v>90529</v>
      </c>
      <c r="R123" s="93">
        <v>96819</v>
      </c>
      <c r="S123" s="93">
        <v>172924.90779</v>
      </c>
      <c r="T123" s="93">
        <v>203788</v>
      </c>
      <c r="U123" s="93">
        <v>292415</v>
      </c>
      <c r="V123" s="93">
        <v>473826</v>
      </c>
      <c r="W123" s="93">
        <v>-169672.2876618756</v>
      </c>
      <c r="X123" s="93">
        <v>205703</v>
      </c>
      <c r="Y123" s="93">
        <v>438031</v>
      </c>
      <c r="Z123" s="93">
        <v>685985</v>
      </c>
      <c r="AA123" s="93">
        <v>952423</v>
      </c>
      <c r="AB123" s="93">
        <v>1126315</v>
      </c>
      <c r="AC123" s="93">
        <v>1258829</v>
      </c>
      <c r="AD123" s="93">
        <v>1294070</v>
      </c>
      <c r="AE123" s="93">
        <v>1329883</v>
      </c>
      <c r="AF123" s="93">
        <v>1320492</v>
      </c>
      <c r="AG123" s="93">
        <v>1455091</v>
      </c>
      <c r="AH123" s="93">
        <v>1591725.227</v>
      </c>
      <c r="AI123" s="93">
        <v>1681806.0220000003</v>
      </c>
      <c r="AJ123" s="93">
        <f>1748.882862*1000</f>
        <v>1748882.862</v>
      </c>
      <c r="AK123" s="93">
        <f>1656.137331*1000</f>
        <v>1656137.331</v>
      </c>
      <c r="AL123" s="93">
        <v>1793272.4639999999</v>
      </c>
      <c r="AM123" s="93">
        <f>AM99</f>
        <v>1756412.4649999996</v>
      </c>
      <c r="AN123" s="93">
        <f>AN99</f>
        <v>1694334.932</v>
      </c>
      <c r="AO123" s="113">
        <f t="shared" si="154"/>
        <v>-3.1190156405112024E-2</v>
      </c>
      <c r="AP123" s="113">
        <f t="shared" si="155"/>
        <v>-3.5343368506553841E-2</v>
      </c>
    </row>
    <row r="124" spans="1:44" s="17" customFormat="1" ht="17.5" outlineLevel="1" x14ac:dyDescent="0.35">
      <c r="A124" s="32"/>
      <c r="B124" s="73" t="s">
        <v>373</v>
      </c>
      <c r="C124" s="73" t="s">
        <v>281</v>
      </c>
      <c r="D124" s="79"/>
      <c r="E124" s="55">
        <f t="shared" ref="E124:J124" si="157">SUM(E122:E123)</f>
        <v>62962</v>
      </c>
      <c r="F124" s="55">
        <f t="shared" si="157"/>
        <v>89140</v>
      </c>
      <c r="G124" s="55">
        <f t="shared" si="157"/>
        <v>288848</v>
      </c>
      <c r="H124" s="55">
        <f t="shared" si="157"/>
        <v>1318399.2112683957</v>
      </c>
      <c r="I124" s="55">
        <f t="shared" si="157"/>
        <v>2284836</v>
      </c>
      <c r="J124" s="55">
        <f t="shared" si="157"/>
        <v>2550434</v>
      </c>
      <c r="K124" s="55">
        <f>3007.507862*1000</f>
        <v>3007507.8619999997</v>
      </c>
      <c r="L124" s="55">
        <f>AN124</f>
        <v>3024673.0356222694</v>
      </c>
      <c r="M124" s="74">
        <f t="shared" si="152"/>
        <v>0.17921415021913911</v>
      </c>
      <c r="N124" s="74">
        <f t="shared" si="153"/>
        <v>5.7074409810036197E-3</v>
      </c>
      <c r="O124" s="71"/>
      <c r="P124" s="72"/>
      <c r="Q124" s="55">
        <f t="shared" ref="Q124:Y124" si="158">SUM(Q122:Q123)</f>
        <v>116686</v>
      </c>
      <c r="R124" s="55">
        <f t="shared" si="158"/>
        <v>131490</v>
      </c>
      <c r="S124" s="55">
        <f t="shared" si="158"/>
        <v>227369.42194999999</v>
      </c>
      <c r="T124" s="55">
        <f t="shared" si="158"/>
        <v>288848</v>
      </c>
      <c r="U124" s="55">
        <f t="shared" si="158"/>
        <v>434575</v>
      </c>
      <c r="V124" s="55">
        <f t="shared" si="158"/>
        <v>606362</v>
      </c>
      <c r="W124" s="55">
        <f t="shared" si="158"/>
        <v>938807.7123381244</v>
      </c>
      <c r="X124" s="55">
        <f t="shared" si="158"/>
        <v>1318399.2112683957</v>
      </c>
      <c r="Y124" s="55">
        <f t="shared" si="158"/>
        <v>1573266</v>
      </c>
      <c r="Z124" s="55">
        <v>1069143.2283300001</v>
      </c>
      <c r="AA124" s="55">
        <f t="shared" ref="AA124:AG124" si="159">SUM(AA122:AA123)</f>
        <v>2091690</v>
      </c>
      <c r="AB124" s="55">
        <f t="shared" si="159"/>
        <v>2284836</v>
      </c>
      <c r="AC124" s="55">
        <f t="shared" si="159"/>
        <v>2398561</v>
      </c>
      <c r="AD124" s="55">
        <f t="shared" si="159"/>
        <v>2469318</v>
      </c>
      <c r="AE124" s="55">
        <f t="shared" si="159"/>
        <v>2543177.7999999998</v>
      </c>
      <c r="AF124" s="55">
        <f t="shared" si="159"/>
        <v>2550434</v>
      </c>
      <c r="AG124" s="55">
        <f t="shared" si="159"/>
        <v>2725932.5</v>
      </c>
      <c r="AH124" s="55">
        <f t="shared" ref="AH124:AI124" si="160">SUM(AH122:AH123)</f>
        <v>2880345.1439999999</v>
      </c>
      <c r="AI124" s="55">
        <f t="shared" si="160"/>
        <v>2920390.5320000006</v>
      </c>
      <c r="AJ124" s="55">
        <f t="shared" ref="AJ124:AK124" si="161">SUM(AJ122:AJ123)</f>
        <v>3007507.8619999997</v>
      </c>
      <c r="AK124" s="55">
        <f t="shared" si="161"/>
        <v>2919539.3310000002</v>
      </c>
      <c r="AL124" s="55">
        <f t="shared" ref="AL124:AM124" si="162">SUM(AL122:AL123)</f>
        <v>3025902.4639999997</v>
      </c>
      <c r="AM124" s="55">
        <f t="shared" si="162"/>
        <v>3075808.1580938455</v>
      </c>
      <c r="AN124" s="55">
        <f t="shared" ref="AN124" si="163">SUM(AN122:AN123)</f>
        <v>3024673.0356222694</v>
      </c>
      <c r="AO124" s="74">
        <f t="shared" si="154"/>
        <v>5.7074409810036197E-3</v>
      </c>
      <c r="AP124" s="74">
        <f t="shared" si="155"/>
        <v>-1.6624938826895419E-2</v>
      </c>
      <c r="AQ124" s="23"/>
      <c r="AR124" s="23"/>
    </row>
    <row r="125" spans="1:44" s="25" customFormat="1" ht="18" customHeight="1" outlineLevel="1" x14ac:dyDescent="0.35">
      <c r="A125" s="35"/>
      <c r="B125" s="78" t="s">
        <v>374</v>
      </c>
      <c r="C125" s="117" t="s">
        <v>314</v>
      </c>
      <c r="D125" s="99"/>
      <c r="E125" s="96">
        <v>62962</v>
      </c>
      <c r="F125" s="96">
        <v>76051</v>
      </c>
      <c r="G125" s="96">
        <v>188994</v>
      </c>
      <c r="H125" s="96">
        <v>803623.60563419783</v>
      </c>
      <c r="I125" s="96">
        <v>1801617.6056341978</v>
      </c>
      <c r="J125" s="96">
        <v>2417635</v>
      </c>
      <c r="K125" s="96">
        <f>2778.970931*1000</f>
        <v>2778970.9309999999</v>
      </c>
      <c r="L125" s="96">
        <f>AVERAGE(AJ125:AN125)</f>
        <v>2931585.1649523983</v>
      </c>
      <c r="M125" s="84">
        <f t="shared" si="152"/>
        <v>0.14945842982915125</v>
      </c>
      <c r="N125" s="84">
        <f t="shared" si="153"/>
        <v>5.4917535210589952E-2</v>
      </c>
      <c r="O125" s="98"/>
      <c r="P125" s="99"/>
      <c r="Q125" s="96" t="s">
        <v>405</v>
      </c>
      <c r="R125" s="96" t="s">
        <v>405</v>
      </c>
      <c r="S125" s="96" t="s">
        <v>405</v>
      </c>
      <c r="T125" s="96">
        <f t="shared" ref="T125:AI125" si="164">AVERAGE(P124:T124)</f>
        <v>191098.3554875</v>
      </c>
      <c r="U125" s="96">
        <f t="shared" si="164"/>
        <v>239793.68438999998</v>
      </c>
      <c r="V125" s="96">
        <f t="shared" si="164"/>
        <v>337728.88438999996</v>
      </c>
      <c r="W125" s="96">
        <f t="shared" si="164"/>
        <v>499192.42685762484</v>
      </c>
      <c r="X125" s="96">
        <f t="shared" si="164"/>
        <v>717398.38472130406</v>
      </c>
      <c r="Y125" s="96">
        <f t="shared" si="164"/>
        <v>974281.98472130415</v>
      </c>
      <c r="Z125" s="96">
        <f t="shared" si="164"/>
        <v>1101195.6303873041</v>
      </c>
      <c r="AA125" s="96">
        <f t="shared" si="164"/>
        <v>1398261.230387304</v>
      </c>
      <c r="AB125" s="96">
        <f t="shared" si="164"/>
        <v>1667466.8879196791</v>
      </c>
      <c r="AC125" s="96">
        <f t="shared" si="164"/>
        <v>1883499.2456660003</v>
      </c>
      <c r="AD125" s="96">
        <f t="shared" si="164"/>
        <v>2062709.6456660002</v>
      </c>
      <c r="AE125" s="96">
        <f t="shared" si="164"/>
        <v>2357516.56</v>
      </c>
      <c r="AF125" s="96">
        <f t="shared" si="164"/>
        <v>2449265.3600000003</v>
      </c>
      <c r="AG125" s="96">
        <f t="shared" si="164"/>
        <v>2537484.66</v>
      </c>
      <c r="AH125" s="96">
        <f t="shared" si="164"/>
        <v>2633841.4887999999</v>
      </c>
      <c r="AI125" s="96">
        <f t="shared" si="164"/>
        <v>2724055.9951999998</v>
      </c>
      <c r="AJ125" s="96">
        <f>AVERAGE(AF124:AJ124)</f>
        <v>2816922.0075999997</v>
      </c>
      <c r="AK125" s="96">
        <f>2890.2469924*1000</f>
        <v>2890246.9924000003</v>
      </c>
      <c r="AL125" s="96">
        <v>2950240.9852</v>
      </c>
      <c r="AM125" s="96">
        <f>AVERAGE(AI124:AM124)</f>
        <v>2989829.6694187694</v>
      </c>
      <c r="AN125" s="96">
        <f>AVERAGE(AJ124:AN124)</f>
        <v>3010686.1701432229</v>
      </c>
      <c r="AO125" s="97">
        <f t="shared" si="154"/>
        <v>6.8785774693247204E-2</v>
      </c>
      <c r="AP125" s="97">
        <f t="shared" si="155"/>
        <v>6.9758156920383119E-3</v>
      </c>
      <c r="AR125" s="255"/>
    </row>
    <row r="126" spans="1:44" s="17" customFormat="1" ht="17.5" outlineLevel="1" x14ac:dyDescent="0.35">
      <c r="A126" s="32"/>
      <c r="B126" s="91"/>
      <c r="C126" s="91"/>
      <c r="D126" s="92"/>
      <c r="E126" s="93"/>
      <c r="F126" s="93"/>
      <c r="G126" s="93"/>
      <c r="H126" s="93"/>
      <c r="I126" s="93"/>
      <c r="J126" s="93"/>
      <c r="K126" s="93"/>
      <c r="L126" s="93"/>
      <c r="M126" s="94"/>
      <c r="N126" s="94"/>
      <c r="O126" s="71"/>
      <c r="P126" s="72"/>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4"/>
      <c r="AP126" s="94"/>
    </row>
    <row r="127" spans="1:44" s="17" customFormat="1" ht="17.5" outlineLevel="1" x14ac:dyDescent="0.35">
      <c r="A127" s="32"/>
      <c r="B127" s="119" t="s">
        <v>370</v>
      </c>
      <c r="C127" s="119" t="s">
        <v>386</v>
      </c>
      <c r="D127" s="120"/>
      <c r="E127" s="120">
        <f t="shared" ref="E127:J127" si="165">E120/E125</f>
        <v>0.2313141259807503</v>
      </c>
      <c r="F127" s="120">
        <f t="shared" si="165"/>
        <v>0.29584094883696466</v>
      </c>
      <c r="G127" s="120">
        <f t="shared" si="165"/>
        <v>0.21069451940273237</v>
      </c>
      <c r="H127" s="120">
        <f t="shared" si="165"/>
        <v>0.17284584353440133</v>
      </c>
      <c r="I127" s="120">
        <f t="shared" si="165"/>
        <v>0.17441714546821663</v>
      </c>
      <c r="J127" s="120">
        <f t="shared" si="165"/>
        <v>0.18823643767566237</v>
      </c>
      <c r="K127" s="120">
        <f>K120/K125</f>
        <v>0.1846692243503717</v>
      </c>
      <c r="L127" s="120">
        <f>L120/L125</f>
        <v>0.14250405787095183</v>
      </c>
      <c r="M127" s="228">
        <f>K127/J127-1</f>
        <v>-1.8950705662190148E-2</v>
      </c>
      <c r="N127" s="228">
        <f>L127/K127-1</f>
        <v>-0.22832806401688344</v>
      </c>
      <c r="O127" s="71"/>
      <c r="P127" s="72"/>
      <c r="Q127" s="120" t="s">
        <v>405</v>
      </c>
      <c r="R127" s="120" t="s">
        <v>405</v>
      </c>
      <c r="S127" s="120" t="s">
        <v>405</v>
      </c>
      <c r="T127" s="120">
        <f t="shared" ref="T127:AB127" si="166">SUM(Q120:T120)/T125</f>
        <v>0.20837437296839889</v>
      </c>
      <c r="U127" s="120">
        <f t="shared" si="166"/>
        <v>0.21418829328493311</v>
      </c>
      <c r="V127" s="120">
        <f t="shared" si="166"/>
        <v>0.20741785271498142</v>
      </c>
      <c r="W127" s="120">
        <f t="shared" si="166"/>
        <v>0.20213480327653083</v>
      </c>
      <c r="X127" s="120">
        <f t="shared" si="166"/>
        <v>0.19328730445060646</v>
      </c>
      <c r="Y127" s="120">
        <f t="shared" si="166"/>
        <v>0.18548428774621517</v>
      </c>
      <c r="Z127" s="120">
        <f t="shared" si="166"/>
        <v>0.20326088646145118</v>
      </c>
      <c r="AA127" s="120">
        <f t="shared" si="166"/>
        <v>0.19280874999682598</v>
      </c>
      <c r="AB127" s="120">
        <f t="shared" si="166"/>
        <v>0.18654103553928153</v>
      </c>
      <c r="AC127" s="120">
        <f t="shared" ref="AC127:AN127" si="167">SUM(Z120:AC120)/AC125</f>
        <v>0.18253577790971248</v>
      </c>
      <c r="AD127" s="120">
        <f t="shared" si="167"/>
        <v>0.18680767834175036</v>
      </c>
      <c r="AE127" s="120">
        <f t="shared" si="167"/>
        <v>0.18029989999306728</v>
      </c>
      <c r="AF127" s="120">
        <f t="shared" si="167"/>
        <v>0.18580551026941397</v>
      </c>
      <c r="AG127" s="120">
        <f t="shared" si="167"/>
        <v>0.19522994870045834</v>
      </c>
      <c r="AH127" s="120">
        <f t="shared" si="167"/>
        <v>0.19778841310789372</v>
      </c>
      <c r="AI127" s="120">
        <f t="shared" si="167"/>
        <v>0.19941718905241754</v>
      </c>
      <c r="AJ127" s="120">
        <f t="shared" si="167"/>
        <v>0.18218126200704984</v>
      </c>
      <c r="AK127" s="120">
        <f t="shared" si="167"/>
        <v>0.16297978835672064</v>
      </c>
      <c r="AL127" s="120">
        <f t="shared" si="167"/>
        <v>0.1405357520088851</v>
      </c>
      <c r="AM127" s="120">
        <f t="shared" si="167"/>
        <v>0.13548534234646847</v>
      </c>
      <c r="AN127" s="120">
        <f t="shared" si="167"/>
        <v>0.13875998971361628</v>
      </c>
      <c r="AO127" s="120">
        <f t="shared" ref="AO127" si="168">AN127/AJ127-1</f>
        <v>-0.23834104460069716</v>
      </c>
      <c r="AP127" s="120">
        <f t="shared" ref="AP127" si="169">AN127/AM127-1</f>
        <v>2.4169753793541249E-2</v>
      </c>
    </row>
    <row r="128" spans="1:44" s="17" customFormat="1" ht="17.5" outlineLevel="1" x14ac:dyDescent="0.35">
      <c r="A128" s="32"/>
      <c r="B128" s="73" t="s">
        <v>458</v>
      </c>
      <c r="C128" s="73" t="s">
        <v>479</v>
      </c>
      <c r="D128" s="79"/>
      <c r="E128" s="74"/>
      <c r="F128" s="74"/>
      <c r="G128" s="74"/>
      <c r="H128" s="74"/>
      <c r="I128" s="74"/>
      <c r="J128" s="74"/>
      <c r="K128" s="74"/>
      <c r="L128" s="74"/>
      <c r="M128" s="118"/>
      <c r="N128" s="118"/>
      <c r="O128" s="71"/>
      <c r="P128" s="72"/>
      <c r="Q128" s="74" t="str">
        <f>Q127</f>
        <v>N/D</v>
      </c>
      <c r="R128" s="74" t="str">
        <f t="shared" ref="R128:S128" si="170">R127</f>
        <v>N/D</v>
      </c>
      <c r="S128" s="74" t="str">
        <f t="shared" si="170"/>
        <v>N/D</v>
      </c>
      <c r="T128" s="74">
        <f t="shared" ref="T128:AN128" si="171">(SUM(Q120:T120)+SUM(Q51:T51))/T125</f>
        <v>0.20837437296839889</v>
      </c>
      <c r="U128" s="74">
        <f t="shared" si="171"/>
        <v>0.21418829328493311</v>
      </c>
      <c r="V128" s="74">
        <f t="shared" si="171"/>
        <v>0.20741785271498142</v>
      </c>
      <c r="W128" s="74">
        <f t="shared" si="171"/>
        <v>0.22810074206609685</v>
      </c>
      <c r="X128" s="74">
        <f t="shared" si="171"/>
        <v>0.21135536855007539</v>
      </c>
      <c r="Y128" s="74">
        <f t="shared" si="171"/>
        <v>0.19878844424635597</v>
      </c>
      <c r="Z128" s="74">
        <f t="shared" si="171"/>
        <v>0.21503172866452197</v>
      </c>
      <c r="AA128" s="74">
        <f t="shared" si="171"/>
        <v>0.19280874999682598</v>
      </c>
      <c r="AB128" s="74">
        <f t="shared" si="171"/>
        <v>0.18654103553928153</v>
      </c>
      <c r="AC128" s="74">
        <f t="shared" si="171"/>
        <v>0.18253577790971248</v>
      </c>
      <c r="AD128" s="74">
        <f t="shared" si="171"/>
        <v>0.18680767834175036</v>
      </c>
      <c r="AE128" s="74">
        <f t="shared" si="171"/>
        <v>0.18029989999306728</v>
      </c>
      <c r="AF128" s="74">
        <f t="shared" si="171"/>
        <v>0.18580551026941397</v>
      </c>
      <c r="AG128" s="74">
        <f t="shared" si="171"/>
        <v>0.19522994870045834</v>
      </c>
      <c r="AH128" s="74">
        <f t="shared" si="171"/>
        <v>0.19778841310789372</v>
      </c>
      <c r="AI128" s="74">
        <f t="shared" si="171"/>
        <v>0.20040688970642415</v>
      </c>
      <c r="AJ128" s="74">
        <f t="shared" si="171"/>
        <v>0.18508458626591634</v>
      </c>
      <c r="AK128" s="74">
        <f t="shared" si="171"/>
        <v>0.16777415334920645</v>
      </c>
      <c r="AL128" s="74">
        <f t="shared" si="171"/>
        <v>0.15382615750345249</v>
      </c>
      <c r="AM128" s="74">
        <f t="shared" si="171"/>
        <v>0.14803254507969066</v>
      </c>
      <c r="AN128" s="74">
        <f t="shared" si="171"/>
        <v>0.15666340373748175</v>
      </c>
      <c r="AO128" s="118">
        <f>100*(AN128-AJ128)</f>
        <v>-2.8421182528434592</v>
      </c>
      <c r="AP128" s="118">
        <f>100*(AN128-AM128)</f>
        <v>0.86308586577910906</v>
      </c>
    </row>
    <row r="129" spans="1:43" s="17" customFormat="1" x14ac:dyDescent="0.35">
      <c r="A129" s="33" t="s">
        <v>140</v>
      </c>
      <c r="B129" s="72"/>
      <c r="C129" s="72"/>
      <c r="D129" s="72"/>
      <c r="E129" s="108"/>
      <c r="F129" s="108"/>
      <c r="G129" s="108"/>
      <c r="H129" s="108"/>
      <c r="I129" s="108"/>
      <c r="J129" s="108"/>
      <c r="K129" s="229"/>
      <c r="L129" s="229"/>
      <c r="M129" s="72"/>
      <c r="N129" s="72"/>
      <c r="O129" s="71"/>
      <c r="P129" s="72"/>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72"/>
      <c r="AP129" s="72"/>
    </row>
    <row r="130" spans="1:43" s="17" customFormat="1" ht="17.5" x14ac:dyDescent="0.35">
      <c r="A130" s="32"/>
      <c r="B130" s="69" t="s">
        <v>369</v>
      </c>
      <c r="C130" s="69" t="s">
        <v>389</v>
      </c>
      <c r="D130" s="70"/>
      <c r="E130" s="70"/>
      <c r="F130" s="70"/>
      <c r="G130" s="70"/>
      <c r="H130" s="70"/>
      <c r="I130" s="70"/>
      <c r="J130" s="70"/>
      <c r="K130" s="70"/>
      <c r="L130" s="70"/>
      <c r="M130" s="70"/>
      <c r="N130" s="70"/>
      <c r="O130" s="71"/>
      <c r="P130" s="72"/>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row>
    <row r="131" spans="1:43" s="17" customFormat="1" ht="6.75" customHeight="1" outlineLevel="1" x14ac:dyDescent="0.35">
      <c r="A131" s="32"/>
      <c r="B131" s="72"/>
      <c r="C131" s="72"/>
      <c r="D131" s="72"/>
      <c r="E131" s="72"/>
      <c r="F131" s="72"/>
      <c r="G131" s="72"/>
      <c r="H131" s="72"/>
      <c r="I131" s="72"/>
      <c r="J131" s="72"/>
      <c r="K131" s="72"/>
      <c r="L131" s="72"/>
      <c r="M131" s="72"/>
      <c r="N131" s="72"/>
      <c r="O131" s="71"/>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row>
    <row r="132" spans="1:43" s="17" customFormat="1" ht="17.5" outlineLevel="1" x14ac:dyDescent="0.35">
      <c r="A132" s="32"/>
      <c r="B132" s="76" t="s">
        <v>124</v>
      </c>
      <c r="C132" s="76" t="s">
        <v>387</v>
      </c>
      <c r="D132" s="72"/>
      <c r="E132" s="54"/>
      <c r="F132" s="54"/>
      <c r="G132" s="54"/>
      <c r="H132" s="54">
        <v>66619.145367912381</v>
      </c>
      <c r="I132" s="54">
        <v>130917.1</v>
      </c>
      <c r="J132" s="54">
        <v>163283.19999999995</v>
      </c>
      <c r="K132" s="54">
        <f>SUM(AG132:AJ132)</f>
        <v>175638.83733274933</v>
      </c>
      <c r="L132" s="54">
        <f>SUM(AK132:AN132)</f>
        <v>73770.696889516956</v>
      </c>
      <c r="M132" s="84">
        <f>K132/J132-1</f>
        <v>7.5669985232708514E-2</v>
      </c>
      <c r="N132" s="84">
        <f>L132/K132-1</f>
        <v>-0.57998641980442112</v>
      </c>
      <c r="O132" s="71"/>
      <c r="P132" s="72"/>
      <c r="Q132" s="54">
        <v>3048</v>
      </c>
      <c r="R132" s="54">
        <v>3421.9999999999982</v>
      </c>
      <c r="S132" s="54">
        <v>3933.8117800000005</v>
      </c>
      <c r="T132" s="54">
        <v>7129.1882200000036</v>
      </c>
      <c r="U132" s="54">
        <v>7665</v>
      </c>
      <c r="V132" s="54">
        <v>10804</v>
      </c>
      <c r="W132" s="54">
        <v>22230.92</v>
      </c>
      <c r="X132" s="54">
        <v>25919.225367912379</v>
      </c>
      <c r="Y132" s="54">
        <v>27965</v>
      </c>
      <c r="Z132" s="54">
        <v>30837</v>
      </c>
      <c r="AA132" s="54">
        <v>38835</v>
      </c>
      <c r="AB132" s="54">
        <v>33280.1</v>
      </c>
      <c r="AC132" s="54">
        <v>26222</v>
      </c>
      <c r="AD132" s="54">
        <v>43435</v>
      </c>
      <c r="AE132" s="54">
        <v>47873.599999999977</v>
      </c>
      <c r="AF132" s="54">
        <v>45752.599999999977</v>
      </c>
      <c r="AG132" s="54">
        <v>53114</v>
      </c>
      <c r="AH132" s="54">
        <v>50394.917447484244</v>
      </c>
      <c r="AI132" s="54">
        <v>60839.093936685531</v>
      </c>
      <c r="AJ132" s="54">
        <f>'DRE - Income Statement'!AJ41</f>
        <v>11290.825948579546</v>
      </c>
      <c r="AK132" s="54">
        <f>'DRE - Income Statement'!AK41</f>
        <v>12512.005410000091</v>
      </c>
      <c r="AL132" s="54">
        <f>'DRE - Income Statement'!AL41</f>
        <v>-6715.3749304835401</v>
      </c>
      <c r="AM132" s="54">
        <f>'DRE - Income Statement'!AM41</f>
        <v>38303.854792999977</v>
      </c>
      <c r="AN132" s="54">
        <f>'DRE - Income Statement'!AN41</f>
        <v>29670.21161700043</v>
      </c>
      <c r="AO132" s="84">
        <f t="shared" ref="AO132" si="172">AN132/AJ132-1</f>
        <v>1.627815870346768</v>
      </c>
      <c r="AP132" s="84">
        <f t="shared" ref="AP132" si="173">AN132/AM132-1</f>
        <v>-0.2253988070562899</v>
      </c>
    </row>
    <row r="133" spans="1:43" s="17" customFormat="1" ht="17.5" outlineLevel="1" x14ac:dyDescent="0.35">
      <c r="A133" s="32"/>
      <c r="B133" s="121" t="s">
        <v>378</v>
      </c>
      <c r="C133" s="121" t="s">
        <v>329</v>
      </c>
      <c r="D133" s="92"/>
      <c r="E133" s="93"/>
      <c r="F133" s="93"/>
      <c r="G133" s="93"/>
      <c r="H133" s="93">
        <v>1112696.2112683957</v>
      </c>
      <c r="I133" s="93">
        <v>1158521</v>
      </c>
      <c r="J133" s="93">
        <v>1229942</v>
      </c>
      <c r="K133" s="93">
        <f>AVERAGE(AG133:AJ133)</f>
        <v>1236745.0085500001</v>
      </c>
      <c r="L133" s="93">
        <f>AVERAGE(AK133:AN133)</f>
        <v>1265948.117690498</v>
      </c>
      <c r="M133" s="113">
        <f>K133/J133-1</f>
        <v>5.5311620791875793E-3</v>
      </c>
      <c r="N133" s="113">
        <f>L133/K133-1</f>
        <v>2.3612878110368607E-2</v>
      </c>
      <c r="O133" s="71"/>
      <c r="P133" s="72"/>
      <c r="Q133" s="93" t="s">
        <v>405</v>
      </c>
      <c r="R133" s="93" t="s">
        <v>405</v>
      </c>
      <c r="S133" s="93" t="s">
        <v>405</v>
      </c>
      <c r="T133" s="93">
        <f t="shared" ref="T133:AJ133" si="174">AVERAGE(P122:T122)</f>
        <v>50083.128539999998</v>
      </c>
      <c r="U133" s="93">
        <f t="shared" si="174"/>
        <v>68498.502831999998</v>
      </c>
      <c r="V133" s="93">
        <f t="shared" si="174"/>
        <v>89774.302832000001</v>
      </c>
      <c r="W133" s="93">
        <f t="shared" si="174"/>
        <v>304536.102832</v>
      </c>
      <c r="X133" s="93">
        <f t="shared" si="174"/>
        <v>516186.44225367915</v>
      </c>
      <c r="Y133" s="93">
        <f t="shared" si="174"/>
        <v>726221.44225367915</v>
      </c>
      <c r="Z133" s="93">
        <f t="shared" si="174"/>
        <v>921673.64225367899</v>
      </c>
      <c r="AA133" s="93">
        <f t="shared" si="174"/>
        <v>1123019.8422536789</v>
      </c>
      <c r="AB133" s="93">
        <f t="shared" si="174"/>
        <v>1133028.0422536791</v>
      </c>
      <c r="AC133" s="93">
        <f t="shared" si="174"/>
        <v>1138435.2</v>
      </c>
      <c r="AD133" s="93">
        <f t="shared" si="174"/>
        <v>1146437.8</v>
      </c>
      <c r="AE133" s="93">
        <f t="shared" si="174"/>
        <v>1165212.56</v>
      </c>
      <c r="AF133" s="93">
        <f t="shared" si="174"/>
        <v>1183347.56</v>
      </c>
      <c r="AG133" s="93">
        <f t="shared" si="174"/>
        <v>1205811.6599999999</v>
      </c>
      <c r="AH133" s="93">
        <f t="shared" si="174"/>
        <v>1235589.2434</v>
      </c>
      <c r="AI133" s="93">
        <f t="shared" si="174"/>
        <v>1248256.5453999999</v>
      </c>
      <c r="AJ133" s="93">
        <f t="shared" si="174"/>
        <v>1257322.5854</v>
      </c>
      <c r="AK133" s="93">
        <f>AVERAGE(AG122:AK122)</f>
        <v>1264014.5854</v>
      </c>
      <c r="AL133" s="93">
        <f>AVERAGE(AH122:AL122)</f>
        <v>1256372.2853999999</v>
      </c>
      <c r="AM133" s="93">
        <f>AVERAGE(AI122:AM122)</f>
        <v>1262527.440618769</v>
      </c>
      <c r="AN133" s="93">
        <f>AVERAGE(AJ122:AN122)</f>
        <v>1280878.1593432229</v>
      </c>
      <c r="AO133" s="94"/>
      <c r="AP133" s="94"/>
    </row>
    <row r="134" spans="1:43" s="17" customFormat="1" ht="17.5" outlineLevel="1" x14ac:dyDescent="0.35">
      <c r="A134" s="32"/>
      <c r="B134" s="73" t="s">
        <v>369</v>
      </c>
      <c r="C134" s="73" t="s">
        <v>388</v>
      </c>
      <c r="D134" s="79"/>
      <c r="E134" s="74"/>
      <c r="F134" s="74"/>
      <c r="G134" s="74"/>
      <c r="H134" s="74">
        <f>H132/H133</f>
        <v>5.9871818285398157E-2</v>
      </c>
      <c r="I134" s="74">
        <f t="shared" ref="I134:L134" si="175">I132/I133</f>
        <v>0.11300364861750456</v>
      </c>
      <c r="J134" s="74">
        <f t="shared" si="175"/>
        <v>0.13275682918381512</v>
      </c>
      <c r="K134" s="74">
        <f t="shared" si="175"/>
        <v>0.14201701734674796</v>
      </c>
      <c r="L134" s="74">
        <f t="shared" si="175"/>
        <v>5.8273080751602008E-2</v>
      </c>
      <c r="M134" s="118">
        <f>100*(K134-J134)</f>
        <v>0.92601881629328364</v>
      </c>
      <c r="N134" s="118">
        <f>100*(L134-K134)</f>
        <v>-8.3743936595145954</v>
      </c>
      <c r="O134" s="71"/>
      <c r="P134" s="72"/>
      <c r="Q134" s="74" t="s">
        <v>405</v>
      </c>
      <c r="R134" s="74" t="s">
        <v>405</v>
      </c>
      <c r="S134" s="74" t="s">
        <v>405</v>
      </c>
      <c r="T134" s="74">
        <f t="shared" ref="T134:AI134" si="176">SUM(Q132:T132)/T133</f>
        <v>0.35007797058837653</v>
      </c>
      <c r="U134" s="74">
        <f t="shared" si="176"/>
        <v>0.32336473184421671</v>
      </c>
      <c r="V134" s="74">
        <f t="shared" si="176"/>
        <v>0.32895827723959042</v>
      </c>
      <c r="W134" s="74">
        <f t="shared" si="176"/>
        <v>0.15705562583620947</v>
      </c>
      <c r="X134" s="74">
        <f t="shared" si="176"/>
        <v>0.12906023853910617</v>
      </c>
      <c r="Y134" s="74">
        <f t="shared" si="176"/>
        <v>0.11968683422259835</v>
      </c>
      <c r="Z134" s="74">
        <f t="shared" si="176"/>
        <v>0.11604123245446478</v>
      </c>
      <c r="AA134" s="74">
        <f t="shared" si="176"/>
        <v>0.11002140898949697</v>
      </c>
      <c r="AB134" s="74">
        <f t="shared" si="176"/>
        <v>0.11554621343669122</v>
      </c>
      <c r="AC134" s="74">
        <f t="shared" si="176"/>
        <v>0.11346636154609416</v>
      </c>
      <c r="AD134" s="74">
        <f t="shared" si="176"/>
        <v>0.12366314160262336</v>
      </c>
      <c r="AE134" s="74">
        <f t="shared" si="176"/>
        <v>0.12942762992530735</v>
      </c>
      <c r="AF134" s="74">
        <f t="shared" si="176"/>
        <v>0.13798414389767275</v>
      </c>
      <c r="AG134" s="74">
        <f t="shared" si="176"/>
        <v>0.15771550923632632</v>
      </c>
      <c r="AH134" s="74">
        <f t="shared" si="176"/>
        <v>0.15954745357366729</v>
      </c>
      <c r="AI134" s="74">
        <f t="shared" si="176"/>
        <v>0.16831524910357562</v>
      </c>
      <c r="AJ134" s="74">
        <f>SUM(AG132:AJ132)/AJ133</f>
        <v>0.13969274025000691</v>
      </c>
      <c r="AK134" s="74">
        <f>SUM(AH132:AK132)/AK133</f>
        <v>0.10683171246795124</v>
      </c>
      <c r="AL134" s="74">
        <f>SUM(AI132:AL132)/AL133</f>
        <v>6.2025047249407932E-2</v>
      </c>
      <c r="AM134" s="74">
        <f>SUM(AJ132:AM132)/AM133</f>
        <v>4.3873352324087782E-2</v>
      </c>
      <c r="AN134" s="74">
        <f>SUM(AK132:AN132)/AN133</f>
        <v>5.7593843997889131E-2</v>
      </c>
      <c r="AO134" s="118">
        <f>100*(AN134-AJ134)</f>
        <v>-8.2098896252117779</v>
      </c>
      <c r="AP134" s="118">
        <f>100*(AN134-AM134)</f>
        <v>1.3720491673801349</v>
      </c>
    </row>
    <row r="135" spans="1:43" s="17" customFormat="1" x14ac:dyDescent="0.35">
      <c r="A135" s="33" t="s">
        <v>140</v>
      </c>
      <c r="B135" s="72"/>
      <c r="C135" s="72"/>
      <c r="D135" s="72"/>
      <c r="E135" s="72"/>
      <c r="F135" s="72"/>
      <c r="G135" s="72"/>
      <c r="H135" s="72"/>
      <c r="I135" s="72"/>
      <c r="J135" s="72"/>
      <c r="K135" s="72"/>
      <c r="L135" s="72"/>
      <c r="M135" s="72"/>
      <c r="N135" s="72"/>
      <c r="O135" s="71"/>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row>
    <row r="136" spans="1:43" s="17" customFormat="1" ht="17.5" x14ac:dyDescent="0.35">
      <c r="A136" s="32" t="s">
        <v>82</v>
      </c>
      <c r="B136" s="69" t="s">
        <v>108</v>
      </c>
      <c r="C136" s="69" t="s">
        <v>282</v>
      </c>
      <c r="D136" s="70"/>
      <c r="E136" s="70"/>
      <c r="F136" s="70"/>
      <c r="G136" s="70"/>
      <c r="H136" s="70"/>
      <c r="I136" s="70"/>
      <c r="J136" s="70"/>
      <c r="K136" s="70"/>
      <c r="L136" s="70"/>
      <c r="M136" s="70"/>
      <c r="N136" s="70"/>
      <c r="O136" s="71"/>
      <c r="P136" s="72"/>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row>
    <row r="137" spans="1:43" s="17" customFormat="1" ht="6.75" customHeight="1" outlineLevel="1" x14ac:dyDescent="0.35">
      <c r="A137" s="32"/>
      <c r="B137" s="72"/>
      <c r="C137" s="72"/>
      <c r="D137" s="72"/>
      <c r="E137" s="72"/>
      <c r="F137" s="72"/>
      <c r="G137" s="72"/>
      <c r="H137" s="72"/>
      <c r="I137" s="72"/>
      <c r="J137" s="72"/>
      <c r="K137" s="72"/>
      <c r="L137" s="72"/>
      <c r="M137" s="72"/>
      <c r="N137" s="72"/>
      <c r="O137" s="71"/>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row>
    <row r="138" spans="1:43" s="17" customFormat="1" ht="17.5" outlineLevel="1" x14ac:dyDescent="0.35">
      <c r="A138" s="32"/>
      <c r="B138" s="76" t="s">
        <v>502</v>
      </c>
      <c r="C138" s="76" t="s">
        <v>217</v>
      </c>
      <c r="D138" s="72"/>
      <c r="E138" s="54">
        <v>4553</v>
      </c>
      <c r="F138" s="54">
        <v>6943</v>
      </c>
      <c r="G138" s="54">
        <v>16015</v>
      </c>
      <c r="H138" s="54">
        <v>51044</v>
      </c>
      <c r="I138" s="54">
        <v>127856</v>
      </c>
      <c r="J138" s="54">
        <v>174405</v>
      </c>
      <c r="K138" s="54">
        <f>SUM(AG138:AJ138)</f>
        <v>177798</v>
      </c>
      <c r="L138" s="54">
        <f>SUM(AK138:AN138)</f>
        <v>213960</v>
      </c>
      <c r="M138" s="54"/>
      <c r="N138" s="54"/>
      <c r="O138" s="71"/>
      <c r="P138" s="54"/>
      <c r="Q138" s="54">
        <v>2370</v>
      </c>
      <c r="R138" s="54">
        <v>2803</v>
      </c>
      <c r="S138" s="54">
        <v>4023</v>
      </c>
      <c r="T138" s="54">
        <v>6819</v>
      </c>
      <c r="U138" s="54">
        <v>8181</v>
      </c>
      <c r="V138" s="54">
        <v>10847</v>
      </c>
      <c r="W138" s="54">
        <v>11578</v>
      </c>
      <c r="X138" s="54">
        <v>20438</v>
      </c>
      <c r="Y138" s="54">
        <v>24101</v>
      </c>
      <c r="Z138" s="54">
        <v>29715</v>
      </c>
      <c r="AA138" s="54">
        <v>33432</v>
      </c>
      <c r="AB138" s="54">
        <v>40608</v>
      </c>
      <c r="AC138" s="54">
        <v>39188</v>
      </c>
      <c r="AD138" s="54">
        <v>41332</v>
      </c>
      <c r="AE138" s="54">
        <v>44976</v>
      </c>
      <c r="AF138" s="54">
        <v>48909</v>
      </c>
      <c r="AG138" s="54">
        <v>38377</v>
      </c>
      <c r="AH138" s="54">
        <v>30519</v>
      </c>
      <c r="AI138" s="54">
        <v>35061</v>
      </c>
      <c r="AJ138" s="54">
        <v>73841</v>
      </c>
      <c r="AK138" s="54">
        <v>48583</v>
      </c>
      <c r="AL138" s="54">
        <v>51327.15496</v>
      </c>
      <c r="AM138" s="54">
        <v>48153.077479999993</v>
      </c>
      <c r="AN138" s="54">
        <v>65896.767560000022</v>
      </c>
      <c r="AO138" s="122"/>
      <c r="AP138" s="122"/>
    </row>
    <row r="139" spans="1:43" s="17" customFormat="1" ht="17.5" outlineLevel="1" x14ac:dyDescent="0.35">
      <c r="A139" s="32"/>
      <c r="B139" s="76" t="s">
        <v>135</v>
      </c>
      <c r="C139" s="76" t="s">
        <v>283</v>
      </c>
      <c r="D139" s="72"/>
      <c r="E139" s="54">
        <v>7988</v>
      </c>
      <c r="F139" s="54">
        <v>13766</v>
      </c>
      <c r="G139" s="54">
        <v>26975</v>
      </c>
      <c r="H139" s="54">
        <v>94950</v>
      </c>
      <c r="I139" s="54">
        <v>228450</v>
      </c>
      <c r="J139" s="54">
        <v>349091</v>
      </c>
      <c r="K139" s="54">
        <f t="shared" ref="K139:K155" si="177">SUM(AG139:AJ139)</f>
        <v>551966</v>
      </c>
      <c r="L139" s="54">
        <f t="shared" ref="L139:L156" si="178">SUM(AK139:AN139)</f>
        <v>475188</v>
      </c>
      <c r="M139" s="54"/>
      <c r="N139" s="54"/>
      <c r="O139" s="71"/>
      <c r="P139" s="54"/>
      <c r="Q139" s="54">
        <v>5217</v>
      </c>
      <c r="R139" s="54">
        <v>4489</v>
      </c>
      <c r="S139" s="54">
        <v>7480</v>
      </c>
      <c r="T139" s="54">
        <v>9789</v>
      </c>
      <c r="U139" s="54">
        <v>11013</v>
      </c>
      <c r="V139" s="54">
        <v>14854</v>
      </c>
      <c r="W139" s="54">
        <v>20302</v>
      </c>
      <c r="X139" s="54">
        <v>48781</v>
      </c>
      <c r="Y139" s="54">
        <v>51224</v>
      </c>
      <c r="Z139" s="54">
        <v>58306</v>
      </c>
      <c r="AA139" s="54">
        <v>54376</v>
      </c>
      <c r="AB139" s="54">
        <v>64544</v>
      </c>
      <c r="AC139" s="54">
        <v>66146</v>
      </c>
      <c r="AD139" s="54">
        <v>69526</v>
      </c>
      <c r="AE139" s="54">
        <v>90874</v>
      </c>
      <c r="AF139" s="54">
        <v>122545</v>
      </c>
      <c r="AG139" s="54">
        <v>117030</v>
      </c>
      <c r="AH139" s="54">
        <v>136041</v>
      </c>
      <c r="AI139" s="54">
        <v>156213</v>
      </c>
      <c r="AJ139" s="54">
        <v>142682</v>
      </c>
      <c r="AK139" s="54">
        <v>123352</v>
      </c>
      <c r="AL139" s="54">
        <v>115254</v>
      </c>
      <c r="AM139" s="54">
        <v>117040</v>
      </c>
      <c r="AN139" s="54">
        <v>119542</v>
      </c>
      <c r="AO139" s="122"/>
      <c r="AP139" s="122"/>
      <c r="AQ139" s="39"/>
    </row>
    <row r="140" spans="1:43" s="17" customFormat="1" ht="17.5" outlineLevel="1" x14ac:dyDescent="0.35">
      <c r="A140" s="32"/>
      <c r="B140" s="76" t="s">
        <v>103</v>
      </c>
      <c r="C140" s="76" t="s">
        <v>284</v>
      </c>
      <c r="D140" s="72"/>
      <c r="E140" s="54">
        <v>4117</v>
      </c>
      <c r="F140" s="54">
        <v>6152</v>
      </c>
      <c r="G140" s="54">
        <v>11451</v>
      </c>
      <c r="H140" s="54">
        <v>36873</v>
      </c>
      <c r="I140" s="54">
        <v>69124</v>
      </c>
      <c r="J140" s="54">
        <v>89864</v>
      </c>
      <c r="K140" s="54">
        <f t="shared" si="177"/>
        <v>115844</v>
      </c>
      <c r="L140" s="54">
        <f t="shared" si="178"/>
        <v>133540</v>
      </c>
      <c r="M140" s="54"/>
      <c r="N140" s="54"/>
      <c r="O140" s="71"/>
      <c r="P140" s="54"/>
      <c r="Q140" s="54">
        <v>2053</v>
      </c>
      <c r="R140" s="54">
        <v>2184</v>
      </c>
      <c r="S140" s="54">
        <v>3314</v>
      </c>
      <c r="T140" s="54">
        <v>3900</v>
      </c>
      <c r="U140" s="54">
        <v>4594</v>
      </c>
      <c r="V140" s="54">
        <v>6740</v>
      </c>
      <c r="W140" s="54">
        <v>9816</v>
      </c>
      <c r="X140" s="54">
        <v>15723</v>
      </c>
      <c r="Y140" s="54">
        <v>16465</v>
      </c>
      <c r="Z140" s="54">
        <v>18912</v>
      </c>
      <c r="AA140" s="54">
        <v>19509</v>
      </c>
      <c r="AB140" s="54">
        <v>14238</v>
      </c>
      <c r="AC140" s="54">
        <v>20403</v>
      </c>
      <c r="AD140" s="54">
        <v>22374</v>
      </c>
      <c r="AE140" s="54">
        <v>24664</v>
      </c>
      <c r="AF140" s="54">
        <v>22423</v>
      </c>
      <c r="AG140" s="54">
        <v>20561</v>
      </c>
      <c r="AH140" s="54">
        <v>26954</v>
      </c>
      <c r="AI140" s="54">
        <v>32640.603058375302</v>
      </c>
      <c r="AJ140" s="54">
        <v>35688.396941624698</v>
      </c>
      <c r="AK140" s="54">
        <v>30639</v>
      </c>
      <c r="AL140" s="54">
        <v>36308</v>
      </c>
      <c r="AM140" s="54">
        <v>34177</v>
      </c>
      <c r="AN140" s="54">
        <v>32416</v>
      </c>
      <c r="AO140" s="122"/>
      <c r="AP140" s="122"/>
      <c r="AQ140" s="39"/>
    </row>
    <row r="141" spans="1:43" s="17" customFormat="1" ht="17.5" outlineLevel="1" x14ac:dyDescent="0.35">
      <c r="A141" s="32"/>
      <c r="B141" s="76" t="s">
        <v>104</v>
      </c>
      <c r="C141" s="76" t="s">
        <v>331</v>
      </c>
      <c r="D141" s="72"/>
      <c r="E141" s="54">
        <v>5377</v>
      </c>
      <c r="F141" s="54">
        <v>5963</v>
      </c>
      <c r="G141" s="54">
        <v>6095</v>
      </c>
      <c r="H141" s="54">
        <v>14770</v>
      </c>
      <c r="I141" s="54">
        <v>32697</v>
      </c>
      <c r="J141" s="54">
        <v>36208</v>
      </c>
      <c r="K141" s="54">
        <f t="shared" si="177"/>
        <v>42699</v>
      </c>
      <c r="L141" s="54">
        <f t="shared" si="178"/>
        <v>51048</v>
      </c>
      <c r="M141" s="54"/>
      <c r="N141" s="54"/>
      <c r="O141" s="71"/>
      <c r="P141" s="54"/>
      <c r="Q141" s="54">
        <v>1413</v>
      </c>
      <c r="R141" s="54">
        <v>1060</v>
      </c>
      <c r="S141" s="54">
        <v>1478</v>
      </c>
      <c r="T141" s="54">
        <v>2144</v>
      </c>
      <c r="U141" s="54">
        <v>1807</v>
      </c>
      <c r="V141" s="54">
        <v>2891</v>
      </c>
      <c r="W141" s="54">
        <v>4356</v>
      </c>
      <c r="X141" s="54">
        <v>5716</v>
      </c>
      <c r="Y141" s="54">
        <v>5987</v>
      </c>
      <c r="Z141" s="54">
        <v>8165</v>
      </c>
      <c r="AA141" s="54">
        <v>9449</v>
      </c>
      <c r="AB141" s="54">
        <v>9096</v>
      </c>
      <c r="AC141" s="54">
        <v>9784</v>
      </c>
      <c r="AD141" s="54">
        <v>8163</v>
      </c>
      <c r="AE141" s="54">
        <v>9036</v>
      </c>
      <c r="AF141" s="54">
        <v>9225</v>
      </c>
      <c r="AG141" s="54">
        <v>8684</v>
      </c>
      <c r="AH141" s="54">
        <v>8989</v>
      </c>
      <c r="AI141" s="54">
        <v>14396</v>
      </c>
      <c r="AJ141" s="54">
        <v>10630</v>
      </c>
      <c r="AK141" s="54">
        <v>11321</v>
      </c>
      <c r="AL141" s="54">
        <v>14535</v>
      </c>
      <c r="AM141" s="54">
        <v>12896</v>
      </c>
      <c r="AN141" s="54">
        <v>12296</v>
      </c>
      <c r="AO141" s="122"/>
      <c r="AP141" s="122"/>
    </row>
    <row r="142" spans="1:43" s="17" customFormat="1" ht="17.5" outlineLevel="1" x14ac:dyDescent="0.35">
      <c r="A142" s="32"/>
      <c r="B142" s="76" t="s">
        <v>136</v>
      </c>
      <c r="C142" s="76" t="s">
        <v>285</v>
      </c>
      <c r="D142" s="72"/>
      <c r="E142" s="54">
        <v>2091</v>
      </c>
      <c r="F142" s="54">
        <v>1017</v>
      </c>
      <c r="G142" s="54">
        <v>1135</v>
      </c>
      <c r="H142" s="54">
        <v>3572</v>
      </c>
      <c r="I142" s="54">
        <v>37613</v>
      </c>
      <c r="J142" s="54">
        <v>76258</v>
      </c>
      <c r="K142" s="54">
        <f t="shared" si="177"/>
        <v>115780</v>
      </c>
      <c r="L142" s="54">
        <f t="shared" si="178"/>
        <v>320347</v>
      </c>
      <c r="M142" s="54"/>
      <c r="N142" s="54"/>
      <c r="O142" s="71"/>
      <c r="P142" s="54"/>
      <c r="Q142" s="54">
        <v>5</v>
      </c>
      <c r="R142" s="54">
        <v>329</v>
      </c>
      <c r="S142" s="54">
        <v>304</v>
      </c>
      <c r="T142" s="54">
        <v>497</v>
      </c>
      <c r="U142" s="54">
        <v>1960</v>
      </c>
      <c r="V142" s="54">
        <v>586</v>
      </c>
      <c r="W142" s="54">
        <v>322</v>
      </c>
      <c r="X142" s="54">
        <v>704</v>
      </c>
      <c r="Y142" s="54">
        <v>7453</v>
      </c>
      <c r="Z142" s="54">
        <v>8923</v>
      </c>
      <c r="AA142" s="54">
        <v>12625</v>
      </c>
      <c r="AB142" s="54">
        <v>8612</v>
      </c>
      <c r="AC142" s="54">
        <v>20023</v>
      </c>
      <c r="AD142" s="54">
        <v>13879</v>
      </c>
      <c r="AE142" s="54">
        <v>16257</v>
      </c>
      <c r="AF142" s="54">
        <v>26099</v>
      </c>
      <c r="AG142" s="54">
        <v>20325</v>
      </c>
      <c r="AH142" s="54">
        <v>16054</v>
      </c>
      <c r="AI142" s="54">
        <v>39499</v>
      </c>
      <c r="AJ142" s="54">
        <v>39902</v>
      </c>
      <c r="AK142" s="54">
        <v>57486</v>
      </c>
      <c r="AL142" s="54">
        <v>71385</v>
      </c>
      <c r="AM142" s="54">
        <v>78336</v>
      </c>
      <c r="AN142" s="54">
        <v>113140</v>
      </c>
      <c r="AO142" s="122"/>
      <c r="AP142" s="122"/>
    </row>
    <row r="143" spans="1:43" s="17" customFormat="1" ht="17.5" outlineLevel="1" x14ac:dyDescent="0.35">
      <c r="A143" s="32"/>
      <c r="B143" s="76" t="s">
        <v>105</v>
      </c>
      <c r="C143" s="76" t="s">
        <v>332</v>
      </c>
      <c r="D143" s="72"/>
      <c r="E143" s="54">
        <v>0</v>
      </c>
      <c r="F143" s="54">
        <v>0</v>
      </c>
      <c r="G143" s="54">
        <v>89</v>
      </c>
      <c r="H143" s="54">
        <v>239</v>
      </c>
      <c r="I143" s="54">
        <v>0</v>
      </c>
      <c r="J143" s="54">
        <v>0</v>
      </c>
      <c r="K143" s="54">
        <f t="shared" si="177"/>
        <v>0</v>
      </c>
      <c r="L143" s="54">
        <f t="shared" si="178"/>
        <v>0</v>
      </c>
      <c r="M143" s="54"/>
      <c r="N143" s="54"/>
      <c r="O143" s="71"/>
      <c r="P143" s="54"/>
      <c r="Q143" s="54">
        <v>0</v>
      </c>
      <c r="R143" s="54">
        <v>0</v>
      </c>
      <c r="S143" s="54">
        <v>0</v>
      </c>
      <c r="T143" s="54">
        <v>89</v>
      </c>
      <c r="U143" s="54">
        <v>0</v>
      </c>
      <c r="V143" s="54">
        <v>0</v>
      </c>
      <c r="W143" s="54">
        <v>239</v>
      </c>
      <c r="X143" s="54">
        <v>0</v>
      </c>
      <c r="Y143" s="54">
        <v>997</v>
      </c>
      <c r="Z143" s="54">
        <v>997</v>
      </c>
      <c r="AA143" s="54">
        <v>-1994</v>
      </c>
      <c r="AB143" s="54">
        <v>0</v>
      </c>
      <c r="AC143" s="54">
        <v>0</v>
      </c>
      <c r="AD143" s="54">
        <v>0</v>
      </c>
      <c r="AE143" s="54">
        <v>0</v>
      </c>
      <c r="AF143" s="54">
        <v>0</v>
      </c>
      <c r="AG143" s="54">
        <v>0</v>
      </c>
      <c r="AH143" s="54">
        <v>0</v>
      </c>
      <c r="AI143" s="54">
        <v>0</v>
      </c>
      <c r="AJ143" s="54">
        <v>0</v>
      </c>
      <c r="AK143" s="54">
        <v>0</v>
      </c>
      <c r="AL143" s="54">
        <v>0</v>
      </c>
      <c r="AM143" s="54">
        <v>0</v>
      </c>
      <c r="AN143" s="54">
        <v>0</v>
      </c>
      <c r="AO143" s="122"/>
      <c r="AP143" s="122"/>
    </row>
    <row r="144" spans="1:43" s="17" customFormat="1" ht="17.5" outlineLevel="1" x14ac:dyDescent="0.35">
      <c r="A144" s="32"/>
      <c r="B144" s="91" t="s">
        <v>137</v>
      </c>
      <c r="C144" s="91" t="s">
        <v>286</v>
      </c>
      <c r="D144" s="92"/>
      <c r="E144" s="93">
        <v>1719</v>
      </c>
      <c r="F144" s="93">
        <v>640</v>
      </c>
      <c r="G144" s="93">
        <v>-720</v>
      </c>
      <c r="H144" s="93">
        <v>455</v>
      </c>
      <c r="I144" s="93">
        <v>8394</v>
      </c>
      <c r="J144" s="93">
        <v>8311</v>
      </c>
      <c r="K144" s="93">
        <f t="shared" si="177"/>
        <v>47261</v>
      </c>
      <c r="L144" s="93">
        <f t="shared" si="178"/>
        <v>52476.034579999774</v>
      </c>
      <c r="M144" s="94"/>
      <c r="N144" s="94"/>
      <c r="O144" s="71"/>
      <c r="P144" s="72"/>
      <c r="Q144" s="93">
        <v>-474</v>
      </c>
      <c r="R144" s="93">
        <v>1767</v>
      </c>
      <c r="S144" s="93">
        <v>-362</v>
      </c>
      <c r="T144" s="93">
        <v>-1651</v>
      </c>
      <c r="U144" s="93">
        <v>888</v>
      </c>
      <c r="V144" s="93">
        <v>1415</v>
      </c>
      <c r="W144" s="93">
        <v>928</v>
      </c>
      <c r="X144" s="93">
        <v>-2776</v>
      </c>
      <c r="Y144" s="93">
        <v>1944</v>
      </c>
      <c r="Z144" s="93">
        <v>1175</v>
      </c>
      <c r="AA144" s="93">
        <v>2910</v>
      </c>
      <c r="AB144" s="93">
        <v>2365</v>
      </c>
      <c r="AC144" s="93">
        <v>2263</v>
      </c>
      <c r="AD144" s="93">
        <v>1672</v>
      </c>
      <c r="AE144" s="93">
        <v>4888</v>
      </c>
      <c r="AF144" s="93">
        <v>-512</v>
      </c>
      <c r="AG144" s="93">
        <v>9253</v>
      </c>
      <c r="AH144" s="93">
        <v>18576</v>
      </c>
      <c r="AI144" s="93">
        <v>14342</v>
      </c>
      <c r="AJ144" s="93">
        <v>5090</v>
      </c>
      <c r="AK144" s="93">
        <v>17704.925999999999</v>
      </c>
      <c r="AL144" s="93">
        <v>15059.074000000001</v>
      </c>
      <c r="AM144" s="93">
        <v>8302.6664870001114</v>
      </c>
      <c r="AN144" s="93">
        <v>11409.368092999663</v>
      </c>
      <c r="AO144" s="94"/>
      <c r="AP144" s="94"/>
    </row>
    <row r="145" spans="1:44" s="17" customFormat="1" ht="17.5" outlineLevel="1" x14ac:dyDescent="0.35">
      <c r="A145" s="32"/>
      <c r="B145" s="73" t="s">
        <v>106</v>
      </c>
      <c r="C145" s="73" t="s">
        <v>287</v>
      </c>
      <c r="D145" s="79"/>
      <c r="E145" s="55">
        <v>25845</v>
      </c>
      <c r="F145" s="55">
        <v>34481</v>
      </c>
      <c r="G145" s="55">
        <v>61040</v>
      </c>
      <c r="H145" s="55">
        <f>SUM(H138:H144)</f>
        <v>201903</v>
      </c>
      <c r="I145" s="55">
        <f>SUM(I138:I144)</f>
        <v>504134</v>
      </c>
      <c r="J145" s="55">
        <f>SUM(J138:J144)</f>
        <v>734137</v>
      </c>
      <c r="K145" s="55">
        <f>SUM(K138:K144)</f>
        <v>1051348</v>
      </c>
      <c r="L145" s="55">
        <f t="shared" si="178"/>
        <v>1246559.0345799997</v>
      </c>
      <c r="M145" s="74">
        <f>K145/J145-1</f>
        <v>0.43208692655458036</v>
      </c>
      <c r="N145" s="74">
        <f>L145/K145-1</f>
        <v>0.18567689725951797</v>
      </c>
      <c r="O145" s="71"/>
      <c r="P145" s="72"/>
      <c r="Q145" s="55">
        <f t="shared" ref="Q145:Y145" si="179">SUM(Q138:Q144)</f>
        <v>10584</v>
      </c>
      <c r="R145" s="55">
        <f t="shared" si="179"/>
        <v>12632</v>
      </c>
      <c r="S145" s="55">
        <f t="shared" si="179"/>
        <v>16237</v>
      </c>
      <c r="T145" s="55">
        <f t="shared" si="179"/>
        <v>21587</v>
      </c>
      <c r="U145" s="55">
        <f t="shared" si="179"/>
        <v>28443</v>
      </c>
      <c r="V145" s="55">
        <f t="shared" si="179"/>
        <v>37333</v>
      </c>
      <c r="W145" s="55">
        <f t="shared" si="179"/>
        <v>47541</v>
      </c>
      <c r="X145" s="55">
        <f t="shared" si="179"/>
        <v>88586</v>
      </c>
      <c r="Y145" s="55">
        <f t="shared" si="179"/>
        <v>108171</v>
      </c>
      <c r="Z145" s="55">
        <f t="shared" ref="Z145:AI145" si="180">SUM(Z138:Z144)</f>
        <v>126193</v>
      </c>
      <c r="AA145" s="55">
        <f t="shared" si="180"/>
        <v>130307</v>
      </c>
      <c r="AB145" s="55">
        <f t="shared" si="180"/>
        <v>139463</v>
      </c>
      <c r="AC145" s="55">
        <f t="shared" si="180"/>
        <v>157807</v>
      </c>
      <c r="AD145" s="55">
        <f t="shared" si="180"/>
        <v>156946</v>
      </c>
      <c r="AE145" s="55">
        <f t="shared" si="180"/>
        <v>190695</v>
      </c>
      <c r="AF145" s="55">
        <f t="shared" si="180"/>
        <v>228689</v>
      </c>
      <c r="AG145" s="55">
        <f t="shared" si="180"/>
        <v>214230</v>
      </c>
      <c r="AH145" s="55">
        <f t="shared" si="180"/>
        <v>237133</v>
      </c>
      <c r="AI145" s="55">
        <f t="shared" si="180"/>
        <v>292151.6030583753</v>
      </c>
      <c r="AJ145" s="55">
        <f t="shared" ref="AJ145:AK145" si="181">SUM(AJ138:AJ144)</f>
        <v>307833.3969416247</v>
      </c>
      <c r="AK145" s="55">
        <f t="shared" si="181"/>
        <v>289085.92599999998</v>
      </c>
      <c r="AL145" s="55">
        <f t="shared" ref="AL145:AN145" si="182">SUM(AL138:AL144)</f>
        <v>303868.22896000004</v>
      </c>
      <c r="AM145" s="55">
        <f t="shared" si="182"/>
        <v>298904.7439670001</v>
      </c>
      <c r="AN145" s="55">
        <f t="shared" si="182"/>
        <v>354700.13565299968</v>
      </c>
      <c r="AO145" s="74">
        <f t="shared" ref="AO145" si="183">AN145/AJ145-1</f>
        <v>0.1522470894224075</v>
      </c>
      <c r="AP145" s="74">
        <f t="shared" ref="AP145" si="184">AN145/AM145-1</f>
        <v>0.18666612963546525</v>
      </c>
    </row>
    <row r="146" spans="1:44" s="17" customFormat="1" ht="17.5" outlineLevel="1" x14ac:dyDescent="0.35">
      <c r="A146" s="32"/>
      <c r="B146" s="72"/>
      <c r="C146" s="72"/>
      <c r="D146" s="72"/>
      <c r="E146" s="72"/>
      <c r="F146" s="72"/>
      <c r="G146" s="72"/>
      <c r="H146" s="72"/>
      <c r="I146" s="72"/>
      <c r="J146" s="72"/>
      <c r="K146" s="72"/>
      <c r="L146" s="72"/>
      <c r="M146" s="72"/>
      <c r="N146" s="72"/>
      <c r="O146" s="71"/>
      <c r="P146" s="72"/>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72"/>
      <c r="AP146" s="72"/>
    </row>
    <row r="147" spans="1:44" s="17" customFormat="1" ht="17.5" outlineLevel="1" x14ac:dyDescent="0.35">
      <c r="A147" s="32"/>
      <c r="B147" s="76" t="s">
        <v>44</v>
      </c>
      <c r="C147" s="76" t="s">
        <v>217</v>
      </c>
      <c r="D147" s="72"/>
      <c r="E147" s="54">
        <v>4</v>
      </c>
      <c r="F147" s="54">
        <v>58</v>
      </c>
      <c r="G147" s="54">
        <v>113</v>
      </c>
      <c r="H147" s="54">
        <v>3570</v>
      </c>
      <c r="I147" s="54">
        <v>9311</v>
      </c>
      <c r="J147" s="54">
        <v>11247</v>
      </c>
      <c r="K147" s="54">
        <f t="shared" si="177"/>
        <v>25680.416209999999</v>
      </c>
      <c r="L147" s="54">
        <f t="shared" si="178"/>
        <v>26483</v>
      </c>
      <c r="M147" s="54"/>
      <c r="N147" s="54"/>
      <c r="O147" s="71"/>
      <c r="P147" s="54"/>
      <c r="Q147" s="54">
        <v>6</v>
      </c>
      <c r="R147" s="54">
        <v>34</v>
      </c>
      <c r="S147" s="54">
        <v>28</v>
      </c>
      <c r="T147" s="54">
        <v>45</v>
      </c>
      <c r="U147" s="54">
        <v>53</v>
      </c>
      <c r="V147" s="54">
        <v>86</v>
      </c>
      <c r="W147" s="54">
        <v>173</v>
      </c>
      <c r="X147" s="54">
        <v>3258</v>
      </c>
      <c r="Y147" s="54">
        <v>2926</v>
      </c>
      <c r="Z147" s="54">
        <v>1299</v>
      </c>
      <c r="AA147" s="54">
        <v>2636</v>
      </c>
      <c r="AB147" s="54">
        <v>2450</v>
      </c>
      <c r="AC147" s="54">
        <v>2530</v>
      </c>
      <c r="AD147" s="54">
        <v>2657</v>
      </c>
      <c r="AE147" s="54">
        <v>2903</v>
      </c>
      <c r="AF147" s="54">
        <v>3157</v>
      </c>
      <c r="AG147" s="54">
        <v>5873</v>
      </c>
      <c r="AH147" s="54">
        <v>4729</v>
      </c>
      <c r="AI147" s="54">
        <v>7451</v>
      </c>
      <c r="AJ147" s="54">
        <v>7627.4162099999994</v>
      </c>
      <c r="AK147" s="54">
        <v>7743</v>
      </c>
      <c r="AL147" s="54">
        <v>7825.4994499999993</v>
      </c>
      <c r="AM147" s="54">
        <v>9890.0832399999999</v>
      </c>
      <c r="AN147" s="54">
        <v>1024.4173100000007</v>
      </c>
      <c r="AO147" s="122"/>
      <c r="AP147" s="122"/>
      <c r="AQ147" s="23"/>
      <c r="AR147" s="23"/>
    </row>
    <row r="148" spans="1:44" s="17" customFormat="1" ht="17.5" outlineLevel="1" x14ac:dyDescent="0.35">
      <c r="A148" s="32"/>
      <c r="B148" s="76" t="s">
        <v>130</v>
      </c>
      <c r="C148" s="76" t="s">
        <v>283</v>
      </c>
      <c r="D148" s="72"/>
      <c r="E148" s="54">
        <v>1951</v>
      </c>
      <c r="F148" s="54">
        <v>1959</v>
      </c>
      <c r="G148" s="54">
        <v>4616</v>
      </c>
      <c r="H148" s="54">
        <v>28261</v>
      </c>
      <c r="I148" s="54">
        <v>69135</v>
      </c>
      <c r="J148" s="54">
        <v>95496</v>
      </c>
      <c r="K148" s="54">
        <f t="shared" si="177"/>
        <v>90361</v>
      </c>
      <c r="L148" s="54">
        <f t="shared" si="178"/>
        <v>109771</v>
      </c>
      <c r="M148" s="54"/>
      <c r="N148" s="54"/>
      <c r="O148" s="71"/>
      <c r="P148" s="54"/>
      <c r="Q148" s="54">
        <v>597</v>
      </c>
      <c r="R148" s="54">
        <v>850</v>
      </c>
      <c r="S148" s="54">
        <v>1557</v>
      </c>
      <c r="T148" s="54">
        <v>1612</v>
      </c>
      <c r="U148" s="54">
        <v>2708</v>
      </c>
      <c r="V148" s="54">
        <v>4082</v>
      </c>
      <c r="W148" s="54">
        <v>7709</v>
      </c>
      <c r="X148" s="54">
        <v>13762</v>
      </c>
      <c r="Y148" s="54">
        <v>13432</v>
      </c>
      <c r="Z148" s="54">
        <v>15453</v>
      </c>
      <c r="AA148" s="54">
        <v>16311</v>
      </c>
      <c r="AB148" s="54">
        <v>23939</v>
      </c>
      <c r="AC148" s="54">
        <v>23815</v>
      </c>
      <c r="AD148" s="54">
        <v>23464</v>
      </c>
      <c r="AE148" s="54">
        <v>23250</v>
      </c>
      <c r="AF148" s="54">
        <v>24967</v>
      </c>
      <c r="AG148" s="54">
        <v>18660</v>
      </c>
      <c r="AH148" s="54">
        <v>12978</v>
      </c>
      <c r="AI148" s="54">
        <v>23186</v>
      </c>
      <c r="AJ148" s="54">
        <v>35537</v>
      </c>
      <c r="AK148" s="54">
        <v>23957</v>
      </c>
      <c r="AL148" s="54">
        <v>30762</v>
      </c>
      <c r="AM148" s="54">
        <v>25549</v>
      </c>
      <c r="AN148" s="54">
        <v>29503</v>
      </c>
      <c r="AO148" s="122"/>
      <c r="AP148" s="122"/>
      <c r="AQ148" s="23"/>
      <c r="AR148" s="23"/>
    </row>
    <row r="149" spans="1:44" s="17" customFormat="1" ht="17.5" outlineLevel="1" x14ac:dyDescent="0.35">
      <c r="A149" s="32"/>
      <c r="B149" s="76" t="s">
        <v>131</v>
      </c>
      <c r="C149" s="76" t="s">
        <v>333</v>
      </c>
      <c r="D149" s="72"/>
      <c r="E149" s="54">
        <v>0</v>
      </c>
      <c r="F149" s="54">
        <v>242</v>
      </c>
      <c r="G149" s="54">
        <v>915</v>
      </c>
      <c r="H149" s="54">
        <v>3938</v>
      </c>
      <c r="I149" s="54">
        <v>6302</v>
      </c>
      <c r="J149" s="54">
        <v>7639</v>
      </c>
      <c r="K149" s="54">
        <f t="shared" si="177"/>
        <v>10643</v>
      </c>
      <c r="L149" s="54">
        <f t="shared" si="178"/>
        <v>23923</v>
      </c>
      <c r="M149" s="54"/>
      <c r="N149" s="54"/>
      <c r="O149" s="71"/>
      <c r="P149" s="54"/>
      <c r="Q149" s="54">
        <v>202</v>
      </c>
      <c r="R149" s="54">
        <v>183</v>
      </c>
      <c r="S149" s="54">
        <v>270</v>
      </c>
      <c r="T149" s="54">
        <v>260</v>
      </c>
      <c r="U149" s="54">
        <v>158</v>
      </c>
      <c r="V149" s="54">
        <v>664</v>
      </c>
      <c r="W149" s="54">
        <v>2240</v>
      </c>
      <c r="X149" s="54">
        <v>876</v>
      </c>
      <c r="Y149" s="54">
        <v>1277</v>
      </c>
      <c r="Z149" s="54">
        <v>1584</v>
      </c>
      <c r="AA149" s="54">
        <v>1343</v>
      </c>
      <c r="AB149" s="54">
        <v>2098</v>
      </c>
      <c r="AC149" s="54">
        <v>1902</v>
      </c>
      <c r="AD149" s="54">
        <v>2667</v>
      </c>
      <c r="AE149" s="54">
        <v>1626</v>
      </c>
      <c r="AF149" s="54">
        <v>1444</v>
      </c>
      <c r="AG149" s="54">
        <v>1567</v>
      </c>
      <c r="AH149" s="54">
        <v>1776</v>
      </c>
      <c r="AI149" s="54">
        <v>3659</v>
      </c>
      <c r="AJ149" s="54">
        <v>3641</v>
      </c>
      <c r="AK149" s="54">
        <v>5236</v>
      </c>
      <c r="AL149" s="54">
        <v>4560</v>
      </c>
      <c r="AM149" s="54">
        <v>4970</v>
      </c>
      <c r="AN149" s="54">
        <v>9157</v>
      </c>
      <c r="AO149" s="122"/>
      <c r="AP149" s="122"/>
      <c r="AQ149" s="23"/>
      <c r="AR149" s="23"/>
    </row>
    <row r="150" spans="1:44" s="17" customFormat="1" ht="17.5" outlineLevel="1" x14ac:dyDescent="0.35">
      <c r="A150" s="32"/>
      <c r="B150" s="76" t="s">
        <v>132</v>
      </c>
      <c r="C150" s="76" t="s">
        <v>334</v>
      </c>
      <c r="D150" s="72"/>
      <c r="E150" s="54">
        <v>305</v>
      </c>
      <c r="F150" s="54">
        <v>1164</v>
      </c>
      <c r="G150" s="54">
        <v>3448</v>
      </c>
      <c r="H150" s="54">
        <v>8294</v>
      </c>
      <c r="I150" s="54">
        <v>26379</v>
      </c>
      <c r="J150" s="54">
        <v>26562</v>
      </c>
      <c r="K150" s="54">
        <f t="shared" si="177"/>
        <v>34401</v>
      </c>
      <c r="L150" s="54">
        <f t="shared" si="178"/>
        <v>42004</v>
      </c>
      <c r="M150" s="54"/>
      <c r="N150" s="54"/>
      <c r="O150" s="71"/>
      <c r="P150" s="54"/>
      <c r="Q150" s="54">
        <v>730</v>
      </c>
      <c r="R150" s="54">
        <v>659</v>
      </c>
      <c r="S150" s="54">
        <v>932</v>
      </c>
      <c r="T150" s="54">
        <v>1127</v>
      </c>
      <c r="U150" s="54">
        <v>858</v>
      </c>
      <c r="V150" s="54">
        <v>1597</v>
      </c>
      <c r="W150" s="54">
        <v>2315</v>
      </c>
      <c r="X150" s="54">
        <v>3524</v>
      </c>
      <c r="Y150" s="54">
        <v>3564</v>
      </c>
      <c r="Z150" s="54">
        <v>5591</v>
      </c>
      <c r="AA150" s="54">
        <v>7394</v>
      </c>
      <c r="AB150" s="54">
        <v>9830</v>
      </c>
      <c r="AC150" s="54">
        <v>4975</v>
      </c>
      <c r="AD150" s="54">
        <v>7630</v>
      </c>
      <c r="AE150" s="54">
        <v>6326</v>
      </c>
      <c r="AF150" s="54">
        <v>7631</v>
      </c>
      <c r="AG150" s="54">
        <v>6425</v>
      </c>
      <c r="AH150" s="54">
        <v>6847</v>
      </c>
      <c r="AI150" s="54">
        <v>10319</v>
      </c>
      <c r="AJ150" s="54">
        <v>10810</v>
      </c>
      <c r="AK150" s="54">
        <v>10092</v>
      </c>
      <c r="AL150" s="54">
        <v>14850</v>
      </c>
      <c r="AM150" s="54">
        <v>6641</v>
      </c>
      <c r="AN150" s="54">
        <v>10421</v>
      </c>
      <c r="AO150" s="122"/>
      <c r="AP150" s="122"/>
      <c r="AQ150" s="23"/>
      <c r="AR150" s="23"/>
    </row>
    <row r="151" spans="1:44" s="17" customFormat="1" ht="17.5" outlineLevel="1" x14ac:dyDescent="0.35">
      <c r="A151" s="32"/>
      <c r="B151" s="76" t="s">
        <v>133</v>
      </c>
      <c r="C151" s="76" t="s">
        <v>222</v>
      </c>
      <c r="D151" s="72"/>
      <c r="E151" s="54">
        <v>0</v>
      </c>
      <c r="F151" s="54">
        <v>397</v>
      </c>
      <c r="G151" s="54">
        <v>280</v>
      </c>
      <c r="H151" s="54">
        <v>666</v>
      </c>
      <c r="I151" s="54">
        <v>5452</v>
      </c>
      <c r="J151" s="54">
        <v>9270</v>
      </c>
      <c r="K151" s="54">
        <f t="shared" si="177"/>
        <v>9819</v>
      </c>
      <c r="L151" s="54">
        <f t="shared" si="178"/>
        <v>13675</v>
      </c>
      <c r="M151" s="54"/>
      <c r="N151" s="54"/>
      <c r="O151" s="71"/>
      <c r="P151" s="54"/>
      <c r="Q151" s="54">
        <v>368</v>
      </c>
      <c r="R151" s="54">
        <v>76</v>
      </c>
      <c r="S151" s="54">
        <v>-80</v>
      </c>
      <c r="T151" s="54">
        <v>-84</v>
      </c>
      <c r="U151" s="54">
        <v>140</v>
      </c>
      <c r="V151" s="54">
        <v>871</v>
      </c>
      <c r="W151" s="54">
        <v>368</v>
      </c>
      <c r="X151" s="54">
        <v>-713</v>
      </c>
      <c r="Y151" s="54">
        <v>1154</v>
      </c>
      <c r="Z151" s="54">
        <v>2240</v>
      </c>
      <c r="AA151" s="54">
        <v>970</v>
      </c>
      <c r="AB151" s="54">
        <v>1088</v>
      </c>
      <c r="AC151" s="54">
        <v>1881</v>
      </c>
      <c r="AD151" s="54">
        <v>1667</v>
      </c>
      <c r="AE151" s="54">
        <v>3050</v>
      </c>
      <c r="AF151" s="54">
        <v>2672</v>
      </c>
      <c r="AG151" s="54">
        <v>2788</v>
      </c>
      <c r="AH151" s="54">
        <v>2907</v>
      </c>
      <c r="AI151" s="54">
        <v>2334</v>
      </c>
      <c r="AJ151" s="54">
        <v>1790</v>
      </c>
      <c r="AK151" s="54">
        <v>7185</v>
      </c>
      <c r="AL151" s="54">
        <v>2394</v>
      </c>
      <c r="AM151" s="54">
        <v>3081</v>
      </c>
      <c r="AN151" s="54">
        <v>1015</v>
      </c>
      <c r="AO151" s="122"/>
      <c r="AP151" s="122"/>
      <c r="AQ151" s="23"/>
      <c r="AR151" s="23"/>
    </row>
    <row r="152" spans="1:44" s="17" customFormat="1" ht="17.5" outlineLevel="1" x14ac:dyDescent="0.35">
      <c r="A152" s="32"/>
      <c r="B152" s="76" t="s">
        <v>134</v>
      </c>
      <c r="C152" s="76" t="s">
        <v>315</v>
      </c>
      <c r="D152" s="72"/>
      <c r="E152" s="54">
        <v>0</v>
      </c>
      <c r="F152" s="54">
        <v>419</v>
      </c>
      <c r="G152" s="54">
        <v>835</v>
      </c>
      <c r="H152" s="54">
        <v>2015</v>
      </c>
      <c r="I152" s="54">
        <v>302</v>
      </c>
      <c r="J152" s="54">
        <v>1382</v>
      </c>
      <c r="K152" s="54">
        <f>SUM(AG152:AJ152)</f>
        <v>4766.268</v>
      </c>
      <c r="L152" s="54">
        <f t="shared" si="178"/>
        <v>-15015.102999999974</v>
      </c>
      <c r="M152" s="54"/>
      <c r="N152" s="54"/>
      <c r="O152" s="71"/>
      <c r="P152" s="54"/>
      <c r="Q152" s="54">
        <v>2</v>
      </c>
      <c r="R152" s="54">
        <v>-482</v>
      </c>
      <c r="S152" s="54">
        <v>-114</v>
      </c>
      <c r="T152" s="54">
        <v>1429</v>
      </c>
      <c r="U152" s="54">
        <v>392</v>
      </c>
      <c r="V152" s="54">
        <v>-478</v>
      </c>
      <c r="W152" s="54">
        <v>-371</v>
      </c>
      <c r="X152" s="54">
        <v>2472</v>
      </c>
      <c r="Y152" s="54">
        <v>1717</v>
      </c>
      <c r="Z152" s="54">
        <v>-1755</v>
      </c>
      <c r="AA152" s="54">
        <v>2815</v>
      </c>
      <c r="AB152" s="54">
        <v>7951</v>
      </c>
      <c r="AC152" s="54">
        <v>1149.1896400000001</v>
      </c>
      <c r="AD152" s="54">
        <v>233.98574000000008</v>
      </c>
      <c r="AE152" s="54">
        <v>-33.175380000000132</v>
      </c>
      <c r="AF152" s="54">
        <v>32</v>
      </c>
      <c r="AG152" s="54">
        <v>97</v>
      </c>
      <c r="AH152" s="54">
        <v>668.68899999999849</v>
      </c>
      <c r="AI152" s="54">
        <v>250.14500000000407</v>
      </c>
      <c r="AJ152" s="54">
        <v>3750.4339999999975</v>
      </c>
      <c r="AK152" s="54">
        <v>867</v>
      </c>
      <c r="AL152" s="54">
        <v>966.0570000000007</v>
      </c>
      <c r="AM152" s="54">
        <v>821.62799999999697</v>
      </c>
      <c r="AN152" s="54">
        <v>-17669.787999999971</v>
      </c>
      <c r="AO152" s="122"/>
      <c r="AP152" s="122"/>
      <c r="AQ152" s="23"/>
      <c r="AR152" s="23"/>
    </row>
    <row r="153" spans="1:44" s="17" customFormat="1" ht="18" customHeight="1" outlineLevel="1" x14ac:dyDescent="0.35">
      <c r="A153" s="32"/>
      <c r="B153" s="76" t="s">
        <v>360</v>
      </c>
      <c r="C153" s="124" t="s">
        <v>361</v>
      </c>
      <c r="D153" s="72"/>
      <c r="E153" s="54">
        <v>0</v>
      </c>
      <c r="F153" s="54">
        <v>0</v>
      </c>
      <c r="G153" s="54">
        <v>0</v>
      </c>
      <c r="H153" s="54">
        <v>0</v>
      </c>
      <c r="I153" s="54">
        <v>10426</v>
      </c>
      <c r="J153" s="54">
        <v>20147</v>
      </c>
      <c r="K153" s="54">
        <f>SUM(AG153:AJ153)</f>
        <v>15898</v>
      </c>
      <c r="L153" s="54">
        <f t="shared" si="178"/>
        <v>17868</v>
      </c>
      <c r="M153" s="54"/>
      <c r="N153" s="54"/>
      <c r="O153" s="72"/>
      <c r="P153" s="107"/>
      <c r="Q153" s="54">
        <v>0</v>
      </c>
      <c r="R153" s="54">
        <v>0</v>
      </c>
      <c r="S153" s="54">
        <v>0</v>
      </c>
      <c r="T153" s="54">
        <v>0</v>
      </c>
      <c r="U153" s="54">
        <v>0</v>
      </c>
      <c r="V153" s="54">
        <v>0</v>
      </c>
      <c r="W153" s="54">
        <v>0</v>
      </c>
      <c r="X153" s="54">
        <v>0</v>
      </c>
      <c r="Y153" s="54">
        <v>0</v>
      </c>
      <c r="Z153" s="54">
        <v>0</v>
      </c>
      <c r="AA153" s="54">
        <v>0</v>
      </c>
      <c r="AB153" s="54">
        <v>0</v>
      </c>
      <c r="AC153" s="54">
        <v>3786.8103599999999</v>
      </c>
      <c r="AD153" s="54">
        <v>4157.0142599999999</v>
      </c>
      <c r="AE153" s="54">
        <v>4882.3517599999996</v>
      </c>
      <c r="AF153" s="54">
        <v>7320.823620000001</v>
      </c>
      <c r="AG153" s="54">
        <v>4196</v>
      </c>
      <c r="AH153" s="54">
        <v>3598</v>
      </c>
      <c r="AI153" s="54">
        <v>3986</v>
      </c>
      <c r="AJ153" s="54">
        <v>4118</v>
      </c>
      <c r="AK153" s="54">
        <v>3324</v>
      </c>
      <c r="AL153" s="54">
        <v>4166</v>
      </c>
      <c r="AM153" s="54">
        <v>4458</v>
      </c>
      <c r="AN153" s="54">
        <v>5920</v>
      </c>
      <c r="AO153" s="84"/>
      <c r="AP153" s="84"/>
      <c r="AQ153" s="23"/>
      <c r="AR153" s="23"/>
    </row>
    <row r="154" spans="1:44" s="17" customFormat="1" ht="17.5" outlineLevel="1" x14ac:dyDescent="0.35">
      <c r="A154" s="32"/>
      <c r="B154" s="76" t="s">
        <v>48</v>
      </c>
      <c r="C154" s="76" t="s">
        <v>221</v>
      </c>
      <c r="D154" s="72"/>
      <c r="E154" s="54">
        <v>70</v>
      </c>
      <c r="F154" s="54">
        <v>49</v>
      </c>
      <c r="G154" s="54">
        <v>227</v>
      </c>
      <c r="H154" s="54">
        <v>459</v>
      </c>
      <c r="I154" s="54">
        <v>0</v>
      </c>
      <c r="J154" s="54">
        <v>0</v>
      </c>
      <c r="K154" s="54">
        <f t="shared" si="177"/>
        <v>0</v>
      </c>
      <c r="L154" s="54">
        <f t="shared" si="178"/>
        <v>0</v>
      </c>
      <c r="M154" s="54"/>
      <c r="N154" s="54"/>
      <c r="O154" s="71"/>
      <c r="P154" s="54"/>
      <c r="Q154" s="54">
        <v>39</v>
      </c>
      <c r="R154" s="54">
        <v>0</v>
      </c>
      <c r="S154" s="54">
        <v>24</v>
      </c>
      <c r="T154" s="54">
        <v>164</v>
      </c>
      <c r="U154" s="54">
        <v>29</v>
      </c>
      <c r="V154" s="54">
        <v>79</v>
      </c>
      <c r="W154" s="54">
        <v>-161</v>
      </c>
      <c r="X154" s="54">
        <v>512</v>
      </c>
      <c r="Y154" s="54">
        <v>0</v>
      </c>
      <c r="Z154" s="54">
        <v>253</v>
      </c>
      <c r="AA154" s="54">
        <v>-253</v>
      </c>
      <c r="AB154" s="54">
        <v>0</v>
      </c>
      <c r="AC154" s="54">
        <v>0</v>
      </c>
      <c r="AD154" s="54">
        <v>0</v>
      </c>
      <c r="AE154" s="54">
        <v>0</v>
      </c>
      <c r="AF154" s="54">
        <v>0</v>
      </c>
      <c r="AG154" s="54">
        <v>0</v>
      </c>
      <c r="AH154" s="54">
        <v>0</v>
      </c>
      <c r="AI154" s="54">
        <v>0</v>
      </c>
      <c r="AJ154" s="54">
        <v>0</v>
      </c>
      <c r="AK154" s="54">
        <v>0</v>
      </c>
      <c r="AL154" s="54">
        <v>0</v>
      </c>
      <c r="AM154" s="54">
        <v>0</v>
      </c>
      <c r="AN154" s="54">
        <v>0</v>
      </c>
      <c r="AO154" s="122"/>
      <c r="AP154" s="122"/>
      <c r="AQ154" s="23"/>
      <c r="AR154" s="23"/>
    </row>
    <row r="155" spans="1:44" s="17" customFormat="1" ht="17.5" outlineLevel="1" x14ac:dyDescent="0.35">
      <c r="A155" s="32"/>
      <c r="B155" s="91" t="s">
        <v>105</v>
      </c>
      <c r="C155" s="121" t="s">
        <v>332</v>
      </c>
      <c r="D155" s="92"/>
      <c r="E155" s="93">
        <v>0</v>
      </c>
      <c r="F155" s="93">
        <v>0</v>
      </c>
      <c r="G155" s="93">
        <v>0</v>
      </c>
      <c r="H155" s="93">
        <v>11207</v>
      </c>
      <c r="I155" s="93">
        <v>0</v>
      </c>
      <c r="J155" s="93">
        <v>0</v>
      </c>
      <c r="K155" s="93">
        <f t="shared" si="177"/>
        <v>0</v>
      </c>
      <c r="L155" s="93">
        <f t="shared" si="178"/>
        <v>0</v>
      </c>
      <c r="M155" s="93"/>
      <c r="N155" s="93"/>
      <c r="O155" s="71"/>
      <c r="P155" s="107"/>
      <c r="Q155" s="93">
        <v>0</v>
      </c>
      <c r="R155" s="93">
        <v>0</v>
      </c>
      <c r="S155" s="93">
        <v>0</v>
      </c>
      <c r="T155" s="93">
        <v>0</v>
      </c>
      <c r="U155" s="93">
        <v>0</v>
      </c>
      <c r="V155" s="93">
        <v>0</v>
      </c>
      <c r="W155" s="93">
        <v>11151</v>
      </c>
      <c r="X155" s="93">
        <v>56</v>
      </c>
      <c r="Y155" s="93">
        <v>485</v>
      </c>
      <c r="Z155" s="93">
        <v>83</v>
      </c>
      <c r="AA155" s="93">
        <v>-568</v>
      </c>
      <c r="AB155" s="93">
        <v>0</v>
      </c>
      <c r="AC155" s="93"/>
      <c r="AD155" s="93"/>
      <c r="AE155" s="93">
        <v>0</v>
      </c>
      <c r="AF155" s="93">
        <v>0</v>
      </c>
      <c r="AG155" s="93">
        <v>0</v>
      </c>
      <c r="AH155" s="93">
        <v>0</v>
      </c>
      <c r="AI155" s="93">
        <v>0</v>
      </c>
      <c r="AJ155" s="93">
        <v>0</v>
      </c>
      <c r="AK155" s="93">
        <v>0</v>
      </c>
      <c r="AL155" s="93">
        <v>0</v>
      </c>
      <c r="AM155" s="93">
        <v>0</v>
      </c>
      <c r="AN155" s="93">
        <v>0</v>
      </c>
      <c r="AO155" s="94"/>
      <c r="AP155" s="94"/>
      <c r="AQ155" s="23"/>
      <c r="AR155" s="23"/>
    </row>
    <row r="156" spans="1:44" s="17" customFormat="1" ht="17.5" outlineLevel="1" x14ac:dyDescent="0.35">
      <c r="A156" s="32"/>
      <c r="B156" s="73" t="s">
        <v>107</v>
      </c>
      <c r="C156" s="73" t="s">
        <v>288</v>
      </c>
      <c r="D156" s="79"/>
      <c r="E156" s="55">
        <f t="shared" ref="E156:K156" si="185">SUM(E147:E155)</f>
        <v>2330</v>
      </c>
      <c r="F156" s="55">
        <f t="shared" si="185"/>
        <v>4288</v>
      </c>
      <c r="G156" s="55">
        <f t="shared" si="185"/>
        <v>10434</v>
      </c>
      <c r="H156" s="55">
        <f t="shared" si="185"/>
        <v>58410</v>
      </c>
      <c r="I156" s="55">
        <f t="shared" si="185"/>
        <v>127307</v>
      </c>
      <c r="J156" s="55">
        <f t="shared" si="185"/>
        <v>171743</v>
      </c>
      <c r="K156" s="55">
        <f t="shared" si="185"/>
        <v>191568.68421000001</v>
      </c>
      <c r="L156" s="55">
        <f t="shared" si="178"/>
        <v>218708.89700000006</v>
      </c>
      <c r="M156" s="74">
        <f>K156/J156-1</f>
        <v>0.11543809185818343</v>
      </c>
      <c r="N156" s="125">
        <f>L156/K156-1</f>
        <v>0.14167353553594708</v>
      </c>
      <c r="O156" s="71"/>
      <c r="P156" s="72"/>
      <c r="Q156" s="55">
        <f t="shared" ref="Q156:AN156" si="186">SUM(Q147:Q155)</f>
        <v>1944</v>
      </c>
      <c r="R156" s="55">
        <f t="shared" si="186"/>
        <v>1320</v>
      </c>
      <c r="S156" s="55">
        <f t="shared" si="186"/>
        <v>2617</v>
      </c>
      <c r="T156" s="55">
        <f t="shared" si="186"/>
        <v>4553</v>
      </c>
      <c r="U156" s="55">
        <f t="shared" si="186"/>
        <v>4338</v>
      </c>
      <c r="V156" s="55">
        <f t="shared" si="186"/>
        <v>6901</v>
      </c>
      <c r="W156" s="55">
        <f t="shared" si="186"/>
        <v>23424</v>
      </c>
      <c r="X156" s="55">
        <f t="shared" si="186"/>
        <v>23747</v>
      </c>
      <c r="Y156" s="55">
        <f t="shared" si="186"/>
        <v>24555</v>
      </c>
      <c r="Z156" s="55">
        <f t="shared" si="186"/>
        <v>24748</v>
      </c>
      <c r="AA156" s="55">
        <f t="shared" si="186"/>
        <v>30648</v>
      </c>
      <c r="AB156" s="55">
        <f t="shared" si="186"/>
        <v>47356</v>
      </c>
      <c r="AC156" s="55">
        <f t="shared" si="186"/>
        <v>40039</v>
      </c>
      <c r="AD156" s="55">
        <f t="shared" si="186"/>
        <v>42476</v>
      </c>
      <c r="AE156" s="55">
        <f t="shared" si="186"/>
        <v>42004.176379999997</v>
      </c>
      <c r="AF156" s="55">
        <f t="shared" si="186"/>
        <v>47223.823620000003</v>
      </c>
      <c r="AG156" s="55">
        <f t="shared" si="186"/>
        <v>39606</v>
      </c>
      <c r="AH156" s="55">
        <f t="shared" si="186"/>
        <v>33503.688999999998</v>
      </c>
      <c r="AI156" s="55">
        <f t="shared" si="186"/>
        <v>51185.145000000004</v>
      </c>
      <c r="AJ156" s="55">
        <f t="shared" si="186"/>
        <v>67273.85020999999</v>
      </c>
      <c r="AK156" s="55">
        <f t="shared" si="186"/>
        <v>58404</v>
      </c>
      <c r="AL156" s="55">
        <f t="shared" si="186"/>
        <v>65523.556450000004</v>
      </c>
      <c r="AM156" s="55">
        <f t="shared" si="186"/>
        <v>55410.711239999997</v>
      </c>
      <c r="AN156" s="55">
        <f t="shared" si="186"/>
        <v>39370.629310000033</v>
      </c>
      <c r="AO156" s="74">
        <f t="shared" ref="AO156" si="187">AN156/AJ156-1</f>
        <v>-0.41477068449179166</v>
      </c>
      <c r="AP156" s="74">
        <f t="shared" ref="AP156" si="188">AN156/AM156-1</f>
        <v>-0.28947619640768874</v>
      </c>
    </row>
    <row r="157" spans="1:44" s="17" customFormat="1" ht="9.75" customHeight="1" outlineLevel="1" x14ac:dyDescent="0.35">
      <c r="A157" s="32"/>
      <c r="B157" s="72"/>
      <c r="C157" s="72"/>
      <c r="D157" s="72"/>
      <c r="E157" s="72"/>
      <c r="F157" s="72"/>
      <c r="G157" s="72"/>
      <c r="H157" s="72"/>
      <c r="I157" s="72"/>
      <c r="J157" s="72"/>
      <c r="K157" s="72"/>
      <c r="L157" s="72"/>
      <c r="M157" s="72"/>
      <c r="N157" s="72"/>
      <c r="O157" s="72"/>
      <c r="P157" s="72"/>
      <c r="Q157" s="126"/>
      <c r="R157" s="126"/>
      <c r="S157" s="126"/>
      <c r="T157" s="126"/>
      <c r="U157" s="126"/>
      <c r="V157" s="126"/>
      <c r="W157" s="126"/>
      <c r="X157" s="126"/>
      <c r="Y157" s="126"/>
      <c r="Z157" s="126"/>
      <c r="AA157" s="72"/>
      <c r="AB157" s="72"/>
      <c r="AC157" s="72"/>
      <c r="AD157" s="72"/>
      <c r="AE157" s="72"/>
      <c r="AF157" s="72"/>
      <c r="AG157" s="72"/>
      <c r="AH157" s="72"/>
      <c r="AI157" s="72"/>
      <c r="AJ157" s="72"/>
      <c r="AK157" s="72"/>
      <c r="AL157" s="72"/>
      <c r="AM157" s="72"/>
      <c r="AN157" s="72"/>
      <c r="AO157" s="72"/>
      <c r="AP157" s="72"/>
    </row>
    <row r="158" spans="1:44" s="17" customFormat="1" ht="17.5" outlineLevel="1" x14ac:dyDescent="0.35">
      <c r="A158" s="32"/>
      <c r="B158" s="78" t="s">
        <v>150</v>
      </c>
      <c r="C158" s="72"/>
      <c r="D158" s="72"/>
      <c r="E158" s="72"/>
      <c r="F158" s="72"/>
      <c r="G158" s="72"/>
      <c r="H158" s="72"/>
      <c r="I158" s="72"/>
      <c r="J158" s="72"/>
      <c r="K158" s="72"/>
      <c r="L158" s="72"/>
      <c r="M158" s="72"/>
      <c r="N158" s="72"/>
      <c r="O158" s="72"/>
      <c r="P158" s="72"/>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72"/>
      <c r="AP158" s="72"/>
    </row>
    <row r="159" spans="1:44" s="17" customFormat="1" ht="17.5" outlineLevel="1" x14ac:dyDescent="0.35">
      <c r="A159" s="32"/>
      <c r="B159" s="78" t="s">
        <v>289</v>
      </c>
      <c r="C159" s="72"/>
      <c r="D159" s="72"/>
      <c r="E159" s="72"/>
      <c r="F159" s="72"/>
      <c r="G159" s="72"/>
      <c r="H159" s="72"/>
      <c r="I159" s="72"/>
      <c r="J159" s="72"/>
      <c r="K159" s="72"/>
      <c r="L159" s="72"/>
      <c r="M159" s="72"/>
      <c r="N159" s="72"/>
      <c r="O159" s="72"/>
      <c r="P159" s="72"/>
      <c r="Q159" s="72"/>
      <c r="R159" s="72"/>
      <c r="S159" s="72"/>
      <c r="T159" s="72"/>
      <c r="U159" s="72"/>
      <c r="V159" s="72"/>
      <c r="W159" s="126"/>
      <c r="X159" s="126"/>
      <c r="Y159" s="126"/>
      <c r="Z159" s="126"/>
      <c r="AA159" s="126"/>
      <c r="AB159" s="126"/>
      <c r="AC159" s="126"/>
      <c r="AD159" s="126"/>
      <c r="AE159" s="126"/>
      <c r="AF159" s="126"/>
      <c r="AG159" s="126"/>
      <c r="AH159" s="126"/>
      <c r="AI159" s="126"/>
      <c r="AJ159" s="126"/>
      <c r="AK159" s="126"/>
      <c r="AL159" s="126"/>
      <c r="AM159" s="126"/>
      <c r="AN159" s="126"/>
      <c r="AO159" s="72"/>
      <c r="AP159" s="72"/>
    </row>
    <row r="160" spans="1:44" x14ac:dyDescent="0.35">
      <c r="A160" s="24"/>
      <c r="B160" s="72"/>
      <c r="C160" s="72"/>
      <c r="D160" s="72"/>
      <c r="E160" s="72"/>
      <c r="F160" s="72"/>
      <c r="G160" s="72"/>
      <c r="H160" s="72"/>
      <c r="I160" s="72"/>
      <c r="J160" s="72"/>
      <c r="K160" s="72"/>
      <c r="L160" s="72"/>
      <c r="M160" s="72"/>
      <c r="N160" s="72"/>
      <c r="O160" s="72"/>
      <c r="P160" s="72"/>
      <c r="Q160" s="72"/>
      <c r="R160" s="72"/>
      <c r="S160" s="72"/>
      <c r="T160" s="72"/>
      <c r="U160" s="72"/>
      <c r="V160" s="72"/>
      <c r="W160" s="123"/>
      <c r="X160" s="123"/>
      <c r="Y160" s="123"/>
      <c r="Z160" s="123"/>
      <c r="AA160" s="123"/>
      <c r="AB160" s="123"/>
      <c r="AC160" s="123"/>
      <c r="AD160" s="123"/>
      <c r="AE160" s="123"/>
      <c r="AF160" s="123"/>
      <c r="AG160" s="123"/>
      <c r="AH160" s="123"/>
      <c r="AI160" s="127"/>
      <c r="AJ160" s="127"/>
      <c r="AK160" s="127"/>
      <c r="AL160" s="72"/>
      <c r="AM160" s="72"/>
      <c r="AN160" s="72"/>
      <c r="AO160" s="72"/>
      <c r="AP160" s="72"/>
    </row>
    <row r="161" spans="1:52" x14ac:dyDescent="0.35">
      <c r="A161" s="24" t="s">
        <v>140</v>
      </c>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row>
    <row r="162" spans="1:52" x14ac:dyDescent="0.35">
      <c r="B162" s="128" t="s">
        <v>460</v>
      </c>
      <c r="C162" s="128" t="s">
        <v>461</v>
      </c>
      <c r="D162" s="129"/>
      <c r="E162" s="129"/>
      <c r="F162" s="129"/>
      <c r="G162" s="129"/>
      <c r="H162" s="129"/>
      <c r="I162" s="129"/>
      <c r="J162" s="129"/>
      <c r="K162" s="129"/>
      <c r="L162" s="129"/>
      <c r="M162" s="129"/>
      <c r="N162" s="129"/>
      <c r="O162" s="72"/>
      <c r="P162" s="72"/>
      <c r="Q162" s="129"/>
      <c r="R162" s="129"/>
      <c r="S162" s="129"/>
      <c r="T162" s="129"/>
      <c r="U162" s="129"/>
      <c r="V162" s="129"/>
      <c r="W162" s="129"/>
      <c r="X162" s="129"/>
      <c r="Y162" s="129"/>
      <c r="Z162" s="129"/>
      <c r="AA162" s="129"/>
      <c r="AB162" s="129"/>
      <c r="AC162" s="129"/>
      <c r="AD162" s="129"/>
      <c r="AE162" s="129"/>
      <c r="AF162" s="129"/>
      <c r="AG162" s="129"/>
      <c r="AH162" s="129"/>
      <c r="AI162" s="130"/>
      <c r="AJ162" s="130"/>
      <c r="AK162" s="130"/>
      <c r="AL162" s="127"/>
      <c r="AM162" s="127"/>
      <c r="AN162" s="127"/>
      <c r="AO162" s="72"/>
      <c r="AP162" s="72"/>
    </row>
    <row r="163" spans="1:52" ht="21" x14ac:dyDescent="0.35">
      <c r="B163" s="131" t="s">
        <v>418</v>
      </c>
      <c r="C163" s="131" t="s">
        <v>431</v>
      </c>
      <c r="D163" s="131"/>
      <c r="E163" s="132" t="s">
        <v>405</v>
      </c>
      <c r="F163" s="132" t="s">
        <v>405</v>
      </c>
      <c r="G163" s="132" t="s">
        <v>405</v>
      </c>
      <c r="H163" s="132" t="s">
        <v>405</v>
      </c>
      <c r="I163" s="132" t="s">
        <v>405</v>
      </c>
      <c r="J163" s="132">
        <f>SUM(AC163:AF163)</f>
        <v>1249873</v>
      </c>
      <c r="K163" s="132">
        <f>SUM(AG163:AJ163)</f>
        <v>1559122.8954634042</v>
      </c>
      <c r="L163" s="132">
        <f>SUM(AK163:AN163)</f>
        <v>1508308.67558</v>
      </c>
      <c r="M163" s="230">
        <f t="shared" ref="M163:M165" si="189">K163/J163-1</f>
        <v>0.24742505475628662</v>
      </c>
      <c r="N163" s="230">
        <f t="shared" ref="N163:N165" si="190">L163/K163-1</f>
        <v>-3.2591542354524328E-2</v>
      </c>
      <c r="O163" s="238"/>
      <c r="P163" s="72"/>
      <c r="Q163" s="132" t="s">
        <v>405</v>
      </c>
      <c r="R163" s="132" t="s">
        <v>405</v>
      </c>
      <c r="S163" s="132" t="s">
        <v>405</v>
      </c>
      <c r="T163" s="132" t="s">
        <v>405</v>
      </c>
      <c r="U163" s="132" t="s">
        <v>405</v>
      </c>
      <c r="V163" s="132" t="s">
        <v>405</v>
      </c>
      <c r="W163" s="132" t="s">
        <v>405</v>
      </c>
      <c r="X163" s="132" t="s">
        <v>405</v>
      </c>
      <c r="Y163" s="132" t="s">
        <v>405</v>
      </c>
      <c r="Z163" s="132" t="s">
        <v>405</v>
      </c>
      <c r="AA163" s="132" t="s">
        <v>405</v>
      </c>
      <c r="AB163" s="132" t="s">
        <v>405</v>
      </c>
      <c r="AC163" s="133">
        <v>255976</v>
      </c>
      <c r="AD163" s="133">
        <v>292290</v>
      </c>
      <c r="AE163" s="133">
        <v>337318</v>
      </c>
      <c r="AF163" s="133">
        <v>364289</v>
      </c>
      <c r="AG163" s="133">
        <v>362552</v>
      </c>
      <c r="AH163" s="133">
        <v>377768.95071018417</v>
      </c>
      <c r="AI163" s="133">
        <v>421784.16999843554</v>
      </c>
      <c r="AJ163" s="133">
        <v>397017.77475478465</v>
      </c>
      <c r="AK163" s="133">
        <v>362443.93010200001</v>
      </c>
      <c r="AL163" s="133">
        <v>369861.50963599992</v>
      </c>
      <c r="AM163" s="133">
        <v>395900.87726199999</v>
      </c>
      <c r="AN163" s="133">
        <v>380102.35858000012</v>
      </c>
      <c r="AO163" s="230">
        <f t="shared" ref="AO163" si="191">AN163/AJ163-1</f>
        <v>-4.2606193602370168E-2</v>
      </c>
      <c r="AP163" s="230">
        <f t="shared" ref="AP163" si="192">AN163/AM163-1</f>
        <v>-3.9905237874844901E-2</v>
      </c>
      <c r="AR163" s="67"/>
      <c r="AT163" s="68"/>
      <c r="AV163" s="68"/>
      <c r="AW163" s="68"/>
      <c r="AX163" s="62"/>
      <c r="AY163" s="62"/>
      <c r="AZ163" s="68"/>
    </row>
    <row r="164" spans="1:52" ht="21" x14ac:dyDescent="0.35">
      <c r="B164" s="134" t="s">
        <v>419</v>
      </c>
      <c r="C164" s="134" t="s">
        <v>432</v>
      </c>
      <c r="D164" s="135"/>
      <c r="E164" s="136" t="s">
        <v>405</v>
      </c>
      <c r="F164" s="136" t="s">
        <v>405</v>
      </c>
      <c r="G164" s="136" t="s">
        <v>405</v>
      </c>
      <c r="H164" s="136" t="s">
        <v>405</v>
      </c>
      <c r="I164" s="136" t="s">
        <v>405</v>
      </c>
      <c r="J164" s="136">
        <f t="shared" ref="J164:J165" si="193">SUM(AC164:AF164)</f>
        <v>-483474</v>
      </c>
      <c r="K164" s="136">
        <f t="shared" ref="K164:K165" si="194">SUM(AG164:AJ164)</f>
        <v>-703324.81664399989</v>
      </c>
      <c r="L164" s="136">
        <f>SUM(AK164:AN164)</f>
        <v>-643902.99457999971</v>
      </c>
      <c r="M164" s="231">
        <f t="shared" si="189"/>
        <v>0.45473141605132827</v>
      </c>
      <c r="N164" s="231">
        <f t="shared" si="190"/>
        <v>-8.4487025991118347E-2</v>
      </c>
      <c r="O164" s="239"/>
      <c r="P164" s="135"/>
      <c r="Q164" s="136" t="s">
        <v>405</v>
      </c>
      <c r="R164" s="136" t="s">
        <v>405</v>
      </c>
      <c r="S164" s="136" t="s">
        <v>405</v>
      </c>
      <c r="T164" s="136" t="s">
        <v>405</v>
      </c>
      <c r="U164" s="136" t="s">
        <v>405</v>
      </c>
      <c r="V164" s="136" t="s">
        <v>405</v>
      </c>
      <c r="W164" s="136" t="s">
        <v>405</v>
      </c>
      <c r="X164" s="136" t="s">
        <v>405</v>
      </c>
      <c r="Y164" s="136" t="s">
        <v>405</v>
      </c>
      <c r="Z164" s="136" t="s">
        <v>405</v>
      </c>
      <c r="AA164" s="136" t="s">
        <v>405</v>
      </c>
      <c r="AB164" s="136" t="s">
        <v>405</v>
      </c>
      <c r="AC164" s="136">
        <v>-98596</v>
      </c>
      <c r="AD164" s="136">
        <v>-101735</v>
      </c>
      <c r="AE164" s="136">
        <v>-129462</v>
      </c>
      <c r="AF164" s="136">
        <v>-153681</v>
      </c>
      <c r="AG164" s="93">
        <v>-155075</v>
      </c>
      <c r="AH164" s="93">
        <v>-181341.93026269996</v>
      </c>
      <c r="AI164" s="93">
        <v>-195145.74079567532</v>
      </c>
      <c r="AJ164" s="93">
        <v>-171762.14558562462</v>
      </c>
      <c r="AK164" s="93">
        <v>-168761.71213199996</v>
      </c>
      <c r="AL164" s="93">
        <v>-160751.666906</v>
      </c>
      <c r="AM164" s="93">
        <v>-155900.18744899999</v>
      </c>
      <c r="AN164" s="93">
        <v>-158489.42809299979</v>
      </c>
      <c r="AO164" s="231"/>
      <c r="AP164" s="231"/>
      <c r="AT164" s="68"/>
      <c r="AV164" s="68"/>
      <c r="AW164" s="68"/>
      <c r="AY164" s="62"/>
      <c r="AZ164" s="68"/>
    </row>
    <row r="165" spans="1:52" ht="21" x14ac:dyDescent="0.35">
      <c r="B165" s="131" t="s">
        <v>420</v>
      </c>
      <c r="C165" s="131" t="s">
        <v>433</v>
      </c>
      <c r="D165" s="137"/>
      <c r="E165" s="138" t="s">
        <v>405</v>
      </c>
      <c r="F165" s="138" t="s">
        <v>405</v>
      </c>
      <c r="G165" s="138" t="s">
        <v>405</v>
      </c>
      <c r="H165" s="138" t="s">
        <v>405</v>
      </c>
      <c r="I165" s="138" t="s">
        <v>405</v>
      </c>
      <c r="J165" s="138">
        <f t="shared" si="193"/>
        <v>766399</v>
      </c>
      <c r="K165" s="138">
        <f t="shared" si="194"/>
        <v>855798.07881940447</v>
      </c>
      <c r="L165" s="138">
        <f>SUM(AK165:AN165)</f>
        <v>864405.68100000033</v>
      </c>
      <c r="M165" s="232">
        <f t="shared" si="189"/>
        <v>0.1166482195558769</v>
      </c>
      <c r="N165" s="232">
        <f t="shared" si="190"/>
        <v>1.0057982593826731E-2</v>
      </c>
      <c r="O165" s="238"/>
      <c r="P165" s="139"/>
      <c r="Q165" s="138" t="s">
        <v>405</v>
      </c>
      <c r="R165" s="138" t="s">
        <v>405</v>
      </c>
      <c r="S165" s="138" t="s">
        <v>405</v>
      </c>
      <c r="T165" s="138" t="s">
        <v>405</v>
      </c>
      <c r="U165" s="138" t="s">
        <v>405</v>
      </c>
      <c r="V165" s="138" t="s">
        <v>405</v>
      </c>
      <c r="W165" s="138" t="s">
        <v>405</v>
      </c>
      <c r="X165" s="138" t="s">
        <v>405</v>
      </c>
      <c r="Y165" s="138" t="s">
        <v>405</v>
      </c>
      <c r="Z165" s="138" t="s">
        <v>405</v>
      </c>
      <c r="AA165" s="138" t="s">
        <v>405</v>
      </c>
      <c r="AB165" s="138" t="s">
        <v>405</v>
      </c>
      <c r="AC165" s="140">
        <f t="shared" ref="AC165" si="195">AC163+AC164</f>
        <v>157380</v>
      </c>
      <c r="AD165" s="140">
        <f t="shared" ref="AD165" si="196">AD163+AD164</f>
        <v>190555</v>
      </c>
      <c r="AE165" s="140">
        <f t="shared" ref="AE165" si="197">AE163+AE164</f>
        <v>207856</v>
      </c>
      <c r="AF165" s="140">
        <f t="shared" ref="AF165" si="198">AF163+AF164</f>
        <v>210608</v>
      </c>
      <c r="AG165" s="140">
        <f t="shared" ref="AG165" si="199">AG163+AG164</f>
        <v>207477</v>
      </c>
      <c r="AH165" s="140">
        <f t="shared" ref="AH165:AL165" si="200">AH163+AH164</f>
        <v>196427.02044748422</v>
      </c>
      <c r="AI165" s="140">
        <f t="shared" si="200"/>
        <v>226638.42920276022</v>
      </c>
      <c r="AJ165" s="140">
        <f t="shared" si="200"/>
        <v>225255.62916916003</v>
      </c>
      <c r="AK165" s="140">
        <f t="shared" si="200"/>
        <v>193682.21797000006</v>
      </c>
      <c r="AL165" s="141">
        <f t="shared" si="200"/>
        <v>209109.84272999992</v>
      </c>
      <c r="AM165" s="141">
        <f t="shared" ref="AM165:AN165" si="201">AM163+AM164</f>
        <v>240000.689813</v>
      </c>
      <c r="AN165" s="141">
        <f t="shared" si="201"/>
        <v>221612.93048700033</v>
      </c>
      <c r="AO165" s="232">
        <f t="shared" ref="AO165" si="202">AN165/AJ165-1</f>
        <v>-1.6171399114843665E-2</v>
      </c>
      <c r="AP165" s="232">
        <f t="shared" ref="AP165" si="203">AN165/AM165-1</f>
        <v>-7.6615443648627712E-2</v>
      </c>
      <c r="AT165" s="67"/>
      <c r="AU165" s="67"/>
      <c r="AV165" s="67"/>
      <c r="AW165" s="67"/>
      <c r="AX165" s="67"/>
      <c r="AY165" s="67"/>
      <c r="AZ165" s="67"/>
    </row>
    <row r="166" spans="1:52" ht="21" x14ac:dyDescent="0.35">
      <c r="B166" s="142" t="s">
        <v>421</v>
      </c>
      <c r="C166" s="142" t="s">
        <v>434</v>
      </c>
      <c r="D166" s="135"/>
      <c r="E166" s="143" t="s">
        <v>405</v>
      </c>
      <c r="F166" s="143" t="s">
        <v>405</v>
      </c>
      <c r="G166" s="143" t="s">
        <v>405</v>
      </c>
      <c r="H166" s="143" t="s">
        <v>405</v>
      </c>
      <c r="I166" s="143" t="s">
        <v>405</v>
      </c>
      <c r="J166" s="143">
        <f>J165/J163</f>
        <v>0.61318149924032284</v>
      </c>
      <c r="K166" s="143">
        <f>K165/K163</f>
        <v>0.54889712755134878</v>
      </c>
      <c r="L166" s="241">
        <f>L165/L163</f>
        <v>0.57309600812818018</v>
      </c>
      <c r="M166" s="118">
        <f>(K166-J166)*100</f>
        <v>-6.4284371688974051</v>
      </c>
      <c r="N166" s="118">
        <f>(L166-K166)*100</f>
        <v>2.4198880576831394</v>
      </c>
      <c r="O166" s="239"/>
      <c r="P166" s="135"/>
      <c r="Q166" s="143" t="s">
        <v>405</v>
      </c>
      <c r="R166" s="143" t="s">
        <v>405</v>
      </c>
      <c r="S166" s="143" t="s">
        <v>405</v>
      </c>
      <c r="T166" s="143" t="s">
        <v>405</v>
      </c>
      <c r="U166" s="143" t="s">
        <v>405</v>
      </c>
      <c r="V166" s="143" t="s">
        <v>405</v>
      </c>
      <c r="W166" s="143" t="s">
        <v>405</v>
      </c>
      <c r="X166" s="143" t="s">
        <v>405</v>
      </c>
      <c r="Y166" s="143" t="s">
        <v>405</v>
      </c>
      <c r="Z166" s="143" t="s">
        <v>405</v>
      </c>
      <c r="AA166" s="143" t="s">
        <v>405</v>
      </c>
      <c r="AB166" s="143" t="s">
        <v>405</v>
      </c>
      <c r="AC166" s="144">
        <f t="shared" ref="AC166:AF166" si="204">AC165/AC163</f>
        <v>0.61482326468106385</v>
      </c>
      <c r="AD166" s="144">
        <f t="shared" si="204"/>
        <v>0.65193814362448255</v>
      </c>
      <c r="AE166" s="144">
        <f t="shared" si="204"/>
        <v>0.61620192222176107</v>
      </c>
      <c r="AF166" s="144">
        <f t="shared" si="204"/>
        <v>0.57813439329762906</v>
      </c>
      <c r="AG166" s="144">
        <f>AG165/AG163</f>
        <v>0.57226825393322889</v>
      </c>
      <c r="AH166" s="144">
        <f t="shared" ref="AH166:AL166" si="205">AH165/AH163</f>
        <v>0.51996602706022443</v>
      </c>
      <c r="AI166" s="144">
        <f t="shared" si="205"/>
        <v>0.53733270550101697</v>
      </c>
      <c r="AJ166" s="144">
        <f t="shared" si="205"/>
        <v>0.56736912927459648</v>
      </c>
      <c r="AK166" s="144">
        <f t="shared" si="205"/>
        <v>0.53437842900415922</v>
      </c>
      <c r="AL166" s="144">
        <f t="shared" si="205"/>
        <v>0.565373355383197</v>
      </c>
      <c r="AM166" s="144">
        <f t="shared" ref="AM166:AN166" si="206">AM165/AM163</f>
        <v>0.60621408942767241</v>
      </c>
      <c r="AN166" s="144">
        <f t="shared" si="206"/>
        <v>0.58303487332967308</v>
      </c>
      <c r="AO166" s="118"/>
      <c r="AP166" s="118"/>
    </row>
    <row r="167" spans="1:52" ht="21" x14ac:dyDescent="0.35">
      <c r="B167" s="145" t="s">
        <v>422</v>
      </c>
      <c r="C167" s="145" t="s">
        <v>435</v>
      </c>
      <c r="D167" s="146"/>
      <c r="E167" s="147" t="s">
        <v>405</v>
      </c>
      <c r="F167" s="147" t="s">
        <v>405</v>
      </c>
      <c r="G167" s="147" t="s">
        <v>405</v>
      </c>
      <c r="H167" s="147" t="s">
        <v>405</v>
      </c>
      <c r="I167" s="147" t="s">
        <v>405</v>
      </c>
      <c r="J167" s="147">
        <f>SUM(AC167:AF167)</f>
        <v>-160496</v>
      </c>
      <c r="K167" s="147">
        <f>SUM(AG167:AJ167)</f>
        <v>-161265.26799999998</v>
      </c>
      <c r="L167" s="147">
        <f t="shared" ref="L167:L168" si="207">SUM(AK167:AN167)</f>
        <v>-194790.05600000004</v>
      </c>
      <c r="M167" s="233">
        <f t="shared" ref="M167:M168" si="208">K167/J167-1</f>
        <v>4.7930664938689027E-3</v>
      </c>
      <c r="N167" s="233">
        <f t="shared" ref="N167:N170" si="209">L167/K167-1</f>
        <v>0.20788597827524802</v>
      </c>
      <c r="O167" s="239"/>
      <c r="P167" s="135"/>
      <c r="Q167" s="147" t="s">
        <v>405</v>
      </c>
      <c r="R167" s="147" t="s">
        <v>405</v>
      </c>
      <c r="S167" s="147" t="s">
        <v>405</v>
      </c>
      <c r="T167" s="147" t="s">
        <v>405</v>
      </c>
      <c r="U167" s="147" t="s">
        <v>405</v>
      </c>
      <c r="V167" s="147" t="s">
        <v>405</v>
      </c>
      <c r="W167" s="147" t="s">
        <v>405</v>
      </c>
      <c r="X167" s="147" t="s">
        <v>405</v>
      </c>
      <c r="Y167" s="147" t="s">
        <v>405</v>
      </c>
      <c r="Z167" s="147" t="s">
        <v>405</v>
      </c>
      <c r="AA167" s="147" t="s">
        <v>405</v>
      </c>
      <c r="AB167" s="147" t="s">
        <v>405</v>
      </c>
      <c r="AC167" s="147">
        <v>-37509</v>
      </c>
      <c r="AD167" s="147">
        <v>-39819</v>
      </c>
      <c r="AE167" s="147">
        <v>-39101</v>
      </c>
      <c r="AF167" s="147">
        <v>-44067</v>
      </c>
      <c r="AG167" s="148">
        <v>-32938</v>
      </c>
      <c r="AH167" s="148">
        <v>-28260.691999999995</v>
      </c>
      <c r="AI167" s="148">
        <v>-42170.142</v>
      </c>
      <c r="AJ167" s="148">
        <v>-57896.433999999994</v>
      </c>
      <c r="AK167" s="148">
        <v>-47777.103720000006</v>
      </c>
      <c r="AL167" s="148">
        <v>-50788.953280000002</v>
      </c>
      <c r="AM167" s="148">
        <v>-40853.063000000002</v>
      </c>
      <c r="AN167" s="148">
        <v>-55370.936000000031</v>
      </c>
      <c r="AO167" s="233"/>
      <c r="AP167" s="233"/>
    </row>
    <row r="168" spans="1:52" ht="21" x14ac:dyDescent="0.35">
      <c r="B168" s="149" t="s">
        <v>379</v>
      </c>
      <c r="C168" s="149" t="s">
        <v>436</v>
      </c>
      <c r="D168" s="139"/>
      <c r="E168" s="150" t="s">
        <v>405</v>
      </c>
      <c r="F168" s="150" t="s">
        <v>405</v>
      </c>
      <c r="G168" s="150" t="s">
        <v>405</v>
      </c>
      <c r="H168" s="150" t="s">
        <v>405</v>
      </c>
      <c r="I168" s="150" t="s">
        <v>405</v>
      </c>
      <c r="J168" s="150">
        <f>SUM(AC168:AF168)</f>
        <v>605903</v>
      </c>
      <c r="K168" s="150">
        <f>SUM(AG168:AJ168)</f>
        <v>694532.81081940455</v>
      </c>
      <c r="L168" s="150">
        <f t="shared" si="207"/>
        <v>669615.62500000023</v>
      </c>
      <c r="M168" s="234">
        <f t="shared" si="208"/>
        <v>0.14627722724496262</v>
      </c>
      <c r="N168" s="237">
        <f t="shared" si="209"/>
        <v>-3.5876182422551417E-2</v>
      </c>
      <c r="O168" s="238"/>
      <c r="P168" s="139"/>
      <c r="Q168" s="150" t="s">
        <v>405</v>
      </c>
      <c r="R168" s="150" t="s">
        <v>405</v>
      </c>
      <c r="S168" s="150" t="s">
        <v>405</v>
      </c>
      <c r="T168" s="150" t="s">
        <v>405</v>
      </c>
      <c r="U168" s="150" t="s">
        <v>405</v>
      </c>
      <c r="V168" s="150" t="s">
        <v>405</v>
      </c>
      <c r="W168" s="150" t="s">
        <v>405</v>
      </c>
      <c r="X168" s="150" t="s">
        <v>405</v>
      </c>
      <c r="Y168" s="150" t="s">
        <v>405</v>
      </c>
      <c r="Z168" s="150" t="s">
        <v>405</v>
      </c>
      <c r="AA168" s="150" t="s">
        <v>405</v>
      </c>
      <c r="AB168" s="150" t="s">
        <v>405</v>
      </c>
      <c r="AC168" s="151">
        <f t="shared" ref="AC168" si="210">AC165+AC167</f>
        <v>119871</v>
      </c>
      <c r="AD168" s="151">
        <f t="shared" ref="AD168" si="211">AD165+AD167</f>
        <v>150736</v>
      </c>
      <c r="AE168" s="151">
        <f t="shared" ref="AE168" si="212">AE165+AE167</f>
        <v>168755</v>
      </c>
      <c r="AF168" s="151">
        <f t="shared" ref="AF168" si="213">AF165+AF167</f>
        <v>166541</v>
      </c>
      <c r="AG168" s="151">
        <f t="shared" ref="AG168:AH168" si="214">AG165+AG167</f>
        <v>174539</v>
      </c>
      <c r="AH168" s="151">
        <f t="shared" si="214"/>
        <v>168166.32844748424</v>
      </c>
      <c r="AI168" s="151">
        <f>AI165+AI167</f>
        <v>184468.28720276023</v>
      </c>
      <c r="AJ168" s="151">
        <f t="shared" ref="AJ168:AL168" si="215">AJ165+AJ167</f>
        <v>167359.19516916003</v>
      </c>
      <c r="AK168" s="151">
        <f t="shared" si="215"/>
        <v>145905.11425000004</v>
      </c>
      <c r="AL168" s="151">
        <f t="shared" si="215"/>
        <v>158320.8894499999</v>
      </c>
      <c r="AM168" s="151">
        <f t="shared" ref="AM168:AN168" si="216">AM165+AM167</f>
        <v>199147.62681300001</v>
      </c>
      <c r="AN168" s="151">
        <f t="shared" si="216"/>
        <v>166241.99448700028</v>
      </c>
      <c r="AO168" s="234">
        <f t="shared" ref="AO168" si="217">AN168/AJ168-1</f>
        <v>-6.6754663885095766E-3</v>
      </c>
      <c r="AP168" s="237">
        <f t="shared" ref="AP168" si="218">AN168/AM168-1</f>
        <v>-0.16523235979557105</v>
      </c>
    </row>
    <row r="169" spans="1:52" ht="21" x14ac:dyDescent="0.35">
      <c r="B169" s="152" t="s">
        <v>423</v>
      </c>
      <c r="C169" s="152" t="s">
        <v>437</v>
      </c>
      <c r="D169" s="153"/>
      <c r="E169" s="154" t="s">
        <v>405</v>
      </c>
      <c r="F169" s="154" t="s">
        <v>405</v>
      </c>
      <c r="G169" s="154" t="s">
        <v>405</v>
      </c>
      <c r="H169" s="154" t="s">
        <v>405</v>
      </c>
      <c r="I169" s="154" t="s">
        <v>405</v>
      </c>
      <c r="J169" s="154">
        <f>J168/J163</f>
        <v>0.48477165279992446</v>
      </c>
      <c r="K169" s="154">
        <f>K168/K163</f>
        <v>0.44546380073071451</v>
      </c>
      <c r="L169" s="154">
        <f>L168/L163</f>
        <v>0.44395131834835361</v>
      </c>
      <c r="M169" s="157">
        <f>(K169-J169)*100</f>
        <v>-3.9307852069209948</v>
      </c>
      <c r="N169" s="157">
        <f>(L169-K169)*100</f>
        <v>-0.15124823823609024</v>
      </c>
      <c r="O169" s="240"/>
      <c r="P169" s="155"/>
      <c r="Q169" s="154" t="s">
        <v>405</v>
      </c>
      <c r="R169" s="154" t="s">
        <v>405</v>
      </c>
      <c r="S169" s="154" t="s">
        <v>405</v>
      </c>
      <c r="T169" s="154" t="s">
        <v>405</v>
      </c>
      <c r="U169" s="154" t="s">
        <v>405</v>
      </c>
      <c r="V169" s="154" t="s">
        <v>405</v>
      </c>
      <c r="W169" s="154" t="s">
        <v>405</v>
      </c>
      <c r="X169" s="154" t="s">
        <v>405</v>
      </c>
      <c r="Y169" s="154" t="s">
        <v>405</v>
      </c>
      <c r="Z169" s="154" t="s">
        <v>405</v>
      </c>
      <c r="AA169" s="154" t="s">
        <v>405</v>
      </c>
      <c r="AB169" s="154" t="s">
        <v>405</v>
      </c>
      <c r="AC169" s="156">
        <f t="shared" ref="AC169" si="219">AC168/AC163</f>
        <v>0.46828999593711912</v>
      </c>
      <c r="AD169" s="156">
        <f t="shared" ref="AD169" si="220">AD168/AD163</f>
        <v>0.51570700331862196</v>
      </c>
      <c r="AE169" s="156">
        <f t="shared" ref="AE169" si="221">AE168/AE163</f>
        <v>0.50028459791650604</v>
      </c>
      <c r="AF169" s="156">
        <f t="shared" ref="AF169" si="222">AF168/AF163</f>
        <v>0.45716724907971418</v>
      </c>
      <c r="AG169" s="156">
        <f t="shared" ref="AG169:AH169" si="223">AG168/AG163</f>
        <v>0.48141783799289484</v>
      </c>
      <c r="AH169" s="156">
        <f t="shared" si="223"/>
        <v>0.44515656496210471</v>
      </c>
      <c r="AI169" s="156">
        <f>AI168/AI163</f>
        <v>0.4373523245394545</v>
      </c>
      <c r="AJ169" s="156">
        <f t="shared" ref="AJ169:AL169" si="224">AJ168/AJ163</f>
        <v>0.42154081205187427</v>
      </c>
      <c r="AK169" s="156">
        <f t="shared" si="224"/>
        <v>0.40255913296420498</v>
      </c>
      <c r="AL169" s="156">
        <f t="shared" si="224"/>
        <v>0.42805451588031362</v>
      </c>
      <c r="AM169" s="156">
        <f t="shared" ref="AM169:AN169" si="225">AM168/AM163</f>
        <v>0.50302395940690914</v>
      </c>
      <c r="AN169" s="156">
        <f t="shared" si="225"/>
        <v>0.4373611232196849</v>
      </c>
      <c r="AO169" s="157">
        <f>100*(AN169-AJ169)</f>
        <v>1.582031116781063</v>
      </c>
      <c r="AP169" s="157">
        <f>100*(AN169-AM169)</f>
        <v>-6.5662836187224238</v>
      </c>
    </row>
    <row r="170" spans="1:52" ht="21" x14ac:dyDescent="0.35">
      <c r="B170" s="158" t="s">
        <v>424</v>
      </c>
      <c r="C170" s="158" t="s">
        <v>438</v>
      </c>
      <c r="D170" s="159"/>
      <c r="E170" s="160" t="s">
        <v>405</v>
      </c>
      <c r="F170" s="160" t="s">
        <v>405</v>
      </c>
      <c r="G170" s="160" t="s">
        <v>405</v>
      </c>
      <c r="H170" s="160" t="s">
        <v>405</v>
      </c>
      <c r="I170" s="160" t="s">
        <v>405</v>
      </c>
      <c r="J170" s="160">
        <v>0</v>
      </c>
      <c r="K170" s="160">
        <f>SUM(AG170:AJ170)</f>
        <v>8178.4380000000001</v>
      </c>
      <c r="L170" s="160">
        <f>SUM(AK170:AN170)</f>
        <v>38747.460999999996</v>
      </c>
      <c r="M170" s="235">
        <v>0</v>
      </c>
      <c r="N170" s="236">
        <f t="shared" si="209"/>
        <v>3.7377581146913377</v>
      </c>
      <c r="O170" s="239"/>
      <c r="P170" s="161"/>
      <c r="Q170" s="160" t="s">
        <v>405</v>
      </c>
      <c r="R170" s="160" t="s">
        <v>405</v>
      </c>
      <c r="S170" s="160" t="s">
        <v>405</v>
      </c>
      <c r="T170" s="160" t="s">
        <v>405</v>
      </c>
      <c r="U170" s="160" t="s">
        <v>405</v>
      </c>
      <c r="V170" s="160" t="s">
        <v>405</v>
      </c>
      <c r="W170" s="160" t="s">
        <v>405</v>
      </c>
      <c r="X170" s="160" t="s">
        <v>405</v>
      </c>
      <c r="Y170" s="160" t="s">
        <v>405</v>
      </c>
      <c r="Z170" s="160" t="s">
        <v>405</v>
      </c>
      <c r="AA170" s="160" t="s">
        <v>405</v>
      </c>
      <c r="AB170" s="160" t="s">
        <v>405</v>
      </c>
      <c r="AC170" s="160">
        <v>0</v>
      </c>
      <c r="AD170" s="160">
        <v>0</v>
      </c>
      <c r="AE170" s="160">
        <v>0</v>
      </c>
      <c r="AF170" s="160">
        <v>0</v>
      </c>
      <c r="AG170" s="162">
        <v>0</v>
      </c>
      <c r="AH170" s="162">
        <v>0</v>
      </c>
      <c r="AI170" s="162">
        <v>2696</v>
      </c>
      <c r="AJ170" s="162">
        <v>5482.4380000000001</v>
      </c>
      <c r="AK170" s="162">
        <v>5678.4610000000002</v>
      </c>
      <c r="AL170" s="162">
        <v>10199</v>
      </c>
      <c r="AM170" s="162">
        <v>1000</v>
      </c>
      <c r="AN170" s="162">
        <v>21870</v>
      </c>
      <c r="AO170" s="235"/>
      <c r="AP170" s="236"/>
    </row>
    <row r="171" spans="1:52" ht="21" x14ac:dyDescent="0.35">
      <c r="B171" s="131" t="s">
        <v>425</v>
      </c>
      <c r="C171" s="131" t="s">
        <v>439</v>
      </c>
      <c r="D171" s="137"/>
      <c r="E171" s="163" t="s">
        <v>405</v>
      </c>
      <c r="F171" s="163" t="s">
        <v>405</v>
      </c>
      <c r="G171" s="163" t="s">
        <v>405</v>
      </c>
      <c r="H171" s="163" t="s">
        <v>405</v>
      </c>
      <c r="I171" s="163" t="s">
        <v>405</v>
      </c>
      <c r="J171" s="163">
        <f>SUM(AC171:AF171)</f>
        <v>605903</v>
      </c>
      <c r="K171" s="163">
        <f>SUM(AG171:AJ171)</f>
        <v>702711.24881940451</v>
      </c>
      <c r="L171" s="163">
        <f>SUM(AK171:AN171)</f>
        <v>708363.08600000024</v>
      </c>
      <c r="M171" s="237">
        <f>K171/J171-1</f>
        <v>0.15977516008239689</v>
      </c>
      <c r="N171" s="237">
        <f>L171/K171-1</f>
        <v>8.0429012486866736E-3</v>
      </c>
      <c r="O171" s="238"/>
      <c r="P171" s="164"/>
      <c r="Q171" s="163" t="s">
        <v>405</v>
      </c>
      <c r="R171" s="163" t="s">
        <v>405</v>
      </c>
      <c r="S171" s="163" t="s">
        <v>405</v>
      </c>
      <c r="T171" s="163" t="s">
        <v>405</v>
      </c>
      <c r="U171" s="163" t="s">
        <v>405</v>
      </c>
      <c r="V171" s="163" t="s">
        <v>405</v>
      </c>
      <c r="W171" s="163" t="s">
        <v>405</v>
      </c>
      <c r="X171" s="163" t="s">
        <v>405</v>
      </c>
      <c r="Y171" s="163" t="s">
        <v>405</v>
      </c>
      <c r="Z171" s="163" t="s">
        <v>405</v>
      </c>
      <c r="AA171" s="163" t="s">
        <v>405</v>
      </c>
      <c r="AB171" s="163" t="s">
        <v>405</v>
      </c>
      <c r="AC171" s="165">
        <f t="shared" ref="AC171:AF171" si="226">AC170+AC168</f>
        <v>119871</v>
      </c>
      <c r="AD171" s="165">
        <f t="shared" si="226"/>
        <v>150736</v>
      </c>
      <c r="AE171" s="165">
        <f t="shared" si="226"/>
        <v>168755</v>
      </c>
      <c r="AF171" s="165">
        <f t="shared" si="226"/>
        <v>166541</v>
      </c>
      <c r="AG171" s="165">
        <f>AG170+AG168</f>
        <v>174539</v>
      </c>
      <c r="AH171" s="165">
        <f>AH170+AH168</f>
        <v>168166.32844748424</v>
      </c>
      <c r="AI171" s="165">
        <f>AI170+AI168</f>
        <v>187164.28720276023</v>
      </c>
      <c r="AJ171" s="165">
        <f t="shared" ref="AJ171:AL171" si="227">AJ170+AJ168</f>
        <v>172841.63316916002</v>
      </c>
      <c r="AK171" s="165">
        <f t="shared" si="227"/>
        <v>151583.57525000005</v>
      </c>
      <c r="AL171" s="165">
        <f t="shared" si="227"/>
        <v>168519.8894499999</v>
      </c>
      <c r="AM171" s="165">
        <f t="shared" ref="AM171:AN171" si="228">AM170+AM168</f>
        <v>200147.62681300001</v>
      </c>
      <c r="AN171" s="165">
        <f t="shared" si="228"/>
        <v>188111.99448700028</v>
      </c>
      <c r="AO171" s="237">
        <f t="shared" ref="AO171" si="229">AN171/AJ171-1</f>
        <v>8.8348860386520123E-2</v>
      </c>
      <c r="AP171" s="237">
        <f t="shared" ref="AP171" si="230">AN171/AM171-1</f>
        <v>-6.0133774842330512E-2</v>
      </c>
    </row>
    <row r="172" spans="1:52" ht="21" x14ac:dyDescent="0.35">
      <c r="B172" s="166" t="s">
        <v>426</v>
      </c>
      <c r="C172" s="166" t="s">
        <v>440</v>
      </c>
      <c r="D172" s="167"/>
      <c r="E172" s="168" t="s">
        <v>405</v>
      </c>
      <c r="F172" s="168" t="s">
        <v>405</v>
      </c>
      <c r="G172" s="168" t="s">
        <v>405</v>
      </c>
      <c r="H172" s="168" t="s">
        <v>405</v>
      </c>
      <c r="I172" s="168" t="s">
        <v>405</v>
      </c>
      <c r="J172" s="168">
        <f>J171/J163</f>
        <v>0.48477165279992446</v>
      </c>
      <c r="K172" s="168">
        <f>K171/K163</f>
        <v>0.45070933847748024</v>
      </c>
      <c r="L172" s="168">
        <f>L171/L163</f>
        <v>0.46964066272946992</v>
      </c>
      <c r="M172" s="157">
        <f>(K172-J172)*100</f>
        <v>-3.406231432244422</v>
      </c>
      <c r="N172" s="157">
        <f>(L172-K172)*100</f>
        <v>1.8931324251989678</v>
      </c>
      <c r="O172" s="240"/>
      <c r="P172" s="155"/>
      <c r="Q172" s="168" t="s">
        <v>405</v>
      </c>
      <c r="R172" s="168" t="s">
        <v>405</v>
      </c>
      <c r="S172" s="168" t="s">
        <v>405</v>
      </c>
      <c r="T172" s="168" t="s">
        <v>405</v>
      </c>
      <c r="U172" s="168" t="s">
        <v>405</v>
      </c>
      <c r="V172" s="168" t="s">
        <v>405</v>
      </c>
      <c r="W172" s="168" t="s">
        <v>405</v>
      </c>
      <c r="X172" s="168" t="s">
        <v>405</v>
      </c>
      <c r="Y172" s="168" t="s">
        <v>405</v>
      </c>
      <c r="Z172" s="168" t="s">
        <v>405</v>
      </c>
      <c r="AA172" s="168" t="s">
        <v>405</v>
      </c>
      <c r="AB172" s="168" t="s">
        <v>405</v>
      </c>
      <c r="AC172" s="169">
        <f t="shared" ref="AC172" si="231">AC171/AC163</f>
        <v>0.46828999593711912</v>
      </c>
      <c r="AD172" s="169">
        <f t="shared" ref="AD172" si="232">AD171/AD163</f>
        <v>0.51570700331862196</v>
      </c>
      <c r="AE172" s="169">
        <f t="shared" ref="AE172" si="233">AE171/AE163</f>
        <v>0.50028459791650604</v>
      </c>
      <c r="AF172" s="169">
        <f t="shared" ref="AF172" si="234">AF171/AF163</f>
        <v>0.45716724907971418</v>
      </c>
      <c r="AG172" s="169">
        <f t="shared" ref="AG172:AH172" si="235">AG171/AG163</f>
        <v>0.48141783799289484</v>
      </c>
      <c r="AH172" s="169">
        <f t="shared" si="235"/>
        <v>0.44515656496210471</v>
      </c>
      <c r="AI172" s="169">
        <f>AI171/AI163</f>
        <v>0.44374421923766</v>
      </c>
      <c r="AJ172" s="169">
        <f t="shared" ref="AJ172:AL172" si="236">AJ171/AJ163</f>
        <v>0.43534986129000014</v>
      </c>
      <c r="AK172" s="169">
        <f t="shared" si="236"/>
        <v>0.41822627628869646</v>
      </c>
      <c r="AL172" s="170">
        <f t="shared" si="236"/>
        <v>0.45562970208997727</v>
      </c>
      <c r="AM172" s="170">
        <f t="shared" ref="AM172:AN172" si="237">AM171/AM163</f>
        <v>0.50554984418624049</v>
      </c>
      <c r="AN172" s="170">
        <f t="shared" si="237"/>
        <v>0.4948982563269424</v>
      </c>
      <c r="AO172" s="157">
        <f>100*(AN172-AJ172)</f>
        <v>5.9548395036942257</v>
      </c>
      <c r="AP172" s="157">
        <f>100*(AN172-AM172)</f>
        <v>-1.0651587859298095</v>
      </c>
    </row>
    <row r="173" spans="1:52" ht="40" x14ac:dyDescent="0.35">
      <c r="B173" s="117" t="s">
        <v>526</v>
      </c>
      <c r="C173" s="117" t="s">
        <v>470</v>
      </c>
      <c r="D173" s="72"/>
      <c r="E173" s="72"/>
      <c r="F173" s="72"/>
      <c r="G173" s="72"/>
      <c r="H173" s="72"/>
      <c r="I173" s="72"/>
      <c r="J173" s="164"/>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171"/>
      <c r="AM173" s="171"/>
      <c r="AN173" s="171"/>
      <c r="AO173" s="72"/>
      <c r="AP173" s="72"/>
    </row>
    <row r="174" spans="1:52" ht="21" x14ac:dyDescent="0.35">
      <c r="A174" s="24" t="s">
        <v>140</v>
      </c>
      <c r="B174" s="72"/>
      <c r="C174" s="72"/>
      <c r="D174" s="72"/>
      <c r="E174" s="72"/>
      <c r="F174" s="72"/>
      <c r="G174" s="72"/>
      <c r="H174" s="72"/>
      <c r="I174" s="72"/>
      <c r="J174" s="161"/>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171"/>
      <c r="AN174" s="171"/>
      <c r="AO174" s="72"/>
      <c r="AP174" s="72"/>
    </row>
    <row r="175" spans="1:52" x14ac:dyDescent="0.35">
      <c r="B175" s="128" t="s">
        <v>441</v>
      </c>
      <c r="C175" s="172" t="s">
        <v>442</v>
      </c>
      <c r="D175" s="129"/>
      <c r="E175" s="129"/>
      <c r="F175" s="129"/>
      <c r="G175" s="129"/>
      <c r="H175" s="129"/>
      <c r="I175" s="129"/>
      <c r="J175" s="129"/>
      <c r="K175" s="129"/>
      <c r="L175" s="129"/>
      <c r="M175" s="129"/>
      <c r="N175" s="129"/>
      <c r="O175" s="195"/>
      <c r="P175" s="72"/>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72"/>
      <c r="AP175" s="72"/>
    </row>
    <row r="176" spans="1:52" ht="22" customHeight="1" x14ac:dyDescent="0.35">
      <c r="B176" s="131" t="s">
        <v>418</v>
      </c>
      <c r="C176" s="173" t="s">
        <v>431</v>
      </c>
      <c r="D176" s="131"/>
      <c r="E176" s="174">
        <f>'DRE - Income Statement'!E8</f>
        <v>1708</v>
      </c>
      <c r="F176" s="174">
        <f>'DRE - Income Statement'!F8</f>
        <v>1370</v>
      </c>
      <c r="G176" s="174">
        <f>'DRE - Income Statement'!G8</f>
        <v>682</v>
      </c>
      <c r="H176" s="174">
        <f>'DRE - Income Statement'!H8</f>
        <v>5012</v>
      </c>
      <c r="I176" s="174">
        <f>'DRE - Income Statement'!I8</f>
        <v>60642</v>
      </c>
      <c r="J176" s="174">
        <f>'DRE - Income Statement'!J8</f>
        <v>111094</v>
      </c>
      <c r="K176" s="174">
        <f>'DRE - Income Statement'!K8</f>
        <v>138484.68293000001</v>
      </c>
      <c r="L176" s="174">
        <f>SUM(AK176:AN176)</f>
        <v>335901</v>
      </c>
      <c r="M176" s="242">
        <f t="shared" ref="M176:M178" si="238">K176/J176-1</f>
        <v>0.24655411570381847</v>
      </c>
      <c r="N176" s="247">
        <f t="shared" ref="N176:N178" si="239">L176/K176-1</f>
        <v>1.4255462257135556</v>
      </c>
      <c r="O176" s="250"/>
      <c r="P176" s="72"/>
      <c r="Q176" s="174">
        <f>'DRE - Income Statement'!Q8</f>
        <v>5</v>
      </c>
      <c r="R176" s="174">
        <f>'DRE - Income Statement'!R8</f>
        <v>230</v>
      </c>
      <c r="S176" s="174">
        <f>'DRE - Income Statement'!S8</f>
        <v>377</v>
      </c>
      <c r="T176" s="174">
        <f>'DRE - Income Statement'!T8</f>
        <v>70</v>
      </c>
      <c r="U176" s="174">
        <f>'DRE - Income Statement'!U8</f>
        <v>1980</v>
      </c>
      <c r="V176" s="174">
        <f>'DRE - Income Statement'!V8</f>
        <v>650</v>
      </c>
      <c r="W176" s="174">
        <f>'DRE - Income Statement'!W8</f>
        <v>439</v>
      </c>
      <c r="X176" s="174">
        <f>'DRE - Income Statement'!X8</f>
        <v>1943</v>
      </c>
      <c r="Y176" s="174">
        <f>'DRE - Income Statement'!Y8</f>
        <v>9517</v>
      </c>
      <c r="Z176" s="174">
        <f>'DRE - Income Statement'!Z8</f>
        <v>12105</v>
      </c>
      <c r="AA176" s="174">
        <f>'DRE - Income Statement'!AA8</f>
        <v>20412</v>
      </c>
      <c r="AB176" s="174">
        <f>'DRE - Income Statement'!AB8</f>
        <v>18608</v>
      </c>
      <c r="AC176" s="174">
        <f>'DRE - Income Statement'!AC8</f>
        <v>35515</v>
      </c>
      <c r="AD176" s="174">
        <f>'DRE - Income Statement'!AD8</f>
        <v>18648</v>
      </c>
      <c r="AE176" s="174">
        <f>'DRE - Income Statement'!AE8</f>
        <v>22221</v>
      </c>
      <c r="AF176" s="174">
        <f>'DRE - Income Statement'!AF8</f>
        <v>34710</v>
      </c>
      <c r="AG176" s="165">
        <f>'DRE - Income Statement'!AG8</f>
        <v>25235</v>
      </c>
      <c r="AH176" s="165">
        <f>'DRE - Income Statement'!AH8</f>
        <v>20015</v>
      </c>
      <c r="AI176" s="165">
        <f>'DRE - Income Statement'!AI8</f>
        <v>47168.5</v>
      </c>
      <c r="AJ176" s="165">
        <f>'DRE - Income Statement'!AJ8</f>
        <v>46066.18293000001</v>
      </c>
      <c r="AK176" s="165">
        <f>'DRE - Income Statement'!AK8</f>
        <v>63619.580549999999</v>
      </c>
      <c r="AL176" s="165">
        <f>'DRE - Income Statement'!AL8</f>
        <v>74893.419450000001</v>
      </c>
      <c r="AM176" s="165">
        <f>'DRE - Income Statement'!AM8</f>
        <v>86194.000000000015</v>
      </c>
      <c r="AN176" s="165">
        <f>'DRE - Income Statement'!AN8</f>
        <v>111194.00000000001</v>
      </c>
      <c r="AO176" s="230">
        <f t="shared" ref="AO176" si="240">AN176/AJ176-1</f>
        <v>1.4137880095028743</v>
      </c>
      <c r="AP176" s="230">
        <f t="shared" ref="AP176" si="241">AN176/AM176-1</f>
        <v>0.29004339049121741</v>
      </c>
    </row>
    <row r="177" spans="2:44" ht="22" customHeight="1" x14ac:dyDescent="0.35">
      <c r="B177" s="134" t="s">
        <v>427</v>
      </c>
      <c r="C177" s="175" t="s">
        <v>443</v>
      </c>
      <c r="D177" s="134"/>
      <c r="E177" s="176">
        <f t="shared" ref="E177:K177" si="242">-E142</f>
        <v>-2091</v>
      </c>
      <c r="F177" s="176">
        <f t="shared" si="242"/>
        <v>-1017</v>
      </c>
      <c r="G177" s="176">
        <f t="shared" si="242"/>
        <v>-1135</v>
      </c>
      <c r="H177" s="176">
        <f t="shared" si="242"/>
        <v>-3572</v>
      </c>
      <c r="I177" s="176">
        <f t="shared" si="242"/>
        <v>-37613</v>
      </c>
      <c r="J177" s="176">
        <f t="shared" si="242"/>
        <v>-76258</v>
      </c>
      <c r="K177" s="176">
        <f t="shared" si="242"/>
        <v>-115780</v>
      </c>
      <c r="L177" s="176">
        <f t="shared" ref="L177:L183" si="243">SUM(AK177:AN177)</f>
        <v>-320347</v>
      </c>
      <c r="M177" s="243">
        <f t="shared" si="238"/>
        <v>0.51826693592803386</v>
      </c>
      <c r="N177" s="248">
        <f t="shared" si="239"/>
        <v>1.7668595612368283</v>
      </c>
      <c r="O177" s="205"/>
      <c r="P177" s="72"/>
      <c r="Q177" s="176">
        <f t="shared" ref="Q177:AF177" si="244">-Q142</f>
        <v>-5</v>
      </c>
      <c r="R177" s="176">
        <f t="shared" si="244"/>
        <v>-329</v>
      </c>
      <c r="S177" s="176">
        <f t="shared" si="244"/>
        <v>-304</v>
      </c>
      <c r="T177" s="176">
        <f t="shared" si="244"/>
        <v>-497</v>
      </c>
      <c r="U177" s="176">
        <f t="shared" si="244"/>
        <v>-1960</v>
      </c>
      <c r="V177" s="176">
        <f t="shared" si="244"/>
        <v>-586</v>
      </c>
      <c r="W177" s="176">
        <f t="shared" si="244"/>
        <v>-322</v>
      </c>
      <c r="X177" s="176">
        <f t="shared" si="244"/>
        <v>-704</v>
      </c>
      <c r="Y177" s="176">
        <f t="shared" si="244"/>
        <v>-7453</v>
      </c>
      <c r="Z177" s="176">
        <f t="shared" si="244"/>
        <v>-8923</v>
      </c>
      <c r="AA177" s="176">
        <f t="shared" si="244"/>
        <v>-12625</v>
      </c>
      <c r="AB177" s="176">
        <f t="shared" si="244"/>
        <v>-8612</v>
      </c>
      <c r="AC177" s="176">
        <f t="shared" si="244"/>
        <v>-20023</v>
      </c>
      <c r="AD177" s="176">
        <f t="shared" si="244"/>
        <v>-13879</v>
      </c>
      <c r="AE177" s="176">
        <f t="shared" si="244"/>
        <v>-16257</v>
      </c>
      <c r="AF177" s="176">
        <f t="shared" si="244"/>
        <v>-26099</v>
      </c>
      <c r="AG177" s="177">
        <f t="shared" ref="AG177:AL177" si="245">-AG142</f>
        <v>-20325</v>
      </c>
      <c r="AH177" s="177">
        <f t="shared" si="245"/>
        <v>-16054</v>
      </c>
      <c r="AI177" s="177">
        <f t="shared" si="245"/>
        <v>-39499</v>
      </c>
      <c r="AJ177" s="177">
        <f t="shared" si="245"/>
        <v>-39902</v>
      </c>
      <c r="AK177" s="177">
        <f t="shared" si="245"/>
        <v>-57486</v>
      </c>
      <c r="AL177" s="177">
        <f t="shared" si="245"/>
        <v>-71385</v>
      </c>
      <c r="AM177" s="177">
        <f>-AM142</f>
        <v>-78336</v>
      </c>
      <c r="AN177" s="177">
        <f>-AN142</f>
        <v>-113140</v>
      </c>
      <c r="AO177" s="243"/>
      <c r="AP177" s="248"/>
    </row>
    <row r="178" spans="2:44" ht="22" customHeight="1" x14ac:dyDescent="0.35">
      <c r="B178" s="131" t="s">
        <v>428</v>
      </c>
      <c r="C178" s="173" t="s">
        <v>444</v>
      </c>
      <c r="D178" s="131"/>
      <c r="E178" s="174">
        <f t="shared" ref="E178:K178" si="246">E176+E177</f>
        <v>-383</v>
      </c>
      <c r="F178" s="174">
        <f t="shared" si="246"/>
        <v>353</v>
      </c>
      <c r="G178" s="174">
        <f t="shared" si="246"/>
        <v>-453</v>
      </c>
      <c r="H178" s="174">
        <f t="shared" si="246"/>
        <v>1440</v>
      </c>
      <c r="I178" s="174">
        <f t="shared" si="246"/>
        <v>23029</v>
      </c>
      <c r="J178" s="174">
        <f t="shared" si="246"/>
        <v>34836</v>
      </c>
      <c r="K178" s="174">
        <f t="shared" si="246"/>
        <v>22704.68293000001</v>
      </c>
      <c r="L178" s="174">
        <f t="shared" si="243"/>
        <v>15554.000000000029</v>
      </c>
      <c r="M178" s="242">
        <f t="shared" si="238"/>
        <v>-0.3482408161097712</v>
      </c>
      <c r="N178" s="247">
        <f t="shared" si="239"/>
        <v>-0.31494308694140294</v>
      </c>
      <c r="O178" s="250"/>
      <c r="P178" s="72"/>
      <c r="Q178" s="174">
        <f t="shared" ref="Q178" si="247">Q176+Q177</f>
        <v>0</v>
      </c>
      <c r="R178" s="174">
        <f t="shared" ref="R178" si="248">R176+R177</f>
        <v>-99</v>
      </c>
      <c r="S178" s="174">
        <f t="shared" ref="S178" si="249">S176+S177</f>
        <v>73</v>
      </c>
      <c r="T178" s="174">
        <f t="shared" ref="T178" si="250">T176+T177</f>
        <v>-427</v>
      </c>
      <c r="U178" s="174">
        <f t="shared" ref="U178" si="251">U176+U177</f>
        <v>20</v>
      </c>
      <c r="V178" s="174">
        <f t="shared" ref="V178" si="252">V176+V177</f>
        <v>64</v>
      </c>
      <c r="W178" s="174">
        <f t="shared" ref="W178" si="253">W176+W177</f>
        <v>117</v>
      </c>
      <c r="X178" s="174">
        <f t="shared" ref="X178" si="254">X176+X177</f>
        <v>1239</v>
      </c>
      <c r="Y178" s="174">
        <f t="shared" ref="Y178" si="255">Y176+Y177</f>
        <v>2064</v>
      </c>
      <c r="Z178" s="174">
        <f t="shared" ref="Z178" si="256">Z176+Z177</f>
        <v>3182</v>
      </c>
      <c r="AA178" s="174">
        <f t="shared" ref="AA178" si="257">AA176+AA177</f>
        <v>7787</v>
      </c>
      <c r="AB178" s="174">
        <f t="shared" ref="AB178" si="258">AB176+AB177</f>
        <v>9996</v>
      </c>
      <c r="AC178" s="174">
        <f t="shared" ref="AC178:AE178" si="259">AC176+AC177</f>
        <v>15492</v>
      </c>
      <c r="AD178" s="174">
        <f t="shared" si="259"/>
        <v>4769</v>
      </c>
      <c r="AE178" s="174">
        <f t="shared" si="259"/>
        <v>5964</v>
      </c>
      <c r="AF178" s="174">
        <f>AF176+AF177</f>
        <v>8611</v>
      </c>
      <c r="AG178" s="165">
        <v>4910</v>
      </c>
      <c r="AH178" s="165">
        <f t="shared" ref="AH178:AL178" si="260">AH176+AH177</f>
        <v>3961</v>
      </c>
      <c r="AI178" s="165">
        <f t="shared" si="260"/>
        <v>7669.5</v>
      </c>
      <c r="AJ178" s="165">
        <f t="shared" si="260"/>
        <v>6164.1829300000099</v>
      </c>
      <c r="AK178" s="165">
        <f t="shared" si="260"/>
        <v>6133.5805499999988</v>
      </c>
      <c r="AL178" s="165">
        <f t="shared" si="260"/>
        <v>3508.4194500000012</v>
      </c>
      <c r="AM178" s="165">
        <f>AM176+AM177</f>
        <v>7858.0000000000146</v>
      </c>
      <c r="AN178" s="165">
        <f>AN176+AN177</f>
        <v>-1945.9999999999854</v>
      </c>
      <c r="AO178" s="242">
        <f t="shared" ref="AO178" si="261">AN178/AJ178-1</f>
        <v>-1.31569471933241</v>
      </c>
      <c r="AP178" s="247">
        <f t="shared" ref="AP178" si="262">AN178/AM178-1</f>
        <v>-1.2476457113769384</v>
      </c>
    </row>
    <row r="179" spans="2:44" ht="22" customHeight="1" x14ac:dyDescent="0.35">
      <c r="B179" s="142" t="s">
        <v>429</v>
      </c>
      <c r="C179" s="142" t="s">
        <v>445</v>
      </c>
      <c r="D179" s="142"/>
      <c r="E179" s="178">
        <f t="shared" ref="E179:L179" si="263">E178/E176</f>
        <v>-0.22423887587822014</v>
      </c>
      <c r="F179" s="178">
        <f t="shared" si="263"/>
        <v>0.25766423357664231</v>
      </c>
      <c r="G179" s="178">
        <f t="shared" si="263"/>
        <v>-0.66422287390029322</v>
      </c>
      <c r="H179" s="178">
        <f t="shared" si="263"/>
        <v>0.28731045490822027</v>
      </c>
      <c r="I179" s="178">
        <f t="shared" si="263"/>
        <v>0.37975330628937043</v>
      </c>
      <c r="J179" s="178">
        <f t="shared" si="263"/>
        <v>0.31357229013268045</v>
      </c>
      <c r="K179" s="178">
        <f t="shared" si="263"/>
        <v>0.16395086048235796</v>
      </c>
      <c r="L179" s="178">
        <f t="shared" si="263"/>
        <v>4.6305310195563658E-2</v>
      </c>
      <c r="M179" s="246">
        <f>(K179-J179)*100</f>
        <v>-14.96214296503225</v>
      </c>
      <c r="N179" s="246">
        <f>(L179-K179)*100</f>
        <v>-11.76455502867943</v>
      </c>
      <c r="O179" s="251"/>
      <c r="P179" s="72"/>
      <c r="Q179" s="178">
        <f t="shared" ref="Q179" si="264">Q178/Q176</f>
        <v>0</v>
      </c>
      <c r="R179" s="178">
        <f t="shared" ref="R179" si="265">R178/R176</f>
        <v>-0.43043478260869567</v>
      </c>
      <c r="S179" s="178">
        <f t="shared" ref="S179" si="266">S178/S176</f>
        <v>0.19363395225464192</v>
      </c>
      <c r="T179" s="178">
        <f t="shared" ref="T179" si="267">T178/T176</f>
        <v>-6.1</v>
      </c>
      <c r="U179" s="178">
        <f t="shared" ref="U179" si="268">U178/U176</f>
        <v>1.0101010101010102E-2</v>
      </c>
      <c r="V179" s="178">
        <f t="shared" ref="V179" si="269">V178/V176</f>
        <v>9.8461538461538461E-2</v>
      </c>
      <c r="W179" s="178">
        <f t="shared" ref="W179" si="270">W178/W176</f>
        <v>0.26651480637813213</v>
      </c>
      <c r="X179" s="178">
        <f t="shared" ref="X179" si="271">X178/X176</f>
        <v>0.63767370046320127</v>
      </c>
      <c r="Y179" s="178">
        <f t="shared" ref="Y179" si="272">Y178/Y176</f>
        <v>0.21687506567195544</v>
      </c>
      <c r="Z179" s="178">
        <f t="shared" ref="Z179" si="273">Z178/Z176</f>
        <v>0.26286658405617513</v>
      </c>
      <c r="AA179" s="178">
        <f t="shared" ref="AA179" si="274">AA178/AA176</f>
        <v>0.3814912796394278</v>
      </c>
      <c r="AB179" s="178">
        <f t="shared" ref="AB179" si="275">AB178/AB176</f>
        <v>0.53718830610490109</v>
      </c>
      <c r="AC179" s="178">
        <f t="shared" ref="AC179:AF179" si="276">AC178/AC176</f>
        <v>0.43621005209066593</v>
      </c>
      <c r="AD179" s="178">
        <f t="shared" si="276"/>
        <v>0.25573788073788073</v>
      </c>
      <c r="AE179" s="178">
        <f t="shared" si="276"/>
        <v>0.26839476171189414</v>
      </c>
      <c r="AF179" s="178">
        <f t="shared" si="276"/>
        <v>0.24808412561221549</v>
      </c>
      <c r="AG179" s="178">
        <f>AG178/AG176</f>
        <v>0.1945710322964137</v>
      </c>
      <c r="AH179" s="178">
        <f t="shared" ref="AH179:AL179" si="277">AH178/AH176</f>
        <v>0.19790157381963527</v>
      </c>
      <c r="AI179" s="178">
        <f t="shared" si="277"/>
        <v>0.16259792022218217</v>
      </c>
      <c r="AJ179" s="178">
        <f t="shared" si="277"/>
        <v>0.13381145425847005</v>
      </c>
      <c r="AK179" s="178">
        <f t="shared" si="277"/>
        <v>9.6410263899484303E-2</v>
      </c>
      <c r="AL179" s="178">
        <f t="shared" si="277"/>
        <v>4.6845496917686823E-2</v>
      </c>
      <c r="AM179" s="178">
        <f>AM178/AM176</f>
        <v>9.1166438499199628E-2</v>
      </c>
      <c r="AN179" s="178">
        <f>AN178/AN176</f>
        <v>-1.7500944295555383E-2</v>
      </c>
      <c r="AO179" s="246"/>
      <c r="AP179" s="246"/>
    </row>
    <row r="180" spans="2:44" ht="22" customHeight="1" x14ac:dyDescent="0.35">
      <c r="B180" s="145" t="s">
        <v>462</v>
      </c>
      <c r="C180" s="179" t="s">
        <v>446</v>
      </c>
      <c r="D180" s="145"/>
      <c r="E180" s="148">
        <v>0</v>
      </c>
      <c r="F180" s="148">
        <v>0</v>
      </c>
      <c r="G180" s="148">
        <v>0</v>
      </c>
      <c r="H180" s="148">
        <v>0</v>
      </c>
      <c r="I180" s="148">
        <v>0</v>
      </c>
      <c r="J180" s="148">
        <v>0</v>
      </c>
      <c r="K180" s="148">
        <f>SUM(AG180:AJ180)</f>
        <v>-2916</v>
      </c>
      <c r="L180" s="148">
        <f t="shared" si="243"/>
        <v>-12151</v>
      </c>
      <c r="M180" s="243" t="s">
        <v>343</v>
      </c>
      <c r="N180" s="248">
        <f t="shared" ref="N180:N183" si="278">L180/K180-1</f>
        <v>3.1670096021947876</v>
      </c>
      <c r="O180" s="205"/>
      <c r="P180" s="72"/>
      <c r="Q180" s="148">
        <v>0</v>
      </c>
      <c r="R180" s="148">
        <v>0</v>
      </c>
      <c r="S180" s="148">
        <v>0</v>
      </c>
      <c r="T180" s="148">
        <v>0</v>
      </c>
      <c r="U180" s="148">
        <v>0</v>
      </c>
      <c r="V180" s="148">
        <v>0</v>
      </c>
      <c r="W180" s="148">
        <v>0</v>
      </c>
      <c r="X180" s="148">
        <v>0</v>
      </c>
      <c r="Y180" s="148">
        <v>0</v>
      </c>
      <c r="Z180" s="148">
        <v>0</v>
      </c>
      <c r="AA180" s="148">
        <v>0</v>
      </c>
      <c r="AB180" s="148">
        <v>0</v>
      </c>
      <c r="AC180" s="148">
        <v>0</v>
      </c>
      <c r="AD180" s="148">
        <v>0</v>
      </c>
      <c r="AE180" s="148">
        <v>0</v>
      </c>
      <c r="AF180" s="148">
        <v>0</v>
      </c>
      <c r="AG180" s="148">
        <v>-453</v>
      </c>
      <c r="AH180" s="148">
        <v>-427</v>
      </c>
      <c r="AI180" s="148">
        <v>-758</v>
      </c>
      <c r="AJ180" s="148">
        <v>-1278</v>
      </c>
      <c r="AK180" s="148">
        <v>-2354</v>
      </c>
      <c r="AL180" s="148">
        <v>-2155</v>
      </c>
      <c r="AM180" s="148">
        <v>-3919</v>
      </c>
      <c r="AN180" s="148">
        <v>-3723</v>
      </c>
      <c r="AO180" s="243"/>
      <c r="AP180" s="248"/>
    </row>
    <row r="181" spans="2:44" ht="22" customHeight="1" x14ac:dyDescent="0.35">
      <c r="B181" s="56" t="s">
        <v>430</v>
      </c>
      <c r="C181" s="56" t="s">
        <v>447</v>
      </c>
      <c r="D181" s="57"/>
      <c r="E181" s="59">
        <f t="shared" ref="E181:K181" si="279">E178+E180</f>
        <v>-383</v>
      </c>
      <c r="F181" s="59">
        <f t="shared" si="279"/>
        <v>353</v>
      </c>
      <c r="G181" s="59">
        <f t="shared" si="279"/>
        <v>-453</v>
      </c>
      <c r="H181" s="59">
        <f t="shared" si="279"/>
        <v>1440</v>
      </c>
      <c r="I181" s="59">
        <f t="shared" si="279"/>
        <v>23029</v>
      </c>
      <c r="J181" s="59">
        <f t="shared" si="279"/>
        <v>34836</v>
      </c>
      <c r="K181" s="59">
        <f t="shared" si="279"/>
        <v>19788.68293000001</v>
      </c>
      <c r="L181" s="59">
        <f t="shared" si="243"/>
        <v>3403.0000000000291</v>
      </c>
      <c r="M181" s="244">
        <f t="shared" ref="M181:M183" si="280">K181/J181-1</f>
        <v>-0.43194732661614388</v>
      </c>
      <c r="N181" s="244">
        <f t="shared" si="278"/>
        <v>-0.82803302210471941</v>
      </c>
      <c r="O181" s="252"/>
      <c r="P181" s="58"/>
      <c r="Q181" s="59">
        <f t="shared" ref="Q181" si="281">Q178+Q180</f>
        <v>0</v>
      </c>
      <c r="R181" s="59">
        <f t="shared" ref="R181" si="282">R178+R180</f>
        <v>-99</v>
      </c>
      <c r="S181" s="59">
        <f t="shared" ref="S181" si="283">S178+S180</f>
        <v>73</v>
      </c>
      <c r="T181" s="59">
        <f t="shared" ref="T181" si="284">T178+T180</f>
        <v>-427</v>
      </c>
      <c r="U181" s="59">
        <f t="shared" ref="U181" si="285">U178+U180</f>
        <v>20</v>
      </c>
      <c r="V181" s="59">
        <f t="shared" ref="V181" si="286">V178+V180</f>
        <v>64</v>
      </c>
      <c r="W181" s="59">
        <f t="shared" ref="W181" si="287">W178+W180</f>
        <v>117</v>
      </c>
      <c r="X181" s="59">
        <f t="shared" ref="X181" si="288">X178+X180</f>
        <v>1239</v>
      </c>
      <c r="Y181" s="59">
        <f t="shared" ref="Y181" si="289">Y178+Y180</f>
        <v>2064</v>
      </c>
      <c r="Z181" s="59">
        <f t="shared" ref="Z181" si="290">Z178+Z180</f>
        <v>3182</v>
      </c>
      <c r="AA181" s="59">
        <f t="shared" ref="AA181" si="291">AA178+AA180</f>
        <v>7787</v>
      </c>
      <c r="AB181" s="59">
        <f t="shared" ref="AB181" si="292">AB178+AB180</f>
        <v>9996</v>
      </c>
      <c r="AC181" s="59">
        <f t="shared" ref="AC181:AF181" si="293">AC178+AC180</f>
        <v>15492</v>
      </c>
      <c r="AD181" s="59">
        <f t="shared" si="293"/>
        <v>4769</v>
      </c>
      <c r="AE181" s="59">
        <f t="shared" si="293"/>
        <v>5964</v>
      </c>
      <c r="AF181" s="59">
        <f t="shared" si="293"/>
        <v>8611</v>
      </c>
      <c r="AG181" s="59">
        <f>AG178+AG180</f>
        <v>4457</v>
      </c>
      <c r="AH181" s="59">
        <f t="shared" ref="AH181:AL181" si="294">AH178+AH180</f>
        <v>3534</v>
      </c>
      <c r="AI181" s="59">
        <f t="shared" si="294"/>
        <v>6911.5</v>
      </c>
      <c r="AJ181" s="59">
        <f t="shared" si="294"/>
        <v>4886.1829300000099</v>
      </c>
      <c r="AK181" s="59">
        <f t="shared" si="294"/>
        <v>3779.5805499999988</v>
      </c>
      <c r="AL181" s="59">
        <f t="shared" si="294"/>
        <v>1353.4194500000012</v>
      </c>
      <c r="AM181" s="59">
        <f t="shared" ref="AM181:AN181" si="295">AM178+AM180</f>
        <v>3939.0000000000146</v>
      </c>
      <c r="AN181" s="59">
        <f t="shared" si="295"/>
        <v>-5668.9999999999854</v>
      </c>
      <c r="AO181" s="244">
        <f t="shared" ref="AO181" si="296">AN181/AJ181-1</f>
        <v>-2.160210348489751</v>
      </c>
      <c r="AP181" s="244">
        <f t="shared" ref="AP181" si="297">AN181/AM181-1</f>
        <v>-2.4391977659304303</v>
      </c>
    </row>
    <row r="182" spans="2:44" ht="22" customHeight="1" x14ac:dyDescent="0.35">
      <c r="B182" s="152" t="s">
        <v>463</v>
      </c>
      <c r="C182" s="152" t="s">
        <v>471</v>
      </c>
      <c r="D182" s="152"/>
      <c r="E182" s="180">
        <v>0</v>
      </c>
      <c r="F182" s="180">
        <v>0</v>
      </c>
      <c r="G182" s="180">
        <v>0</v>
      </c>
      <c r="H182" s="180">
        <v>0</v>
      </c>
      <c r="I182" s="180">
        <v>0</v>
      </c>
      <c r="J182" s="180">
        <v>0</v>
      </c>
      <c r="K182" s="180">
        <f>SUM(AG182:AJ182)</f>
        <v>-2643</v>
      </c>
      <c r="L182" s="180">
        <f t="shared" si="243"/>
        <v>-16023</v>
      </c>
      <c r="M182" s="245" t="s">
        <v>343</v>
      </c>
      <c r="N182" s="249" t="s">
        <v>343</v>
      </c>
      <c r="O182" s="253"/>
      <c r="P182" s="72"/>
      <c r="Q182" s="180">
        <v>0</v>
      </c>
      <c r="R182" s="180">
        <v>0</v>
      </c>
      <c r="S182" s="180">
        <v>0</v>
      </c>
      <c r="T182" s="180">
        <v>0</v>
      </c>
      <c r="U182" s="180">
        <v>0</v>
      </c>
      <c r="V182" s="180">
        <v>0</v>
      </c>
      <c r="W182" s="180">
        <v>0</v>
      </c>
      <c r="X182" s="180">
        <v>0</v>
      </c>
      <c r="Y182" s="180">
        <v>0</v>
      </c>
      <c r="Z182" s="180">
        <v>0</v>
      </c>
      <c r="AA182" s="180">
        <v>0</v>
      </c>
      <c r="AB182" s="180">
        <v>0</v>
      </c>
      <c r="AC182" s="180">
        <v>0</v>
      </c>
      <c r="AD182" s="180">
        <v>0</v>
      </c>
      <c r="AE182" s="180">
        <v>0</v>
      </c>
      <c r="AF182" s="180">
        <v>0</v>
      </c>
      <c r="AG182" s="180">
        <v>-795</v>
      </c>
      <c r="AH182" s="180">
        <v>-512</v>
      </c>
      <c r="AI182" s="180">
        <v>-589</v>
      </c>
      <c r="AJ182" s="180">
        <v>-747</v>
      </c>
      <c r="AK182" s="180">
        <v>-2619</v>
      </c>
      <c r="AL182" s="180">
        <v>-5959</v>
      </c>
      <c r="AM182" s="180">
        <v>-3856</v>
      </c>
      <c r="AN182" s="180">
        <v>-3589</v>
      </c>
      <c r="AO182" s="245"/>
      <c r="AP182" s="249"/>
    </row>
    <row r="183" spans="2:44" ht="22" customHeight="1" x14ac:dyDescent="0.35">
      <c r="B183" s="181" t="s">
        <v>448</v>
      </c>
      <c r="C183" s="182" t="s">
        <v>449</v>
      </c>
      <c r="D183" s="181"/>
      <c r="E183" s="183">
        <f t="shared" ref="E183:K183" si="298">E181+E182</f>
        <v>-383</v>
      </c>
      <c r="F183" s="183">
        <f t="shared" si="298"/>
        <v>353</v>
      </c>
      <c r="G183" s="183">
        <f t="shared" si="298"/>
        <v>-453</v>
      </c>
      <c r="H183" s="183">
        <f t="shared" si="298"/>
        <v>1440</v>
      </c>
      <c r="I183" s="183">
        <f t="shared" si="298"/>
        <v>23029</v>
      </c>
      <c r="J183" s="183">
        <f t="shared" si="298"/>
        <v>34836</v>
      </c>
      <c r="K183" s="183">
        <f t="shared" si="298"/>
        <v>17145.68293000001</v>
      </c>
      <c r="L183" s="183">
        <f t="shared" si="243"/>
        <v>-12619.999999999971</v>
      </c>
      <c r="M183" s="57">
        <f t="shared" si="280"/>
        <v>-0.50781711648868955</v>
      </c>
      <c r="N183" s="57">
        <f t="shared" si="278"/>
        <v>-1.7360453387318042</v>
      </c>
      <c r="O183" s="195"/>
      <c r="P183" s="72"/>
      <c r="Q183" s="183">
        <f t="shared" ref="Q183" si="299">Q181+Q182</f>
        <v>0</v>
      </c>
      <c r="R183" s="183">
        <f t="shared" ref="R183" si="300">R181+R182</f>
        <v>-99</v>
      </c>
      <c r="S183" s="183">
        <f t="shared" ref="S183" si="301">S181+S182</f>
        <v>73</v>
      </c>
      <c r="T183" s="183">
        <f t="shared" ref="T183" si="302">T181+T182</f>
        <v>-427</v>
      </c>
      <c r="U183" s="183">
        <f t="shared" ref="U183" si="303">U181+U182</f>
        <v>20</v>
      </c>
      <c r="V183" s="183">
        <f t="shared" ref="V183" si="304">V181+V182</f>
        <v>64</v>
      </c>
      <c r="W183" s="183">
        <f t="shared" ref="W183" si="305">W181+W182</f>
        <v>117</v>
      </c>
      <c r="X183" s="183">
        <f t="shared" ref="X183" si="306">X181+X182</f>
        <v>1239</v>
      </c>
      <c r="Y183" s="183">
        <f t="shared" ref="Y183" si="307">Y181+Y182</f>
        <v>2064</v>
      </c>
      <c r="Z183" s="183">
        <f t="shared" ref="Z183" si="308">Z181+Z182</f>
        <v>3182</v>
      </c>
      <c r="AA183" s="183">
        <f t="shared" ref="AA183" si="309">AA181+AA182</f>
        <v>7787</v>
      </c>
      <c r="AB183" s="183">
        <f t="shared" ref="AB183" si="310">AB181+AB182</f>
        <v>9996</v>
      </c>
      <c r="AC183" s="183">
        <f t="shared" ref="AC183:AF183" si="311">AC181+AC182</f>
        <v>15492</v>
      </c>
      <c r="AD183" s="183">
        <f t="shared" si="311"/>
        <v>4769</v>
      </c>
      <c r="AE183" s="183">
        <f t="shared" si="311"/>
        <v>5964</v>
      </c>
      <c r="AF183" s="183">
        <f t="shared" si="311"/>
        <v>8611</v>
      </c>
      <c r="AG183" s="183">
        <f>AG181+AG182</f>
        <v>3662</v>
      </c>
      <c r="AH183" s="183">
        <f t="shared" ref="AH183:AL183" si="312">AH181+AH182</f>
        <v>3022</v>
      </c>
      <c r="AI183" s="183">
        <f t="shared" si="312"/>
        <v>6322.5</v>
      </c>
      <c r="AJ183" s="183">
        <f t="shared" si="312"/>
        <v>4139.1829300000099</v>
      </c>
      <c r="AK183" s="183">
        <f t="shared" si="312"/>
        <v>1160.5805499999988</v>
      </c>
      <c r="AL183" s="183">
        <f t="shared" si="312"/>
        <v>-4605.5805499999988</v>
      </c>
      <c r="AM183" s="183">
        <f t="shared" ref="AM183:AN183" si="313">AM181+AM182</f>
        <v>83.000000000014552</v>
      </c>
      <c r="AN183" s="183">
        <f t="shared" si="313"/>
        <v>-9257.9999999999854</v>
      </c>
      <c r="AO183" s="57">
        <f t="shared" ref="AO183" si="314">AN183/AJ183-1</f>
        <v>-3.2366733136870476</v>
      </c>
      <c r="AP183" s="57">
        <f t="shared" ref="AP183" si="315">AN183/AM183-1</f>
        <v>-112.54216867467906</v>
      </c>
    </row>
    <row r="184" spans="2:44" ht="22" customHeight="1" x14ac:dyDescent="0.35">
      <c r="B184" s="184" t="s">
        <v>450</v>
      </c>
      <c r="C184" s="185" t="s">
        <v>451</v>
      </c>
      <c r="D184" s="149"/>
      <c r="E184" s="72"/>
      <c r="F184" s="72"/>
      <c r="G184" s="72"/>
      <c r="H184" s="72"/>
      <c r="I184" s="72"/>
      <c r="J184" s="72"/>
      <c r="K184" s="72"/>
      <c r="L184" s="72"/>
      <c r="M184" s="72"/>
      <c r="N184" s="72"/>
      <c r="O184" s="72"/>
      <c r="P184" s="72"/>
      <c r="Q184" s="178">
        <f t="shared" ref="Q184" si="316">Q183/Q176</f>
        <v>0</v>
      </c>
      <c r="R184" s="178">
        <f t="shared" ref="R184" si="317">R183/R176</f>
        <v>-0.43043478260869567</v>
      </c>
      <c r="S184" s="178">
        <f t="shared" ref="S184" si="318">S183/S176</f>
        <v>0.19363395225464192</v>
      </c>
      <c r="T184" s="178">
        <f t="shared" ref="T184" si="319">T183/T176</f>
        <v>-6.1</v>
      </c>
      <c r="U184" s="178">
        <f t="shared" ref="U184" si="320">U183/U176</f>
        <v>1.0101010101010102E-2</v>
      </c>
      <c r="V184" s="178">
        <f t="shared" ref="V184" si="321">V183/V176</f>
        <v>9.8461538461538461E-2</v>
      </c>
      <c r="W184" s="178">
        <f t="shared" ref="W184" si="322">W183/W176</f>
        <v>0.26651480637813213</v>
      </c>
      <c r="X184" s="178">
        <f t="shared" ref="X184" si="323">X183/X176</f>
        <v>0.63767370046320127</v>
      </c>
      <c r="Y184" s="178">
        <f t="shared" ref="Y184" si="324">Y183/Y176</f>
        <v>0.21687506567195544</v>
      </c>
      <c r="Z184" s="178">
        <f t="shared" ref="Z184" si="325">Z183/Z176</f>
        <v>0.26286658405617513</v>
      </c>
      <c r="AA184" s="178">
        <f t="shared" ref="AA184" si="326">AA183/AA176</f>
        <v>0.3814912796394278</v>
      </c>
      <c r="AB184" s="178">
        <f t="shared" ref="AB184" si="327">AB183/AB176</f>
        <v>0.53718830610490109</v>
      </c>
      <c r="AC184" s="178">
        <f t="shared" ref="AC184:AF184" si="328">AC183/AC176</f>
        <v>0.43621005209066593</v>
      </c>
      <c r="AD184" s="178">
        <f t="shared" si="328"/>
        <v>0.25573788073788073</v>
      </c>
      <c r="AE184" s="178">
        <f t="shared" si="328"/>
        <v>0.26839476171189414</v>
      </c>
      <c r="AF184" s="178">
        <f t="shared" si="328"/>
        <v>0.24808412561221549</v>
      </c>
      <c r="AG184" s="178">
        <f>AG183/AG176</f>
        <v>0.14511591044184663</v>
      </c>
      <c r="AH184" s="178">
        <f t="shared" ref="AH184:AL184" si="329">AH183/AH176</f>
        <v>0.15098675993005245</v>
      </c>
      <c r="AI184" s="178">
        <f t="shared" si="329"/>
        <v>0.13404072633219202</v>
      </c>
      <c r="AJ184" s="178">
        <f t="shared" si="329"/>
        <v>8.9852960821384234E-2</v>
      </c>
      <c r="AK184" s="178">
        <f t="shared" si="329"/>
        <v>1.8242505530005396E-2</v>
      </c>
      <c r="AL184" s="178">
        <f t="shared" si="329"/>
        <v>-6.1495129796747434E-2</v>
      </c>
      <c r="AM184" s="178">
        <f t="shared" ref="AM184:AN184" si="330">AM183/AM176</f>
        <v>9.6294405643101077E-4</v>
      </c>
      <c r="AN184" s="178">
        <f t="shared" si="330"/>
        <v>-8.325988812345976E-2</v>
      </c>
      <c r="AO184" s="118">
        <f>100*(AN184-AJ184)</f>
        <v>-17.311284894484398</v>
      </c>
      <c r="AP184" s="118">
        <f>100*(AN184-AM184)</f>
        <v>-8.4222832179890759</v>
      </c>
    </row>
    <row r="185" spans="2:44" ht="20" x14ac:dyDescent="0.35">
      <c r="B185" s="117" t="s">
        <v>466</v>
      </c>
      <c r="C185" s="117" t="s">
        <v>467</v>
      </c>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row>
    <row r="186" spans="2:44" x14ac:dyDescent="0.35">
      <c r="B186" s="117" t="s">
        <v>464</v>
      </c>
      <c r="C186" s="117" t="s">
        <v>469</v>
      </c>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171"/>
      <c r="AH186" s="171"/>
      <c r="AI186" s="171"/>
      <c r="AJ186" s="171"/>
      <c r="AK186" s="171"/>
      <c r="AL186" s="171"/>
      <c r="AM186" s="171"/>
      <c r="AN186" s="171"/>
      <c r="AO186" s="72"/>
      <c r="AP186" s="72"/>
    </row>
    <row r="187" spans="2:44" x14ac:dyDescent="0.35">
      <c r="B187" s="117" t="s">
        <v>465</v>
      </c>
      <c r="C187" s="117" t="s">
        <v>468</v>
      </c>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107"/>
      <c r="AH187" s="107"/>
      <c r="AI187" s="107"/>
      <c r="AJ187" s="107"/>
      <c r="AK187" s="107"/>
      <c r="AL187" s="107"/>
      <c r="AM187" s="107"/>
      <c r="AN187" s="107"/>
      <c r="AO187" s="107"/>
      <c r="AP187" s="107"/>
      <c r="AQ187" s="40"/>
      <c r="AR187" s="63"/>
    </row>
    <row r="188" spans="2:44" x14ac:dyDescent="0.35">
      <c r="AG188" s="60"/>
      <c r="AH188" s="60"/>
      <c r="AI188" s="60"/>
      <c r="AJ188" s="60"/>
      <c r="AK188" s="60"/>
      <c r="AL188" s="60"/>
      <c r="AM188" s="60"/>
      <c r="AN188" s="60"/>
      <c r="AO188" s="60"/>
      <c r="AP188" s="60"/>
      <c r="AQ188" s="40"/>
      <c r="AR188" s="63"/>
    </row>
    <row r="190" spans="2:44" x14ac:dyDescent="0.35">
      <c r="AI190" s="40"/>
      <c r="AJ190" s="40"/>
      <c r="AK190" s="40"/>
      <c r="AL190" s="40"/>
      <c r="AM190" s="40"/>
      <c r="AN190" s="40"/>
      <c r="AQ190" s="62"/>
    </row>
    <row r="191" spans="2:44" x14ac:dyDescent="0.35">
      <c r="AI191" s="60"/>
      <c r="AJ191" s="60"/>
      <c r="AK191" s="60"/>
      <c r="AL191" s="60"/>
      <c r="AM191" s="60"/>
      <c r="AN191" s="60"/>
    </row>
    <row r="192" spans="2:44" x14ac:dyDescent="0.35">
      <c r="AI192" s="40"/>
      <c r="AJ192" s="40"/>
      <c r="AK192" s="40"/>
      <c r="AL192" s="40"/>
      <c r="AM192" s="40"/>
      <c r="AN192" s="40"/>
    </row>
    <row r="193" spans="35:42" x14ac:dyDescent="0.35">
      <c r="AI193" s="52"/>
      <c r="AJ193" s="52"/>
      <c r="AK193" s="52"/>
      <c r="AL193" s="52"/>
      <c r="AM193" s="52"/>
      <c r="AN193" s="52"/>
    </row>
    <row r="194" spans="35:42" x14ac:dyDescent="0.35">
      <c r="AI194" s="61"/>
      <c r="AJ194" s="61"/>
      <c r="AK194" s="61"/>
      <c r="AL194" s="61"/>
      <c r="AM194" s="61"/>
      <c r="AN194" s="61"/>
    </row>
    <row r="207" spans="35:42" x14ac:dyDescent="0.35">
      <c r="AP207" s="65"/>
    </row>
    <row r="210" spans="36:40" x14ac:dyDescent="0.35">
      <c r="AJ210" s="64"/>
      <c r="AK210" s="64"/>
      <c r="AL210" s="64"/>
      <c r="AM210" s="64"/>
      <c r="AN210" s="64"/>
    </row>
    <row r="217" spans="36:40" x14ac:dyDescent="0.35">
      <c r="AK217" s="64"/>
      <c r="AL217" s="64"/>
      <c r="AM217" s="64"/>
      <c r="AN217" s="64"/>
    </row>
  </sheetData>
  <pageMargins left="0.7" right="0.7" top="0.75" bottom="0.75" header="0.3" footer="0.3"/>
  <pageSetup paperSize="9" orientation="portrait" r:id="rId1"/>
  <ignoredErrors>
    <ignoredError sqref="J166:L166 L169 M166:N166 K169:K170 N169 AC57:AN57" formula="1"/>
    <ignoredError sqref="J167:K167 J163:K163 J164:K164 K79:K89 L85:L89 K180:K182 K147:K155 K143 H27:I29 G27:G29 J27:J31 H31:I31 K29:K31 J44:J48 H45:I48 H51:J51" formulaRange="1"/>
    <ignoredError sqref="H30:I30"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BF19CDB1F84046ABE0E817948D7133" ma:contentTypeVersion="19" ma:contentTypeDescription="Crie um novo documento." ma:contentTypeScope="" ma:versionID="819e7c4595f913fab1f880b4814088ee">
  <xsd:schema xmlns:xsd="http://www.w3.org/2001/XMLSchema" xmlns:xs="http://www.w3.org/2001/XMLSchema" xmlns:p="http://schemas.microsoft.com/office/2006/metadata/properties" xmlns:ns2="2504c0e6-f008-4d44-9eb4-af0fd9b81d62" xmlns:ns3="1527e372-19af-48ec-bae7-7cb9ff820328" xmlns:ns4="3d1dbeaf-a16b-42bf-a133-7db7f4863986" targetNamespace="http://schemas.microsoft.com/office/2006/metadata/properties" ma:root="true" ma:fieldsID="173c7bac8be4a07dcd3a565f1bbd827c" ns2:_="" ns3:_="" ns4:_="">
    <xsd:import namespace="2504c0e6-f008-4d44-9eb4-af0fd9b81d62"/>
    <xsd:import namespace="1527e372-19af-48ec-bae7-7cb9ff820328"/>
    <xsd:import namespace="3d1dbeaf-a16b-42bf-a133-7db7f48639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4c0e6-f008-4d44-9eb4-af0fd9b81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2923e3-8128-43d8-835b-173141a7e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27e372-19af-48ec-bae7-7cb9ff82032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dbeaf-a16b-42bf-a133-7db7f486398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6812d27-0aea-4758-a21a-bb1f728c077c}" ma:internalName="TaxCatchAll" ma:showField="CatchAllData" ma:web="3d1dbeaf-a16b-42bf-a133-7db7f4863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04c0e6-f008-4d44-9eb4-af0fd9b81d62">
      <Terms xmlns="http://schemas.microsoft.com/office/infopath/2007/PartnerControls"/>
    </lcf76f155ced4ddcb4097134ff3c332f>
    <TaxCatchAll xmlns="3d1dbeaf-a16b-42bf-a133-7db7f4863986" xsi:nil="true"/>
    <SharedWithUsers xmlns="1527e372-19af-48ec-bae7-7cb9ff820328">
      <UserInfo>
        <DisplayName/>
        <AccountId xsi:nil="true"/>
        <AccountType/>
      </UserInfo>
    </SharedWithUsers>
    <MediaLengthInSeconds xmlns="2504c0e6-f008-4d44-9eb4-af0fd9b81d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A67AE-50C4-439E-B3EC-FE37A46D7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4c0e6-f008-4d44-9eb4-af0fd9b81d62"/>
    <ds:schemaRef ds:uri="1527e372-19af-48ec-bae7-7cb9ff820328"/>
    <ds:schemaRef ds:uri="3d1dbeaf-a16b-42bf-a133-7db7f48639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DBFA34-B1E1-41DE-9691-DD99F3DFCDE3}">
  <ds:schemaRefs>
    <ds:schemaRef ds:uri="http://schemas.microsoft.com/office/2006/metadata/properties"/>
    <ds:schemaRef ds:uri="http://purl.org/dc/dcmitype/"/>
    <ds:schemaRef ds:uri="http://purl.org/dc/elements/1.1/"/>
    <ds:schemaRef ds:uri="http://schemas.microsoft.com/office/2006/documentManagement/types"/>
    <ds:schemaRef ds:uri="3d1dbeaf-a16b-42bf-a133-7db7f4863986"/>
    <ds:schemaRef ds:uri="1527e372-19af-48ec-bae7-7cb9ff820328"/>
    <ds:schemaRef ds:uri="http://schemas.microsoft.com/office/infopath/2007/PartnerControls"/>
    <ds:schemaRef ds:uri="http://schemas.openxmlformats.org/package/2006/metadata/core-properties"/>
    <ds:schemaRef ds:uri="2504c0e6-f008-4d44-9eb4-af0fd9b81d62"/>
    <ds:schemaRef ds:uri="http://www.w3.org/XML/1998/namespace"/>
    <ds:schemaRef ds:uri="http://purl.org/dc/terms/"/>
  </ds:schemaRefs>
</ds:datastoreItem>
</file>

<file path=customXml/itemProps3.xml><?xml version="1.0" encoding="utf-8"?>
<ds:datastoreItem xmlns:ds="http://schemas.openxmlformats.org/officeDocument/2006/customXml" ds:itemID="{5F2BE38E-E487-47A4-9616-57CD9B9578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Armac 4T-4Q 2025</vt:lpstr>
      <vt:lpstr>DRE - Income Statement</vt:lpstr>
      <vt:lpstr>BP - Balance Sheet</vt:lpstr>
      <vt:lpstr>DFC - Cash Flow Statement</vt:lpstr>
      <vt:lpstr>KPIs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Guilherme Fregulia</dc:creator>
  <cp:lastModifiedBy>Julio Molina De Moraes</cp:lastModifiedBy>
  <cp:lastPrinted>2023-11-07T18:45:51Z</cp:lastPrinted>
  <dcterms:created xsi:type="dcterms:W3CDTF">2021-08-16T17:53:49Z</dcterms:created>
  <dcterms:modified xsi:type="dcterms:W3CDTF">2026-04-01T14:06:18Z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0x010100FEBF19CDB1F84046ABE0E817948D7133</vt:lpwstr>
  </property>
  <property fmtid="{D5CDD505-2E9C-101B-9397-08002B2CF9AE}" pid="3" name="Order">
    <vt:r8>8500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