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armac.sharepoint.com/sites/armaclocacao/finan/Documentos Compartilhados/08. Demonstrações Financeiras/3. Suporte aos Relatórios/2025.03/"/>
    </mc:Choice>
  </mc:AlternateContent>
  <xr:revisionPtr revIDLastSave="158" documentId="13_ncr:1_{B19ABFD4-5702-42C0-A31D-B405269DA3E7}" xr6:coauthVersionLast="47" xr6:coauthVersionMax="47" xr10:uidLastSave="{E1302DBF-F30D-4A66-8F29-1F9165352BBC}"/>
  <bookViews>
    <workbookView xWindow="20370" yWindow="-2250" windowWidth="29040" windowHeight="15720" tabRatio="885" activeTab="4" xr2:uid="{34E0900B-2D8A-4106-9989-9E9B61E3572E}"/>
  </bookViews>
  <sheets>
    <sheet name="Armac 1T-1Q 2025" sheetId="7" r:id="rId1"/>
    <sheet name="DRE - Income Statement" sheetId="3" r:id="rId2"/>
    <sheet name="BP - Balance Sheet" sheetId="4" r:id="rId3"/>
    <sheet name="DFC - Cash Flow Statement" sheetId="5" r:id="rId4"/>
    <sheet name="KPIs" sheetId="9" r:id="rId5"/>
  </sheets>
  <definedNames>
    <definedName name="_xlnm._FilterDatabase" localSheetId="4" hidden="1">KPIs!$M$9:$M$131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03" i="9" l="1"/>
  <c r="AI108" i="9"/>
  <c r="AH108" i="9"/>
  <c r="AG108" i="9"/>
  <c r="AG109" i="9" s="1"/>
  <c r="AF108" i="9"/>
  <c r="AE108" i="9"/>
  <c r="AD108" i="9"/>
  <c r="AC108" i="9"/>
  <c r="AB108" i="9"/>
  <c r="AA108" i="9"/>
  <c r="Z108" i="9"/>
  <c r="Y108" i="9"/>
  <c r="Y109" i="9" s="1"/>
  <c r="X108" i="9"/>
  <c r="W108" i="9"/>
  <c r="V108" i="9"/>
  <c r="U108" i="9"/>
  <c r="T108" i="9"/>
  <c r="S108" i="9"/>
  <c r="AJ108" i="9"/>
  <c r="AH109" i="9"/>
  <c r="AF109" i="9"/>
  <c r="AE109" i="9"/>
  <c r="AD109" i="9"/>
  <c r="AC109" i="9"/>
  <c r="AB109" i="9"/>
  <c r="AA109" i="9"/>
  <c r="Z109" i="9"/>
  <c r="X109" i="9"/>
  <c r="W109" i="9"/>
  <c r="V109" i="9"/>
  <c r="U109" i="9"/>
  <c r="T109" i="9"/>
  <c r="S109" i="9"/>
  <c r="AI109" i="9"/>
  <c r="AJ109" i="9"/>
  <c r="AH101" i="9"/>
  <c r="AG101" i="9"/>
  <c r="AF101" i="9"/>
  <c r="AF103" i="9" s="1"/>
  <c r="AE101" i="9"/>
  <c r="AD101" i="9"/>
  <c r="AC101" i="9"/>
  <c r="AB101" i="9"/>
  <c r="AA101" i="9"/>
  <c r="AA103" i="9" s="1"/>
  <c r="Z101" i="9"/>
  <c r="Y101" i="9"/>
  <c r="X101" i="9"/>
  <c r="X103" i="9" s="1"/>
  <c r="W101" i="9"/>
  <c r="V101" i="9"/>
  <c r="U101" i="9"/>
  <c r="U103" i="9" s="1"/>
  <c r="T101" i="9"/>
  <c r="S101" i="9"/>
  <c r="S103" i="9" s="1"/>
  <c r="AI101" i="9"/>
  <c r="AJ103" i="9"/>
  <c r="AJ96" i="9"/>
  <c r="Z103" i="9"/>
  <c r="Y103" i="9"/>
  <c r="W103" i="9"/>
  <c r="V103" i="9"/>
  <c r="T103" i="9"/>
  <c r="AB103" i="9"/>
  <c r="AC103" i="9"/>
  <c r="AD103" i="9"/>
  <c r="AE103" i="9"/>
  <c r="AG103" i="9"/>
  <c r="AH103" i="9"/>
  <c r="AI103" i="9"/>
  <c r="K14" i="9"/>
  <c r="K42" i="9" l="1"/>
  <c r="AJ101" i="9"/>
  <c r="AJ100" i="9"/>
  <c r="AJ99" i="9"/>
  <c r="AJ98" i="9"/>
  <c r="AJ131" i="9"/>
  <c r="AJ120" i="9"/>
  <c r="AJ107" i="9"/>
  <c r="AJ73" i="9"/>
  <c r="AJ75" i="9" s="1"/>
  <c r="AL77" i="9"/>
  <c r="AK77" i="9"/>
  <c r="AJ66" i="9"/>
  <c r="AJ41" i="9"/>
  <c r="AJ40" i="9"/>
  <c r="AJ20" i="9"/>
  <c r="AJ19" i="9"/>
  <c r="AK107" i="9" l="1"/>
  <c r="AK101" i="9"/>
  <c r="AK99" i="9"/>
  <c r="AK98" i="9"/>
  <c r="AK74" i="9"/>
  <c r="AK72" i="9"/>
  <c r="AK71" i="9"/>
  <c r="AL10" i="9"/>
  <c r="AK10" i="9"/>
  <c r="AL9" i="9"/>
  <c r="AK9" i="9"/>
  <c r="AG77" i="5"/>
  <c r="AG49" i="5"/>
  <c r="AE77" i="5"/>
  <c r="AH49" i="5"/>
  <c r="AJ34" i="9"/>
  <c r="AJ33" i="9"/>
  <c r="AJ32" i="9"/>
  <c r="AJ31" i="9"/>
  <c r="AJ30" i="9"/>
  <c r="AJ22" i="9"/>
  <c r="AJ23" i="9" s="1"/>
  <c r="AJ11" i="9"/>
  <c r="AH72" i="5"/>
  <c r="AH58" i="5"/>
  <c r="AJ46" i="4"/>
  <c r="AL46" i="4" s="1"/>
  <c r="K12" i="4"/>
  <c r="K13" i="4" s="1"/>
  <c r="AK46" i="4"/>
  <c r="AJ13" i="4"/>
  <c r="AI13" i="4"/>
  <c r="AH13" i="4"/>
  <c r="AG13" i="4"/>
  <c r="AF13" i="4"/>
  <c r="AE13" i="4"/>
  <c r="AD13" i="4"/>
  <c r="J13" i="4"/>
  <c r="I13" i="4"/>
  <c r="H13" i="4"/>
  <c r="G13" i="4"/>
  <c r="F13" i="4"/>
  <c r="E13" i="4"/>
  <c r="AJ55" i="4"/>
  <c r="AL55" i="4" s="1"/>
  <c r="AJ37" i="4"/>
  <c r="AK37" i="4" s="1"/>
  <c r="AJ21" i="4"/>
  <c r="AL21" i="4" s="1"/>
  <c r="AL41" i="3"/>
  <c r="AK41" i="3"/>
  <c r="AL34" i="3"/>
  <c r="AK34" i="3"/>
  <c r="AL28" i="3"/>
  <c r="AK28" i="3"/>
  <c r="AL22" i="3"/>
  <c r="AK22" i="3"/>
  <c r="AL15" i="3"/>
  <c r="AK15" i="3"/>
  <c r="AL6" i="3"/>
  <c r="AK6" i="3"/>
  <c r="AJ35" i="9" l="1"/>
  <c r="AJ38" i="9" s="1"/>
  <c r="AJ42" i="9" s="1"/>
  <c r="AJ67" i="9" s="1"/>
  <c r="AJ25" i="9"/>
  <c r="AJ15" i="9"/>
  <c r="AH74" i="5"/>
  <c r="AK55" i="4"/>
  <c r="AL37" i="4"/>
  <c r="AK21" i="4"/>
  <c r="AK13" i="4"/>
  <c r="AL13" i="4"/>
  <c r="AJ23" i="4"/>
  <c r="AJ57" i="4"/>
  <c r="AJ43" i="9" l="1"/>
  <c r="AJ45" i="9"/>
  <c r="AJ46" i="9" s="1"/>
  <c r="AJ26" i="9"/>
  <c r="AL57" i="4"/>
  <c r="AK57" i="4"/>
  <c r="AJ17" i="3" l="1"/>
  <c r="AJ37" i="3"/>
  <c r="AJ10" i="3"/>
  <c r="AJ16" i="3" s="1"/>
  <c r="AJ6" i="3"/>
  <c r="K27" i="5"/>
  <c r="AJ15" i="3" l="1"/>
  <c r="AJ22" i="3" s="1"/>
  <c r="AJ28" i="3" s="1"/>
  <c r="AJ20" i="3"/>
  <c r="K48" i="5"/>
  <c r="AJ26" i="3" l="1"/>
  <c r="AJ23" i="3"/>
  <c r="AJ34" i="3" l="1"/>
  <c r="AJ29" i="3"/>
  <c r="I14" i="9"/>
  <c r="I15" i="9" s="1"/>
  <c r="H14" i="9"/>
  <c r="H15" i="9" s="1"/>
  <c r="G14" i="9"/>
  <c r="G15" i="9" s="1"/>
  <c r="F14" i="9"/>
  <c r="F15" i="9" s="1"/>
  <c r="E14" i="9"/>
  <c r="E15" i="9" s="1"/>
  <c r="K101" i="9"/>
  <c r="K100" i="9"/>
  <c r="K99" i="9"/>
  <c r="K98" i="9"/>
  <c r="AJ41" i="3" l="1"/>
  <c r="AJ42" i="3" s="1"/>
  <c r="AJ35" i="3"/>
  <c r="K130" i="9"/>
  <c r="K129" i="9"/>
  <c r="K128" i="9"/>
  <c r="K127" i="9"/>
  <c r="K126" i="9"/>
  <c r="K125" i="9"/>
  <c r="K124" i="9"/>
  <c r="K123" i="9"/>
  <c r="K122" i="9"/>
  <c r="K119" i="9"/>
  <c r="K118" i="9"/>
  <c r="K117" i="9"/>
  <c r="K116" i="9"/>
  <c r="K115" i="9"/>
  <c r="K114" i="9"/>
  <c r="K113" i="9"/>
  <c r="K71" i="9"/>
  <c r="M71" i="9" s="1"/>
  <c r="K65" i="9"/>
  <c r="K64" i="9"/>
  <c r="K63" i="9"/>
  <c r="K62" i="9"/>
  <c r="K61" i="9"/>
  <c r="K60" i="9"/>
  <c r="K59" i="9"/>
  <c r="K58" i="9"/>
  <c r="K57" i="9"/>
  <c r="K56" i="9"/>
  <c r="K55" i="9"/>
  <c r="K54" i="9"/>
  <c r="K53" i="9"/>
  <c r="K52" i="9"/>
  <c r="K24" i="9"/>
  <c r="K21" i="9"/>
  <c r="K76" i="5"/>
  <c r="K39" i="5"/>
  <c r="K40" i="5"/>
  <c r="K75" i="5"/>
  <c r="K70" i="5"/>
  <c r="K69" i="5"/>
  <c r="K68" i="5"/>
  <c r="K67" i="5"/>
  <c r="K66" i="5"/>
  <c r="K65" i="5"/>
  <c r="K64" i="5"/>
  <c r="K63" i="5"/>
  <c r="K62" i="5"/>
  <c r="K61" i="5"/>
  <c r="K56" i="5"/>
  <c r="K55" i="5"/>
  <c r="K54" i="5"/>
  <c r="K53" i="5"/>
  <c r="K52" i="5"/>
  <c r="K47" i="5"/>
  <c r="K46" i="5"/>
  <c r="K45" i="5"/>
  <c r="K44" i="5"/>
  <c r="K43" i="5"/>
  <c r="K42" i="5"/>
  <c r="K41" i="5"/>
  <c r="K38" i="5"/>
  <c r="K37" i="5"/>
  <c r="K36" i="5"/>
  <c r="K35" i="5"/>
  <c r="K34" i="5"/>
  <c r="K33" i="5"/>
  <c r="K32" i="5"/>
  <c r="K31" i="5"/>
  <c r="K30" i="5"/>
  <c r="K29" i="5"/>
  <c r="K26" i="5"/>
  <c r="K25" i="5"/>
  <c r="K24" i="5"/>
  <c r="K23" i="5"/>
  <c r="K22" i="5"/>
  <c r="K21" i="5"/>
  <c r="K20" i="5"/>
  <c r="K19" i="5"/>
  <c r="K18" i="5"/>
  <c r="K17" i="5"/>
  <c r="K16" i="5"/>
  <c r="K15" i="5"/>
  <c r="K14" i="5"/>
  <c r="K13" i="5"/>
  <c r="K12" i="5"/>
  <c r="K11" i="5"/>
  <c r="K10" i="5"/>
  <c r="K9" i="5"/>
  <c r="K6" i="5"/>
  <c r="AI20" i="9"/>
  <c r="K20" i="9" s="1"/>
  <c r="AI19" i="9"/>
  <c r="K19" i="9" s="1"/>
  <c r="AL101" i="9"/>
  <c r="AI99" i="9"/>
  <c r="AL99" i="9" s="1"/>
  <c r="AI98" i="9"/>
  <c r="AL98" i="9" s="1"/>
  <c r="AI95" i="9"/>
  <c r="K95" i="9" s="1"/>
  <c r="AI94" i="9"/>
  <c r="K94" i="9" s="1"/>
  <c r="AI74" i="9"/>
  <c r="AL74" i="9" s="1"/>
  <c r="AI72" i="9"/>
  <c r="AL72" i="9" s="1"/>
  <c r="AI71" i="9"/>
  <c r="AL71" i="9" s="1"/>
  <c r="AI51" i="9"/>
  <c r="K51" i="9" s="1"/>
  <c r="L108" i="9"/>
  <c r="L107" i="9"/>
  <c r="M101" i="9"/>
  <c r="L101" i="9"/>
  <c r="M99" i="9"/>
  <c r="L99" i="9"/>
  <c r="M98" i="9"/>
  <c r="L98" i="9"/>
  <c r="L88" i="9"/>
  <c r="L86" i="9"/>
  <c r="L85" i="9"/>
  <c r="L74" i="9"/>
  <c r="L72" i="9"/>
  <c r="L71" i="9"/>
  <c r="M11" i="9"/>
  <c r="L11" i="9"/>
  <c r="M10" i="9"/>
  <c r="L10" i="9"/>
  <c r="AI41" i="9"/>
  <c r="AI40" i="9"/>
  <c r="K40" i="9" s="1"/>
  <c r="AI34" i="9"/>
  <c r="K34" i="9" s="1"/>
  <c r="AI33" i="9"/>
  <c r="K33" i="9" s="1"/>
  <c r="AI32" i="9"/>
  <c r="K32" i="9" s="1"/>
  <c r="AI11" i="9"/>
  <c r="AL11" i="9" s="1"/>
  <c r="AH11" i="9"/>
  <c r="AG11" i="9"/>
  <c r="AF11" i="9"/>
  <c r="AK11" i="9" s="1"/>
  <c r="AE11" i="9"/>
  <c r="K72" i="9" l="1"/>
  <c r="M72" i="9" s="1"/>
  <c r="K74" i="9"/>
  <c r="M74" i="9" s="1"/>
  <c r="K131" i="9"/>
  <c r="K120" i="9"/>
  <c r="K72" i="5"/>
  <c r="K58" i="5"/>
  <c r="K49" i="5"/>
  <c r="K96" i="9"/>
  <c r="K74" i="5" l="1"/>
  <c r="AI131" i="9"/>
  <c r="AL131" i="9" s="1"/>
  <c r="AI120" i="9"/>
  <c r="AL120" i="9" s="1"/>
  <c r="AI100" i="9"/>
  <c r="AL100" i="9" s="1"/>
  <c r="AI96" i="9"/>
  <c r="AL96" i="9" s="1"/>
  <c r="AI73" i="9"/>
  <c r="AI66" i="9"/>
  <c r="AL66" i="9" s="1"/>
  <c r="AI22" i="9"/>
  <c r="AL22" i="9" s="1"/>
  <c r="AI15" i="9"/>
  <c r="AL15" i="9" s="1"/>
  <c r="AG72" i="5"/>
  <c r="AG58" i="5"/>
  <c r="K54" i="4"/>
  <c r="K53" i="4"/>
  <c r="K52" i="4"/>
  <c r="K51" i="4"/>
  <c r="K50" i="4"/>
  <c r="K49" i="4"/>
  <c r="K48" i="4"/>
  <c r="K45" i="4"/>
  <c r="K44" i="4"/>
  <c r="K43" i="4"/>
  <c r="K42" i="4"/>
  <c r="K41" i="4"/>
  <c r="K40" i="4"/>
  <c r="K39" i="4"/>
  <c r="K36" i="4"/>
  <c r="K35" i="4"/>
  <c r="K34" i="4"/>
  <c r="K33" i="4"/>
  <c r="K32" i="4"/>
  <c r="K31" i="4"/>
  <c r="K30" i="4"/>
  <c r="K29" i="4"/>
  <c r="K28" i="4"/>
  <c r="K27" i="4"/>
  <c r="K26" i="4"/>
  <c r="K25" i="4"/>
  <c r="K20" i="4"/>
  <c r="K19" i="4"/>
  <c r="K18" i="4"/>
  <c r="K17" i="4"/>
  <c r="K16" i="4"/>
  <c r="K15" i="4"/>
  <c r="K11" i="4"/>
  <c r="K10" i="4"/>
  <c r="K9" i="4"/>
  <c r="K8" i="4"/>
  <c r="K7" i="4"/>
  <c r="K6" i="4"/>
  <c r="K73" i="9" l="1"/>
  <c r="AL73" i="9"/>
  <c r="AG74" i="5"/>
  <c r="AL103" i="9"/>
  <c r="AI75" i="9"/>
  <c r="AI25" i="9"/>
  <c r="AL25" i="9" s="1"/>
  <c r="AI23" i="9"/>
  <c r="AL23" i="9" s="1"/>
  <c r="K75" i="9" l="1"/>
  <c r="AL75" i="9"/>
  <c r="AI26" i="9"/>
  <c r="AL26" i="9" s="1"/>
  <c r="AI55" i="4" l="1"/>
  <c r="AI46" i="4"/>
  <c r="AI37" i="4"/>
  <c r="AI21" i="4"/>
  <c r="K55" i="4"/>
  <c r="K46" i="4"/>
  <c r="K37" i="4"/>
  <c r="K21" i="4"/>
  <c r="K39" i="3"/>
  <c r="K38" i="3"/>
  <c r="K32" i="3"/>
  <c r="K31" i="3"/>
  <c r="K25" i="3"/>
  <c r="K19" i="3"/>
  <c r="K13" i="3"/>
  <c r="K12" i="3"/>
  <c r="K11" i="3"/>
  <c r="K8" i="3"/>
  <c r="K7" i="3"/>
  <c r="K15" i="9" s="1"/>
  <c r="AI6" i="3"/>
  <c r="AI17" i="3"/>
  <c r="AI37" i="3"/>
  <c r="AI31" i="9" s="1"/>
  <c r="K31" i="9" s="1"/>
  <c r="AI10" i="3"/>
  <c r="AI16" i="3" s="1"/>
  <c r="J39" i="3"/>
  <c r="J19" i="3"/>
  <c r="Y35" i="9"/>
  <c r="Y38" i="9" s="1"/>
  <c r="Y42" i="9" s="1"/>
  <c r="AA35" i="9"/>
  <c r="AA38" i="9" s="1"/>
  <c r="AA42" i="9" s="1"/>
  <c r="AB35" i="9"/>
  <c r="AB38" i="9" s="1"/>
  <c r="AB42" i="9" s="1"/>
  <c r="AC35" i="9"/>
  <c r="AC38" i="9" s="1"/>
  <c r="AC42" i="9" s="1"/>
  <c r="AD35" i="9"/>
  <c r="AD38" i="9" s="1"/>
  <c r="AD42" i="9" s="1"/>
  <c r="AE35" i="9"/>
  <c r="AF35" i="9"/>
  <c r="AG35" i="9"/>
  <c r="AG38" i="9" s="1"/>
  <c r="AG42" i="9" s="1"/>
  <c r="AG43" i="9" s="1"/>
  <c r="AH35" i="9"/>
  <c r="G35" i="9"/>
  <c r="G38" i="9" s="1"/>
  <c r="F35" i="9"/>
  <c r="F38" i="9" s="1"/>
  <c r="E35" i="9"/>
  <c r="E38" i="9" s="1"/>
  <c r="AF38" i="9" l="1"/>
  <c r="AK35" i="9"/>
  <c r="K57" i="4"/>
  <c r="AE38" i="9"/>
  <c r="AH38" i="9"/>
  <c r="AH42" i="9" s="1"/>
  <c r="K23" i="4"/>
  <c r="AI57" i="4"/>
  <c r="AI23" i="4"/>
  <c r="AL23" i="4" s="1"/>
  <c r="K10" i="3"/>
  <c r="K6" i="3"/>
  <c r="AI15" i="3"/>
  <c r="AI22" i="3" s="1"/>
  <c r="K37" i="3"/>
  <c r="K15" i="3"/>
  <c r="K22" i="3" s="1"/>
  <c r="K23" i="3" s="1"/>
  <c r="AH10" i="3"/>
  <c r="AH6" i="3"/>
  <c r="F55" i="4"/>
  <c r="G55" i="4"/>
  <c r="H55" i="4"/>
  <c r="I55" i="4"/>
  <c r="J55" i="4"/>
  <c r="M55" i="4" s="1"/>
  <c r="E55" i="4"/>
  <c r="AG55" i="4"/>
  <c r="AF55" i="4"/>
  <c r="AE55" i="4"/>
  <c r="AD55" i="4"/>
  <c r="AC55" i="4"/>
  <c r="AB55" i="4"/>
  <c r="AA55" i="4"/>
  <c r="Z55" i="4"/>
  <c r="Y55" i="4"/>
  <c r="X55" i="4"/>
  <c r="V55" i="4"/>
  <c r="U55" i="4"/>
  <c r="T55" i="4"/>
  <c r="S55" i="4"/>
  <c r="R55" i="4"/>
  <c r="Q55" i="4"/>
  <c r="P55" i="4"/>
  <c r="AH55" i="4"/>
  <c r="AH46" i="4"/>
  <c r="AG21" i="4"/>
  <c r="AF21" i="4"/>
  <c r="AE21" i="4"/>
  <c r="AD21" i="4"/>
  <c r="AC21" i="4"/>
  <c r="AB21" i="4"/>
  <c r="AA21" i="4"/>
  <c r="Z21" i="4"/>
  <c r="Y21" i="4"/>
  <c r="X21" i="4"/>
  <c r="V21" i="4"/>
  <c r="U21" i="4"/>
  <c r="T21" i="4"/>
  <c r="S21" i="4"/>
  <c r="R21" i="4"/>
  <c r="Q21" i="4"/>
  <c r="P21" i="4"/>
  <c r="W20" i="4"/>
  <c r="AH21" i="4"/>
  <c r="F21" i="4"/>
  <c r="G21" i="4"/>
  <c r="H21" i="4"/>
  <c r="I21" i="4"/>
  <c r="J21" i="4"/>
  <c r="E21" i="4"/>
  <c r="AF42" i="9" l="1"/>
  <c r="AK42" i="9" s="1"/>
  <c r="AK38" i="9"/>
  <c r="AH43" i="9"/>
  <c r="AH45" i="9"/>
  <c r="AH46" i="9" s="1"/>
  <c r="L21" i="4"/>
  <c r="M21" i="4"/>
  <c r="L55" i="4"/>
  <c r="AE42" i="9"/>
  <c r="K26" i="3"/>
  <c r="K20" i="3"/>
  <c r="AI20" i="3"/>
  <c r="AI26" i="3"/>
  <c r="AI28" i="3"/>
  <c r="AI23" i="3"/>
  <c r="AI29" i="3"/>
  <c r="AI34" i="3"/>
  <c r="K28" i="3"/>
  <c r="K29" i="3" s="1"/>
  <c r="AH131" i="9"/>
  <c r="AH120" i="9"/>
  <c r="AH100" i="9"/>
  <c r="AH96" i="9"/>
  <c r="AH87" i="9"/>
  <c r="AH83" i="9"/>
  <c r="AH73" i="9"/>
  <c r="AH66" i="9"/>
  <c r="AH22" i="9"/>
  <c r="AH15" i="9"/>
  <c r="AF72" i="5"/>
  <c r="AF58" i="5"/>
  <c r="AF49" i="5"/>
  <c r="AH37" i="4"/>
  <c r="AH37" i="3"/>
  <c r="AH17" i="3"/>
  <c r="AG10" i="3"/>
  <c r="AH16" i="3"/>
  <c r="AG6" i="3"/>
  <c r="AH23" i="4" l="1"/>
  <c r="AH57" i="4"/>
  <c r="AH25" i="9"/>
  <c r="AF74" i="5"/>
  <c r="AI35" i="3"/>
  <c r="AI41" i="3"/>
  <c r="K34" i="3"/>
  <c r="AH75" i="9"/>
  <c r="AH67" i="9"/>
  <c r="AH26" i="9"/>
  <c r="AH23" i="9"/>
  <c r="AH15" i="3"/>
  <c r="AG131" i="9"/>
  <c r="AG120" i="9"/>
  <c r="AG100" i="9"/>
  <c r="AG96" i="9"/>
  <c r="AG87" i="9"/>
  <c r="AH88" i="9" s="1"/>
  <c r="AG83" i="9"/>
  <c r="AG73" i="9"/>
  <c r="AG75" i="9" s="1"/>
  <c r="AG66" i="9"/>
  <c r="AG45" i="9"/>
  <c r="AG46" i="9" s="1"/>
  <c r="AG22" i="9"/>
  <c r="AG23" i="9" s="1"/>
  <c r="AG15" i="9"/>
  <c r="AE72" i="5"/>
  <c r="AE74" i="5" s="1"/>
  <c r="AE58" i="5"/>
  <c r="AE49" i="5"/>
  <c r="AG46" i="4"/>
  <c r="AG37" i="4"/>
  <c r="AG37" i="3"/>
  <c r="AG16" i="3"/>
  <c r="AG17" i="3"/>
  <c r="AG15" i="3"/>
  <c r="AF131" i="9"/>
  <c r="AK131" i="9" s="1"/>
  <c r="AF120" i="9"/>
  <c r="AK120" i="9" s="1"/>
  <c r="I109" i="9"/>
  <c r="J109" i="9"/>
  <c r="H109" i="9"/>
  <c r="AF100" i="9"/>
  <c r="AK100" i="9" s="1"/>
  <c r="AF96" i="9"/>
  <c r="AF87" i="9"/>
  <c r="AF83" i="9"/>
  <c r="AF73" i="9"/>
  <c r="AK73" i="9" s="1"/>
  <c r="AF66" i="9"/>
  <c r="AF22" i="9"/>
  <c r="AK22" i="9" s="1"/>
  <c r="L109" i="9" l="1"/>
  <c r="K66" i="9"/>
  <c r="AK66" i="9"/>
  <c r="AK103" i="9"/>
  <c r="AK96" i="9"/>
  <c r="K77" i="5"/>
  <c r="K22" i="9"/>
  <c r="AK109" i="9"/>
  <c r="K108" i="9"/>
  <c r="M108" i="9" s="1"/>
  <c r="AI30" i="9"/>
  <c r="AI107" i="9"/>
  <c r="AL107" i="9" s="1"/>
  <c r="AI42" i="3"/>
  <c r="K41" i="3"/>
  <c r="K42" i="3" s="1"/>
  <c r="K35" i="3"/>
  <c r="AG88" i="9"/>
  <c r="AG90" i="9" s="1"/>
  <c r="AH90" i="9"/>
  <c r="AH26" i="3"/>
  <c r="AH20" i="3"/>
  <c r="AH22" i="3"/>
  <c r="AG23" i="4"/>
  <c r="AG57" i="4"/>
  <c r="AG67" i="9"/>
  <c r="AG25" i="9"/>
  <c r="AG22" i="3"/>
  <c r="AG26" i="3"/>
  <c r="AG20" i="3"/>
  <c r="AF75" i="9"/>
  <c r="AK75" i="9" s="1"/>
  <c r="AF67" i="9"/>
  <c r="AF45" i="9"/>
  <c r="AF23" i="9"/>
  <c r="AF25" i="9"/>
  <c r="K25" i="9" l="1"/>
  <c r="AK25" i="9"/>
  <c r="K23" i="9"/>
  <c r="AK23" i="9"/>
  <c r="K26" i="9"/>
  <c r="K30" i="9"/>
  <c r="K35" i="9" s="1"/>
  <c r="K38" i="9" s="1"/>
  <c r="AI35" i="9"/>
  <c r="AL35" i="9" s="1"/>
  <c r="K107" i="9"/>
  <c r="AL109" i="9"/>
  <c r="AG26" i="9"/>
  <c r="AH23" i="3"/>
  <c r="AH28" i="3"/>
  <c r="AG28" i="3"/>
  <c r="AG34" i="3" s="1"/>
  <c r="AG23" i="3"/>
  <c r="AF26" i="9"/>
  <c r="AK26" i="9" s="1"/>
  <c r="K109" i="9" l="1"/>
  <c r="M109" i="9" s="1"/>
  <c r="M107" i="9"/>
  <c r="AI38" i="9"/>
  <c r="AL38" i="9" s="1"/>
  <c r="AH34" i="3"/>
  <c r="AH29" i="3"/>
  <c r="AG29" i="3"/>
  <c r="AG41" i="3"/>
  <c r="AG35" i="3"/>
  <c r="AF14" i="9"/>
  <c r="AF15" i="9" s="1"/>
  <c r="AK15" i="9" s="1"/>
  <c r="AI42" i="9" l="1"/>
  <c r="AL42" i="9" s="1"/>
  <c r="AH41" i="3"/>
  <c r="AH35" i="3"/>
  <c r="AG42" i="3"/>
  <c r="AD72" i="5"/>
  <c r="AD58" i="5"/>
  <c r="AD49" i="5"/>
  <c r="AF46" i="4"/>
  <c r="AF37" i="4"/>
  <c r="AF37" i="3"/>
  <c r="AF17" i="3"/>
  <c r="K17" i="3" s="1"/>
  <c r="AF10" i="3"/>
  <c r="AF16" i="3" s="1"/>
  <c r="K16" i="3" s="1"/>
  <c r="AF6" i="3"/>
  <c r="J131" i="9"/>
  <c r="I131" i="9"/>
  <c r="J120" i="9"/>
  <c r="J100" i="9"/>
  <c r="J96" i="9"/>
  <c r="J87" i="9"/>
  <c r="J83" i="9"/>
  <c r="J73" i="9"/>
  <c r="J66" i="9"/>
  <c r="J40" i="9"/>
  <c r="J37" i="9"/>
  <c r="J34" i="9"/>
  <c r="J33" i="9"/>
  <c r="J32" i="9"/>
  <c r="J31" i="9"/>
  <c r="J30" i="9"/>
  <c r="J24" i="9"/>
  <c r="J21" i="9"/>
  <c r="J20" i="9"/>
  <c r="J19" i="9"/>
  <c r="J9" i="9"/>
  <c r="AE100" i="9"/>
  <c r="AD100" i="9"/>
  <c r="AC100" i="9"/>
  <c r="AB100" i="9"/>
  <c r="AA100" i="9"/>
  <c r="Z100" i="9"/>
  <c r="X100" i="9"/>
  <c r="W100" i="9"/>
  <c r="V100" i="9"/>
  <c r="U100" i="9"/>
  <c r="T100" i="9"/>
  <c r="S100" i="9"/>
  <c r="R100" i="9"/>
  <c r="Q100" i="9"/>
  <c r="P100" i="9"/>
  <c r="I100" i="9"/>
  <c r="G100" i="9"/>
  <c r="F100" i="9"/>
  <c r="E100" i="9"/>
  <c r="AE96" i="9"/>
  <c r="AD96" i="9"/>
  <c r="AC96" i="9"/>
  <c r="AB96" i="9"/>
  <c r="AA96" i="9"/>
  <c r="X96" i="9"/>
  <c r="T96" i="9"/>
  <c r="I96" i="9"/>
  <c r="I103" i="9" s="1"/>
  <c r="G96" i="9"/>
  <c r="G103" i="9" s="1"/>
  <c r="F96" i="9"/>
  <c r="F103" i="9" s="1"/>
  <c r="E96" i="9"/>
  <c r="E103" i="9" s="1"/>
  <c r="S95" i="9"/>
  <c r="S96" i="9" s="1"/>
  <c r="R95" i="9"/>
  <c r="R96" i="9" s="1"/>
  <c r="Z96" i="9"/>
  <c r="W96" i="9"/>
  <c r="V96" i="9"/>
  <c r="U96" i="9"/>
  <c r="Q96" i="9"/>
  <c r="P96" i="9"/>
  <c r="M66" i="9" l="1"/>
  <c r="M73" i="9"/>
  <c r="J90" i="9"/>
  <c r="J103" i="9"/>
  <c r="L96" i="9"/>
  <c r="M96" i="9"/>
  <c r="L100" i="9"/>
  <c r="M100" i="9"/>
  <c r="M9" i="9"/>
  <c r="M120" i="9"/>
  <c r="L131" i="9"/>
  <c r="M131" i="9"/>
  <c r="AI43" i="9"/>
  <c r="AI67" i="9"/>
  <c r="AI45" i="9"/>
  <c r="J35" i="9"/>
  <c r="J38" i="9" s="1"/>
  <c r="AH42" i="3"/>
  <c r="AF43" i="9"/>
  <c r="AF46" i="9"/>
  <c r="AF15" i="3"/>
  <c r="AF57" i="4"/>
  <c r="AF23" i="4"/>
  <c r="AK23" i="4" s="1"/>
  <c r="AD74" i="5"/>
  <c r="J22" i="9"/>
  <c r="J75" i="9"/>
  <c r="H100" i="9"/>
  <c r="L103" i="9" l="1"/>
  <c r="M103" i="9"/>
  <c r="J77" i="9"/>
  <c r="M75" i="9"/>
  <c r="J23" i="9"/>
  <c r="M22" i="9"/>
  <c r="AI46" i="9"/>
  <c r="K45" i="9"/>
  <c r="K46" i="9" s="1"/>
  <c r="K67" i="9"/>
  <c r="K43" i="9"/>
  <c r="AF22" i="3"/>
  <c r="AF23" i="3" s="1"/>
  <c r="AF20" i="3"/>
  <c r="AF26" i="3"/>
  <c r="J25" i="9"/>
  <c r="J42" i="9"/>
  <c r="J26" i="9" l="1"/>
  <c r="M25" i="9"/>
  <c r="M23" i="9"/>
  <c r="M42" i="9"/>
  <c r="AF28" i="3"/>
  <c r="J45" i="9"/>
  <c r="J67" i="9"/>
  <c r="AE66" i="9"/>
  <c r="AE131" i="9"/>
  <c r="AE120" i="9"/>
  <c r="AE87" i="9"/>
  <c r="AE83" i="9"/>
  <c r="AE73" i="9"/>
  <c r="AE22" i="9"/>
  <c r="M26" i="9" l="1"/>
  <c r="AF34" i="3"/>
  <c r="AF29" i="3"/>
  <c r="AF88" i="9"/>
  <c r="AE75" i="9"/>
  <c r="AE23" i="9"/>
  <c r="AE25" i="9"/>
  <c r="AE14" i="9"/>
  <c r="AE15" i="9" s="1"/>
  <c r="J72" i="5"/>
  <c r="J58" i="5"/>
  <c r="J49" i="5"/>
  <c r="AF41" i="3" l="1"/>
  <c r="AF35" i="3"/>
  <c r="J74" i="5"/>
  <c r="AE67" i="9"/>
  <c r="AF90" i="9"/>
  <c r="AE45" i="9"/>
  <c r="AE26" i="9"/>
  <c r="AC72" i="5"/>
  <c r="AC58" i="5"/>
  <c r="AC49" i="5"/>
  <c r="AE46" i="4"/>
  <c r="AE37" i="4"/>
  <c r="J46" i="4"/>
  <c r="J37" i="4"/>
  <c r="J38" i="3"/>
  <c r="J32" i="3"/>
  <c r="J31" i="3"/>
  <c r="J25" i="3"/>
  <c r="AE37" i="3"/>
  <c r="AE17" i="3"/>
  <c r="AD17" i="3"/>
  <c r="J13" i="3"/>
  <c r="J12" i="3"/>
  <c r="J11" i="3"/>
  <c r="J8" i="3"/>
  <c r="J7" i="3"/>
  <c r="J14" i="9" s="1"/>
  <c r="J15" i="9" s="1"/>
  <c r="AE6" i="3"/>
  <c r="M13" i="4" l="1"/>
  <c r="M46" i="4"/>
  <c r="M37" i="4"/>
  <c r="AF42" i="3"/>
  <c r="J23" i="4"/>
  <c r="AE23" i="4"/>
  <c r="AE57" i="4"/>
  <c r="AC74" i="5"/>
  <c r="J57" i="4"/>
  <c r="J6" i="3"/>
  <c r="M23" i="4" l="1"/>
  <c r="M57" i="4"/>
  <c r="M6" i="3"/>
  <c r="AE10" i="3"/>
  <c r="J37" i="3"/>
  <c r="J17" i="3"/>
  <c r="J10" i="3"/>
  <c r="J15" i="3" l="1"/>
  <c r="J16" i="3"/>
  <c r="AE16" i="3"/>
  <c r="AE15" i="3"/>
  <c r="J26" i="3"/>
  <c r="J20" i="3"/>
  <c r="J22" i="3"/>
  <c r="G19" i="9"/>
  <c r="G21" i="9"/>
  <c r="G20" i="9"/>
  <c r="H131" i="9"/>
  <c r="G131" i="9"/>
  <c r="F131" i="9"/>
  <c r="E131" i="9"/>
  <c r="Q131" i="9"/>
  <c r="R131" i="9"/>
  <c r="S131" i="9"/>
  <c r="T131" i="9"/>
  <c r="U131" i="9"/>
  <c r="V131" i="9"/>
  <c r="W131" i="9"/>
  <c r="X131" i="9"/>
  <c r="Y131" i="9"/>
  <c r="Z131" i="9"/>
  <c r="AA131" i="9"/>
  <c r="AB131" i="9"/>
  <c r="AC131" i="9"/>
  <c r="AD131" i="9"/>
  <c r="P131" i="9"/>
  <c r="AD120" i="9"/>
  <c r="AD87" i="9"/>
  <c r="AD83" i="9"/>
  <c r="AD73" i="9"/>
  <c r="AD66" i="9"/>
  <c r="AD22" i="9"/>
  <c r="M15" i="3" l="1"/>
  <c r="M22" i="3"/>
  <c r="J43" i="9"/>
  <c r="J46" i="9"/>
  <c r="AE26" i="3"/>
  <c r="AE22" i="3"/>
  <c r="AE20" i="3"/>
  <c r="AE43" i="9"/>
  <c r="AE46" i="9"/>
  <c r="AE88" i="9"/>
  <c r="AD25" i="9"/>
  <c r="J28" i="3"/>
  <c r="J23" i="3"/>
  <c r="AD23" i="9"/>
  <c r="AD75" i="9"/>
  <c r="AD14" i="9"/>
  <c r="AD15" i="9" s="1"/>
  <c r="AB72" i="5"/>
  <c r="AB58" i="5"/>
  <c r="AA58" i="5"/>
  <c r="Z58" i="5"/>
  <c r="Y58" i="5"/>
  <c r="X58" i="5"/>
  <c r="W58" i="5"/>
  <c r="V58" i="5"/>
  <c r="AB49" i="5"/>
  <c r="AD46" i="4"/>
  <c r="AD37" i="4"/>
  <c r="AD37" i="3"/>
  <c r="AD10" i="3"/>
  <c r="AD16" i="3" s="1"/>
  <c r="AD6" i="3"/>
  <c r="W14" i="9"/>
  <c r="W15" i="9" s="1"/>
  <c r="V14" i="9"/>
  <c r="V15" i="9" s="1"/>
  <c r="U14" i="9"/>
  <c r="U15" i="9" s="1"/>
  <c r="T14" i="9"/>
  <c r="T15" i="9" s="1"/>
  <c r="Y14" i="9"/>
  <c r="Y15" i="9" s="1"/>
  <c r="Z14" i="9"/>
  <c r="Z15" i="9" s="1"/>
  <c r="AA14" i="9"/>
  <c r="AA15" i="9" s="1"/>
  <c r="AB14" i="9"/>
  <c r="AB15" i="9" s="1"/>
  <c r="AC14" i="9"/>
  <c r="AC15" i="9" s="1"/>
  <c r="X14" i="9"/>
  <c r="X15" i="9" s="1"/>
  <c r="M28" i="3" l="1"/>
  <c r="AD15" i="3"/>
  <c r="AE23" i="3"/>
  <c r="AE28" i="3"/>
  <c r="AD67" i="9"/>
  <c r="AD45" i="9"/>
  <c r="AD46" i="9" s="1"/>
  <c r="AD43" i="9"/>
  <c r="AE90" i="9"/>
  <c r="AD26" i="9"/>
  <c r="AB74" i="5"/>
  <c r="J29" i="3"/>
  <c r="J34" i="3"/>
  <c r="AD57" i="4"/>
  <c r="AD23" i="4"/>
  <c r="M34" i="3" l="1"/>
  <c r="AE29" i="3"/>
  <c r="AE34" i="3"/>
  <c r="J41" i="3"/>
  <c r="J35" i="3"/>
  <c r="AD20" i="3"/>
  <c r="AD26" i="3"/>
  <c r="AD22" i="3"/>
  <c r="AC46" i="4"/>
  <c r="AC120" i="9"/>
  <c r="AC87" i="9"/>
  <c r="AC83" i="9"/>
  <c r="AC73" i="9"/>
  <c r="AC66" i="9"/>
  <c r="AC22" i="9"/>
  <c r="AC37" i="4"/>
  <c r="AC13" i="4"/>
  <c r="AC10" i="3"/>
  <c r="AC16" i="3" s="1"/>
  <c r="AC6" i="3"/>
  <c r="AC17" i="3"/>
  <c r="AC37" i="3"/>
  <c r="AA72" i="5"/>
  <c r="AA49" i="5"/>
  <c r="H20" i="9"/>
  <c r="I20" i="9"/>
  <c r="H21" i="9"/>
  <c r="I21" i="9"/>
  <c r="W9" i="4"/>
  <c r="AB120" i="9"/>
  <c r="AB87" i="9"/>
  <c r="Y75" i="9"/>
  <c r="AB73" i="9"/>
  <c r="AB66" i="9"/>
  <c r="M41" i="3" l="1"/>
  <c r="AB75" i="9"/>
  <c r="AE35" i="3"/>
  <c r="AE41" i="3"/>
  <c r="AD23" i="3"/>
  <c r="J42" i="3"/>
  <c r="AD88" i="9"/>
  <c r="AD28" i="3"/>
  <c r="AC23" i="9"/>
  <c r="AC88" i="9"/>
  <c r="AA74" i="5"/>
  <c r="AC57" i="4"/>
  <c r="AC23" i="4"/>
  <c r="AC75" i="9"/>
  <c r="AC25" i="9"/>
  <c r="AC15" i="3"/>
  <c r="Z72" i="5"/>
  <c r="Z49" i="5"/>
  <c r="AB46" i="4"/>
  <c r="AB37" i="4"/>
  <c r="AB13" i="4"/>
  <c r="AB37" i="3"/>
  <c r="AB17" i="3"/>
  <c r="AB10" i="3"/>
  <c r="AB16" i="3" s="1"/>
  <c r="AB6" i="3"/>
  <c r="AB22" i="9"/>
  <c r="AE42" i="3" l="1"/>
  <c r="AC26" i="3"/>
  <c r="AD34" i="3"/>
  <c r="AD29" i="3"/>
  <c r="AD90" i="9"/>
  <c r="AC90" i="9"/>
  <c r="AC45" i="9"/>
  <c r="AC46" i="9" s="1"/>
  <c r="AC43" i="9"/>
  <c r="AC26" i="9"/>
  <c r="AB25" i="9"/>
  <c r="AC67" i="9"/>
  <c r="AC20" i="3"/>
  <c r="AC22" i="3"/>
  <c r="AB15" i="3"/>
  <c r="AB57" i="4"/>
  <c r="AB23" i="4"/>
  <c r="AB23" i="9"/>
  <c r="Z74" i="5"/>
  <c r="AB45" i="9" l="1"/>
  <c r="AB46" i="9" s="1"/>
  <c r="AB67" i="9"/>
  <c r="AB43" i="9"/>
  <c r="AD41" i="3"/>
  <c r="AD35" i="3"/>
  <c r="AB26" i="9"/>
  <c r="AC28" i="3"/>
  <c r="AC23" i="3"/>
  <c r="AB26" i="3"/>
  <c r="AB22" i="3"/>
  <c r="AB20" i="3"/>
  <c r="AB81" i="9" l="1"/>
  <c r="AB83" i="9" s="1"/>
  <c r="AD42" i="3"/>
  <c r="AC34" i="3"/>
  <c r="AC29" i="3"/>
  <c r="AB28" i="3"/>
  <c r="AB23" i="3"/>
  <c r="Y57" i="4"/>
  <c r="Y120" i="9"/>
  <c r="Y26" i="9"/>
  <c r="Y13" i="4"/>
  <c r="AC35" i="3" l="1"/>
  <c r="AC41" i="3"/>
  <c r="AB29" i="3"/>
  <c r="AB34" i="3"/>
  <c r="I24" i="9"/>
  <c r="I19" i="9"/>
  <c r="I22" i="9" s="1"/>
  <c r="L22" i="9" s="1"/>
  <c r="I40" i="9"/>
  <c r="I37" i="9"/>
  <c r="I34" i="9"/>
  <c r="I33" i="9"/>
  <c r="I32" i="9"/>
  <c r="I31" i="9"/>
  <c r="I66" i="9"/>
  <c r="L66" i="9" s="1"/>
  <c r="I9" i="9"/>
  <c r="L9" i="9" s="1"/>
  <c r="I73" i="9"/>
  <c r="L73" i="9" s="1"/>
  <c r="I83" i="9"/>
  <c r="L83" i="9" s="1"/>
  <c r="I87" i="9"/>
  <c r="L87" i="9" s="1"/>
  <c r="I120" i="9"/>
  <c r="L120" i="9" s="1"/>
  <c r="AA120" i="9"/>
  <c r="AA87" i="9"/>
  <c r="AA73" i="9"/>
  <c r="AA66" i="9"/>
  <c r="AA22" i="9"/>
  <c r="I90" i="9" l="1"/>
  <c r="AC42" i="3"/>
  <c r="AB41" i="3"/>
  <c r="AB35" i="3"/>
  <c r="AA75" i="9"/>
  <c r="AB88" i="9"/>
  <c r="AA25" i="9"/>
  <c r="I75" i="9"/>
  <c r="L75" i="9" s="1"/>
  <c r="I25" i="9"/>
  <c r="L25" i="9" s="1"/>
  <c r="I23" i="9"/>
  <c r="L23" i="9" s="1"/>
  <c r="AA23" i="9"/>
  <c r="O72" i="5"/>
  <c r="P72" i="5"/>
  <c r="Q72" i="5"/>
  <c r="R72" i="5"/>
  <c r="S72" i="5"/>
  <c r="T72" i="5"/>
  <c r="U72" i="5"/>
  <c r="V72" i="5"/>
  <c r="W72" i="5"/>
  <c r="Y72" i="5"/>
  <c r="N72" i="5"/>
  <c r="O49" i="5"/>
  <c r="P49" i="5"/>
  <c r="Q49" i="5"/>
  <c r="R49" i="5"/>
  <c r="S49" i="5"/>
  <c r="T49" i="5"/>
  <c r="U49" i="5"/>
  <c r="V49" i="5"/>
  <c r="W49" i="5"/>
  <c r="X49" i="5"/>
  <c r="Y49" i="5"/>
  <c r="N49" i="5"/>
  <c r="I72" i="5"/>
  <c r="I58" i="5"/>
  <c r="I49" i="5"/>
  <c r="E49" i="5"/>
  <c r="F49" i="5"/>
  <c r="G49" i="5"/>
  <c r="H49" i="5"/>
  <c r="AA46" i="4"/>
  <c r="AA37" i="4"/>
  <c r="AA13" i="4"/>
  <c r="I26" i="9" l="1"/>
  <c r="L26" i="9" s="1"/>
  <c r="AB42" i="3"/>
  <c r="AA57" i="4"/>
  <c r="AB90" i="9"/>
  <c r="AA67" i="9"/>
  <c r="AA45" i="9"/>
  <c r="AA81" i="9" s="1"/>
  <c r="AA83" i="9" s="1"/>
  <c r="AA26" i="9"/>
  <c r="Y74" i="5"/>
  <c r="W74" i="5"/>
  <c r="AA23" i="4"/>
  <c r="I74" i="5"/>
  <c r="I46" i="4" l="1"/>
  <c r="L46" i="4" s="1"/>
  <c r="I37" i="4"/>
  <c r="L37" i="4" s="1"/>
  <c r="L13" i="4"/>
  <c r="I23" i="4" l="1"/>
  <c r="L23" i="4" s="1"/>
  <c r="I57" i="4"/>
  <c r="L57" i="4" s="1"/>
  <c r="AA37" i="3" l="1"/>
  <c r="AA17" i="3"/>
  <c r="AA10" i="3"/>
  <c r="AA16" i="3" s="1"/>
  <c r="AA6" i="3"/>
  <c r="I37" i="3"/>
  <c r="I17" i="3"/>
  <c r="I10" i="3"/>
  <c r="I16" i="3" s="1"/>
  <c r="I6" i="3"/>
  <c r="L6" i="3" s="1"/>
  <c r="I15" i="3" l="1"/>
  <c r="AA15" i="3"/>
  <c r="AA43" i="9"/>
  <c r="AA46" i="9"/>
  <c r="I22" i="3" l="1"/>
  <c r="L22" i="3" s="1"/>
  <c r="L15" i="3"/>
  <c r="I20" i="3"/>
  <c r="I26" i="3"/>
  <c r="AA20" i="3"/>
  <c r="AA26" i="3"/>
  <c r="AA22" i="3"/>
  <c r="I28" i="3"/>
  <c r="L28" i="3" s="1"/>
  <c r="I23" i="3"/>
  <c r="X72" i="5"/>
  <c r="Z120" i="9"/>
  <c r="Z87" i="9"/>
  <c r="W82" i="9"/>
  <c r="H82" i="9"/>
  <c r="G83" i="9"/>
  <c r="X83" i="9"/>
  <c r="P82" i="9"/>
  <c r="U58" i="5"/>
  <c r="S58" i="5"/>
  <c r="R58" i="5"/>
  <c r="Q58" i="5"/>
  <c r="P58" i="5"/>
  <c r="O58" i="5"/>
  <c r="N58" i="5"/>
  <c r="H58" i="5"/>
  <c r="G58" i="5"/>
  <c r="F58" i="5"/>
  <c r="E58" i="5"/>
  <c r="T58" i="5"/>
  <c r="AA28" i="3" l="1"/>
  <c r="AA34" i="3" s="1"/>
  <c r="AA23" i="3"/>
  <c r="AA88" i="9"/>
  <c r="I34" i="3"/>
  <c r="L34" i="3" s="1"/>
  <c r="I29" i="3"/>
  <c r="Z88" i="9"/>
  <c r="AA29" i="3" l="1"/>
  <c r="AA90" i="9"/>
  <c r="I35" i="3"/>
  <c r="I41" i="3"/>
  <c r="L41" i="3" s="1"/>
  <c r="AA35" i="3"/>
  <c r="AA41" i="3"/>
  <c r="F42" i="9" l="1"/>
  <c r="I42" i="3"/>
  <c r="AA42" i="3"/>
  <c r="G42" i="9"/>
  <c r="E42" i="9"/>
  <c r="Z73" i="9"/>
  <c r="Z75" i="9" l="1"/>
  <c r="Z66" i="9"/>
  <c r="Z22" i="9"/>
  <c r="Z25" i="9" l="1"/>
  <c r="Z23" i="9"/>
  <c r="X74" i="5"/>
  <c r="Z37" i="4"/>
  <c r="Z26" i="9" l="1"/>
  <c r="Z46" i="4"/>
  <c r="Z13" i="4"/>
  <c r="Z57" i="4" l="1"/>
  <c r="Z23" i="4"/>
  <c r="Z37" i="3"/>
  <c r="Z17" i="3"/>
  <c r="Z10" i="3"/>
  <c r="Z16" i="3" s="1"/>
  <c r="Z6" i="3"/>
  <c r="Z15" i="3" l="1"/>
  <c r="Z26" i="3" l="1"/>
  <c r="Z22" i="3"/>
  <c r="Z20" i="3"/>
  <c r="Z23" i="3" l="1"/>
  <c r="Z28" i="3"/>
  <c r="Z34" i="3" l="1"/>
  <c r="Z29" i="3"/>
  <c r="X17" i="3"/>
  <c r="X120" i="9"/>
  <c r="W120" i="9"/>
  <c r="X87" i="9"/>
  <c r="X73" i="9"/>
  <c r="X66" i="9"/>
  <c r="G17" i="3"/>
  <c r="F17" i="3"/>
  <c r="E17" i="3"/>
  <c r="H17" i="3"/>
  <c r="W17" i="3"/>
  <c r="V17" i="3"/>
  <c r="U17" i="3"/>
  <c r="T17" i="3"/>
  <c r="S17" i="3"/>
  <c r="R17" i="3"/>
  <c r="Q17" i="3"/>
  <c r="P17" i="3"/>
  <c r="Z41" i="3" l="1"/>
  <c r="Z35" i="3"/>
  <c r="X75" i="9"/>
  <c r="X37" i="3"/>
  <c r="X6" i="3"/>
  <c r="Z42" i="3" l="1"/>
  <c r="Z30" i="9"/>
  <c r="Z35" i="9" s="1"/>
  <c r="Z38" i="9" s="1"/>
  <c r="X22" i="9"/>
  <c r="X46" i="4"/>
  <c r="X37" i="4"/>
  <c r="X13" i="4"/>
  <c r="X10" i="3"/>
  <c r="X16" i="3" s="1"/>
  <c r="Z42" i="9" l="1"/>
  <c r="X57" i="4"/>
  <c r="X15" i="3"/>
  <c r="X25" i="9"/>
  <c r="X23" i="9"/>
  <c r="V74" i="5"/>
  <c r="X23" i="4"/>
  <c r="U74" i="5"/>
  <c r="X26" i="9" l="1"/>
  <c r="X20" i="3"/>
  <c r="X22" i="3"/>
  <c r="X26" i="3"/>
  <c r="Z43" i="9" l="1"/>
  <c r="Z67" i="9"/>
  <c r="Z45" i="9"/>
  <c r="X23" i="3"/>
  <c r="X28" i="3"/>
  <c r="Z46" i="9" l="1"/>
  <c r="Z81" i="9"/>
  <c r="Z83" i="9" s="1"/>
  <c r="X34" i="3"/>
  <c r="X29" i="3"/>
  <c r="Z90" i="9" l="1"/>
  <c r="X41" i="3"/>
  <c r="X35" i="3"/>
  <c r="E83" i="9"/>
  <c r="E90" i="9" s="1"/>
  <c r="F83" i="9"/>
  <c r="H9" i="9"/>
  <c r="H19" i="9"/>
  <c r="E22" i="9"/>
  <c r="E23" i="9" s="1"/>
  <c r="F22" i="9"/>
  <c r="F25" i="9" s="1"/>
  <c r="F26" i="9" s="1"/>
  <c r="G22" i="9"/>
  <c r="P22" i="9"/>
  <c r="P23" i="9" s="1"/>
  <c r="Q22" i="9"/>
  <c r="Q25" i="9" s="1"/>
  <c r="Q26" i="9" s="1"/>
  <c r="R22" i="9"/>
  <c r="R25" i="9" s="1"/>
  <c r="R26" i="9" s="1"/>
  <c r="S22" i="9"/>
  <c r="S25" i="9" s="1"/>
  <c r="S26" i="9" s="1"/>
  <c r="T22" i="9"/>
  <c r="U22" i="9"/>
  <c r="V22" i="9"/>
  <c r="W22" i="9"/>
  <c r="H24" i="9"/>
  <c r="H31" i="9"/>
  <c r="H32" i="9"/>
  <c r="H33" i="9"/>
  <c r="H34" i="9"/>
  <c r="H40" i="9"/>
  <c r="H37" i="9"/>
  <c r="H51" i="9"/>
  <c r="H53" i="9"/>
  <c r="H54" i="9"/>
  <c r="H55" i="9"/>
  <c r="H57" i="9"/>
  <c r="H58" i="9"/>
  <c r="H59" i="9"/>
  <c r="H60" i="9"/>
  <c r="H96" i="9" s="1"/>
  <c r="H61" i="9"/>
  <c r="H62" i="9"/>
  <c r="H63" i="9"/>
  <c r="H65" i="9"/>
  <c r="E66" i="9"/>
  <c r="F66" i="9"/>
  <c r="G66" i="9"/>
  <c r="P66" i="9"/>
  <c r="Q66" i="9"/>
  <c r="R66" i="9"/>
  <c r="S66" i="9"/>
  <c r="T66" i="9"/>
  <c r="U66" i="9"/>
  <c r="V66" i="9"/>
  <c r="W66" i="9"/>
  <c r="H71" i="9"/>
  <c r="P71" i="9"/>
  <c r="Q71" i="9"/>
  <c r="R71" i="9"/>
  <c r="S71" i="9"/>
  <c r="T71" i="9"/>
  <c r="U71" i="9"/>
  <c r="V71" i="9"/>
  <c r="H72" i="9"/>
  <c r="P72" i="9"/>
  <c r="Q72" i="9"/>
  <c r="R72" i="9"/>
  <c r="S72" i="9"/>
  <c r="T72" i="9"/>
  <c r="U72" i="9"/>
  <c r="V72" i="9"/>
  <c r="E73" i="9"/>
  <c r="E75" i="9" s="1"/>
  <c r="E77" i="9" s="1"/>
  <c r="F73" i="9"/>
  <c r="G73" i="9"/>
  <c r="G75" i="9" s="1"/>
  <c r="G77" i="9" s="1"/>
  <c r="Q82" i="9"/>
  <c r="R82" i="9"/>
  <c r="S82" i="9"/>
  <c r="T82" i="9"/>
  <c r="U82" i="9"/>
  <c r="V82" i="9"/>
  <c r="H85" i="9"/>
  <c r="H86" i="9"/>
  <c r="E87" i="9"/>
  <c r="F87" i="9"/>
  <c r="G87" i="9"/>
  <c r="P87" i="9"/>
  <c r="Q87" i="9"/>
  <c r="R87" i="9"/>
  <c r="S87" i="9"/>
  <c r="T87" i="9"/>
  <c r="U87" i="9"/>
  <c r="V87" i="9"/>
  <c r="W87" i="9"/>
  <c r="H120" i="9"/>
  <c r="P120" i="9"/>
  <c r="Q120" i="9"/>
  <c r="R120" i="9"/>
  <c r="S120" i="9"/>
  <c r="T120" i="9"/>
  <c r="U120" i="9"/>
  <c r="V120" i="9"/>
  <c r="H103" i="9" l="1"/>
  <c r="X88" i="9"/>
  <c r="V25" i="9"/>
  <c r="F90" i="9"/>
  <c r="U25" i="9"/>
  <c r="H87" i="9"/>
  <c r="F45" i="9"/>
  <c r="E45" i="9"/>
  <c r="T23" i="9"/>
  <c r="P73" i="9"/>
  <c r="P75" i="9" s="1"/>
  <c r="X30" i="9"/>
  <c r="X42" i="3"/>
  <c r="S73" i="9"/>
  <c r="S75" i="9" s="1"/>
  <c r="R73" i="9"/>
  <c r="R75" i="9" s="1"/>
  <c r="V23" i="9"/>
  <c r="G25" i="9"/>
  <c r="G26" i="9" s="1"/>
  <c r="W23" i="9"/>
  <c r="U23" i="9"/>
  <c r="G23" i="9"/>
  <c r="S23" i="9"/>
  <c r="F67" i="9"/>
  <c r="F23" i="9"/>
  <c r="Q73" i="9"/>
  <c r="Q75" i="9" s="1"/>
  <c r="U73" i="9"/>
  <c r="H22" i="9"/>
  <c r="H73" i="9"/>
  <c r="T73" i="9"/>
  <c r="W25" i="9"/>
  <c r="V73" i="9"/>
  <c r="P25" i="9"/>
  <c r="P26" i="9" s="1"/>
  <c r="E67" i="9"/>
  <c r="G45" i="9"/>
  <c r="Q23" i="9"/>
  <c r="E25" i="9"/>
  <c r="E26" i="9" s="1"/>
  <c r="R23" i="9"/>
  <c r="T25" i="9"/>
  <c r="V88" i="9"/>
  <c r="H66" i="9"/>
  <c r="G67" i="9"/>
  <c r="G90" i="9"/>
  <c r="F75" i="9"/>
  <c r="F77" i="9" s="1"/>
  <c r="W88" i="9"/>
  <c r="I30" i="9" l="1"/>
  <c r="X35" i="9"/>
  <c r="X38" i="9" s="1"/>
  <c r="V75" i="9"/>
  <c r="V26" i="9"/>
  <c r="U75" i="9"/>
  <c r="U26" i="9"/>
  <c r="X90" i="9"/>
  <c r="T75" i="9"/>
  <c r="W26" i="9"/>
  <c r="T26" i="9"/>
  <c r="H75" i="9"/>
  <c r="H23" i="9"/>
  <c r="H25" i="9"/>
  <c r="X42" i="9" l="1"/>
  <c r="I35" i="9"/>
  <c r="H26" i="9"/>
  <c r="I77" i="9" l="1"/>
  <c r="I38" i="9"/>
  <c r="I42" i="9" s="1"/>
  <c r="L42" i="9" s="1"/>
  <c r="X43" i="9"/>
  <c r="X45" i="9"/>
  <c r="X46" i="9" s="1"/>
  <c r="X67" i="9"/>
  <c r="W51" i="4"/>
  <c r="W48" i="4"/>
  <c r="W45" i="4"/>
  <c r="W44" i="4"/>
  <c r="W43" i="4"/>
  <c r="W42" i="4"/>
  <c r="W41" i="4"/>
  <c r="W40" i="4"/>
  <c r="W36" i="4"/>
  <c r="W35" i="4"/>
  <c r="W34" i="4"/>
  <c r="W32" i="4"/>
  <c r="W31" i="4"/>
  <c r="W30" i="4"/>
  <c r="W29" i="4"/>
  <c r="W28" i="4"/>
  <c r="W27" i="4"/>
  <c r="W71" i="9" s="1"/>
  <c r="W25" i="4"/>
  <c r="W19" i="4"/>
  <c r="W18" i="4"/>
  <c r="W17" i="4"/>
  <c r="W15" i="4"/>
  <c r="W11" i="4"/>
  <c r="W10" i="4"/>
  <c r="W8" i="4"/>
  <c r="H72" i="5"/>
  <c r="W55" i="4" l="1"/>
  <c r="I43" i="9"/>
  <c r="I67" i="9"/>
  <c r="I45" i="9"/>
  <c r="I46" i="9" s="1"/>
  <c r="W21" i="4"/>
  <c r="W72" i="9"/>
  <c r="W46" i="4"/>
  <c r="H74" i="5"/>
  <c r="W73" i="9" l="1"/>
  <c r="H76" i="5"/>
  <c r="W75" i="9" l="1"/>
  <c r="H77" i="5"/>
  <c r="I76" i="5" s="1"/>
  <c r="I77" i="5" s="1"/>
  <c r="J76" i="5" s="1"/>
  <c r="J77" i="5" s="1"/>
  <c r="V10" i="3" l="1"/>
  <c r="V16" i="3" s="1"/>
  <c r="U10" i="3"/>
  <c r="U16" i="3" s="1"/>
  <c r="T10" i="3"/>
  <c r="T16" i="3" s="1"/>
  <c r="S10" i="3"/>
  <c r="S16" i="3" s="1"/>
  <c r="R10" i="3"/>
  <c r="R16" i="3" s="1"/>
  <c r="Q10" i="3"/>
  <c r="Q16" i="3" s="1"/>
  <c r="P10" i="3"/>
  <c r="P16" i="3" s="1"/>
  <c r="G10" i="3"/>
  <c r="G16" i="3" s="1"/>
  <c r="F10" i="3"/>
  <c r="F16" i="3" s="1"/>
  <c r="E10" i="3"/>
  <c r="E16" i="3" s="1"/>
  <c r="H13" i="3"/>
  <c r="H12" i="3"/>
  <c r="G43" i="9" l="1"/>
  <c r="G46" i="9"/>
  <c r="E43" i="9"/>
  <c r="E46" i="9"/>
  <c r="F43" i="9"/>
  <c r="F46" i="9"/>
  <c r="H10" i="3"/>
  <c r="H16" i="3" s="1"/>
  <c r="W10" i="3"/>
  <c r="W16" i="3" s="1"/>
  <c r="W37" i="3" l="1"/>
  <c r="W6" i="3"/>
  <c r="W15" i="3" l="1"/>
  <c r="Q74" i="5"/>
  <c r="N74" i="5"/>
  <c r="N77" i="5" s="1"/>
  <c r="P74" i="5"/>
  <c r="O74" i="5"/>
  <c r="T74" i="5"/>
  <c r="R74" i="5"/>
  <c r="S74" i="5"/>
  <c r="H37" i="3"/>
  <c r="H6" i="3"/>
  <c r="S37" i="3"/>
  <c r="G37" i="3"/>
  <c r="F37" i="3"/>
  <c r="E37" i="3"/>
  <c r="G6" i="3"/>
  <c r="F6" i="3"/>
  <c r="F15" i="3" s="1"/>
  <c r="E6" i="3"/>
  <c r="U37" i="3"/>
  <c r="T37" i="3"/>
  <c r="R37" i="3"/>
  <c r="Q37" i="3"/>
  <c r="P37" i="3"/>
  <c r="V37" i="3"/>
  <c r="W22" i="3" l="1"/>
  <c r="W20" i="3"/>
  <c r="W26" i="3"/>
  <c r="G15" i="3"/>
  <c r="G22" i="3" s="1"/>
  <c r="H15" i="3"/>
  <c r="O76" i="5"/>
  <c r="O77" i="5" s="1"/>
  <c r="E15" i="3"/>
  <c r="F20" i="3"/>
  <c r="F26" i="3"/>
  <c r="F22" i="3"/>
  <c r="U6" i="3"/>
  <c r="T6" i="3"/>
  <c r="S6" i="3"/>
  <c r="R6" i="3"/>
  <c r="R15" i="3" s="1"/>
  <c r="R22" i="3" s="1"/>
  <c r="R28" i="3" s="1"/>
  <c r="Q6" i="3"/>
  <c r="Q15" i="3" s="1"/>
  <c r="P6" i="3"/>
  <c r="P15" i="3" s="1"/>
  <c r="P22" i="3" s="1"/>
  <c r="P23" i="3" s="1"/>
  <c r="V6" i="3"/>
  <c r="H22" i="3" l="1"/>
  <c r="W28" i="3"/>
  <c r="W29" i="3" s="1"/>
  <c r="H20" i="3"/>
  <c r="W23" i="3"/>
  <c r="U15" i="3"/>
  <c r="U22" i="3" s="1"/>
  <c r="T15" i="3"/>
  <c r="T20" i="3" s="1"/>
  <c r="E20" i="3"/>
  <c r="G26" i="3"/>
  <c r="E26" i="3"/>
  <c r="H26" i="3"/>
  <c r="G23" i="3"/>
  <c r="G20" i="3"/>
  <c r="H28" i="3"/>
  <c r="H23" i="3"/>
  <c r="P76" i="5"/>
  <c r="P77" i="5" s="1"/>
  <c r="Q76" i="5" s="1"/>
  <c r="Q77" i="5" s="1"/>
  <c r="E22" i="3"/>
  <c r="E28" i="3" s="1"/>
  <c r="S15" i="3"/>
  <c r="S22" i="3" s="1"/>
  <c r="G28" i="3"/>
  <c r="F23" i="3"/>
  <c r="F28" i="3"/>
  <c r="P20" i="3"/>
  <c r="P26" i="3"/>
  <c r="P28" i="3"/>
  <c r="P29" i="3" s="1"/>
  <c r="R23" i="3"/>
  <c r="R20" i="3"/>
  <c r="R26" i="3"/>
  <c r="Q22" i="3"/>
  <c r="Q20" i="3"/>
  <c r="Q26" i="3"/>
  <c r="V15" i="3"/>
  <c r="R29" i="3"/>
  <c r="R34" i="3"/>
  <c r="T22" i="3" l="1"/>
  <c r="W34" i="3"/>
  <c r="W41" i="3" s="1"/>
  <c r="H29" i="3"/>
  <c r="T26" i="3"/>
  <c r="U20" i="3"/>
  <c r="U26" i="3"/>
  <c r="P34" i="3"/>
  <c r="P35" i="3" s="1"/>
  <c r="S26" i="3"/>
  <c r="G34" i="3"/>
  <c r="G41" i="3" s="1"/>
  <c r="H34" i="3"/>
  <c r="R76" i="5"/>
  <c r="R77" i="5" s="1"/>
  <c r="S20" i="3"/>
  <c r="E23" i="3"/>
  <c r="E29" i="3"/>
  <c r="E34" i="3"/>
  <c r="S23" i="3"/>
  <c r="S28" i="3"/>
  <c r="G29" i="3"/>
  <c r="F29" i="3"/>
  <c r="F34" i="3"/>
  <c r="T23" i="3"/>
  <c r="T28" i="3"/>
  <c r="Q23" i="3"/>
  <c r="Q28" i="3"/>
  <c r="U23" i="3"/>
  <c r="U28" i="3"/>
  <c r="V26" i="3"/>
  <c r="V20" i="3"/>
  <c r="V22" i="3"/>
  <c r="R35" i="3"/>
  <c r="R41" i="3"/>
  <c r="W35" i="3" l="1"/>
  <c r="H35" i="3"/>
  <c r="P41" i="3"/>
  <c r="P30" i="9" s="1"/>
  <c r="P35" i="9" s="1"/>
  <c r="P38" i="9" s="1"/>
  <c r="W30" i="9"/>
  <c r="W35" i="9" s="1"/>
  <c r="W38" i="9" s="1"/>
  <c r="R30" i="9"/>
  <c r="R35" i="9" s="1"/>
  <c r="R38" i="9" s="1"/>
  <c r="W42" i="3"/>
  <c r="G35" i="3"/>
  <c r="H41" i="3"/>
  <c r="G42" i="3"/>
  <c r="S76" i="5"/>
  <c r="S77" i="5" s="1"/>
  <c r="E35" i="3"/>
  <c r="E41" i="3"/>
  <c r="E42" i="3" s="1"/>
  <c r="S34" i="3"/>
  <c r="S29" i="3"/>
  <c r="F35" i="3"/>
  <c r="F41" i="3"/>
  <c r="F42" i="3" s="1"/>
  <c r="T29" i="3"/>
  <c r="T34" i="3"/>
  <c r="Q34" i="3"/>
  <c r="Q29" i="3"/>
  <c r="V23" i="3"/>
  <c r="V28" i="3"/>
  <c r="U29" i="3"/>
  <c r="U34" i="3"/>
  <c r="R42" i="3"/>
  <c r="R42" i="9" l="1"/>
  <c r="W42" i="9"/>
  <c r="P42" i="9"/>
  <c r="P45" i="9" s="1"/>
  <c r="P46" i="9" s="1"/>
  <c r="P42" i="3"/>
  <c r="H42" i="3"/>
  <c r="R43" i="9"/>
  <c r="T76" i="5"/>
  <c r="T77" i="5" s="1"/>
  <c r="S35" i="3"/>
  <c r="S41" i="3"/>
  <c r="T41" i="3"/>
  <c r="T35" i="3"/>
  <c r="Q35" i="3"/>
  <c r="Q41" i="3"/>
  <c r="V34" i="3"/>
  <c r="V29" i="3"/>
  <c r="U41" i="3"/>
  <c r="U35" i="3"/>
  <c r="F46" i="4"/>
  <c r="W67" i="9" l="1"/>
  <c r="R67" i="9"/>
  <c r="R45" i="9"/>
  <c r="R46" i="9" s="1"/>
  <c r="P43" i="9"/>
  <c r="P67" i="9"/>
  <c r="T30" i="9"/>
  <c r="T35" i="9" s="1"/>
  <c r="T38" i="9" s="1"/>
  <c r="P81" i="9"/>
  <c r="P83" i="9" s="1"/>
  <c r="P90" i="9" s="1"/>
  <c r="S30" i="9"/>
  <c r="S35" i="9" s="1"/>
  <c r="S38" i="9" s="1"/>
  <c r="U30" i="9"/>
  <c r="U35" i="9" s="1"/>
  <c r="U38" i="9" s="1"/>
  <c r="Q30" i="9"/>
  <c r="Q35" i="9" s="1"/>
  <c r="Q38" i="9" s="1"/>
  <c r="S42" i="3"/>
  <c r="Q42" i="3"/>
  <c r="U42" i="3"/>
  <c r="T42" i="3"/>
  <c r="U76" i="5"/>
  <c r="U77" i="5" s="1"/>
  <c r="V41" i="3"/>
  <c r="V35" i="3"/>
  <c r="S37" i="4"/>
  <c r="U37" i="4"/>
  <c r="E46" i="4"/>
  <c r="G46" i="4"/>
  <c r="F37" i="4"/>
  <c r="E37" i="4"/>
  <c r="G37" i="4"/>
  <c r="U13" i="4"/>
  <c r="T13" i="4"/>
  <c r="S13" i="4"/>
  <c r="R13" i="4"/>
  <c r="Q13" i="4"/>
  <c r="P13" i="4"/>
  <c r="T37" i="4"/>
  <c r="R37" i="4"/>
  <c r="Q37" i="4"/>
  <c r="P37" i="4"/>
  <c r="U46" i="4"/>
  <c r="T46" i="4"/>
  <c r="S46" i="4"/>
  <c r="R46" i="4"/>
  <c r="Q46" i="4"/>
  <c r="P46" i="4"/>
  <c r="V46" i="4"/>
  <c r="V37" i="4"/>
  <c r="V13" i="4"/>
  <c r="Q42" i="9" l="1"/>
  <c r="T42" i="9"/>
  <c r="U42" i="9"/>
  <c r="S42" i="9"/>
  <c r="S43" i="9" s="1"/>
  <c r="W45" i="9"/>
  <c r="W46" i="9" s="1"/>
  <c r="W43" i="9"/>
  <c r="R81" i="9"/>
  <c r="R83" i="9" s="1"/>
  <c r="R90" i="9" s="1"/>
  <c r="Q43" i="9"/>
  <c r="V30" i="9"/>
  <c r="V35" i="9" s="1"/>
  <c r="V38" i="9" s="1"/>
  <c r="V42" i="9" s="1"/>
  <c r="V76" i="5"/>
  <c r="V77" i="5" s="1"/>
  <c r="V23" i="4"/>
  <c r="V42" i="3"/>
  <c r="P23" i="4"/>
  <c r="F57" i="4"/>
  <c r="E57" i="4"/>
  <c r="G57" i="4"/>
  <c r="E23" i="4"/>
  <c r="F23" i="4"/>
  <c r="G23" i="4"/>
  <c r="Q23" i="4"/>
  <c r="R23" i="4"/>
  <c r="T23" i="4"/>
  <c r="S57" i="4"/>
  <c r="S23" i="4"/>
  <c r="R57" i="4"/>
  <c r="T57" i="4"/>
  <c r="P57" i="4"/>
  <c r="Q57" i="4"/>
  <c r="U57" i="4"/>
  <c r="U23" i="4"/>
  <c r="W81" i="9" l="1"/>
  <c r="W83" i="9" s="1"/>
  <c r="W90" i="9" s="1"/>
  <c r="W76" i="5"/>
  <c r="W77" i="5" s="1"/>
  <c r="X76" i="5" s="1"/>
  <c r="X77" i="5" s="1"/>
  <c r="Y76" i="5" s="1"/>
  <c r="Y77" i="5" s="1"/>
  <c r="Z76" i="5" s="1"/>
  <c r="Z77" i="5" s="1"/>
  <c r="U67" i="9"/>
  <c r="U45" i="9"/>
  <c r="U46" i="9" s="1"/>
  <c r="Q67" i="9"/>
  <c r="U43" i="9"/>
  <c r="Q45" i="9"/>
  <c r="Q46" i="9" s="1"/>
  <c r="T45" i="9"/>
  <c r="T46" i="9" s="1"/>
  <c r="S67" i="9"/>
  <c r="S45" i="9"/>
  <c r="S46" i="9" s="1"/>
  <c r="H30" i="9"/>
  <c r="H35" i="9" l="1"/>
  <c r="AA76" i="5"/>
  <c r="AA77" i="5" s="1"/>
  <c r="AB76" i="5" s="1"/>
  <c r="AB77" i="5" s="1"/>
  <c r="AC76" i="5" s="1"/>
  <c r="AC77" i="5" s="1"/>
  <c r="AD76" i="5" s="1"/>
  <c r="AD77" i="5" s="1"/>
  <c r="AE76" i="5" s="1"/>
  <c r="AF76" i="5" s="1"/>
  <c r="AG76" i="5" s="1"/>
  <c r="U81" i="9"/>
  <c r="U83" i="9" s="1"/>
  <c r="Q81" i="9"/>
  <c r="Q83" i="9" s="1"/>
  <c r="Q90" i="9" s="1"/>
  <c r="T43" i="9"/>
  <c r="T67" i="9"/>
  <c r="S81" i="9"/>
  <c r="S83" i="9" s="1"/>
  <c r="S90" i="9" s="1"/>
  <c r="T81" i="9"/>
  <c r="T83" i="9" s="1"/>
  <c r="W13" i="4"/>
  <c r="AH76" i="5" l="1"/>
  <c r="AH77" i="5" s="1"/>
  <c r="H77" i="9"/>
  <c r="H38" i="9"/>
  <c r="H42" i="9"/>
  <c r="U90" i="9"/>
  <c r="V43" i="9"/>
  <c r="V45" i="9"/>
  <c r="V67" i="9"/>
  <c r="T90" i="9"/>
  <c r="W23" i="4"/>
  <c r="H23" i="4"/>
  <c r="H43" i="9" l="1"/>
  <c r="H67" i="9"/>
  <c r="H45" i="9"/>
  <c r="H46" i="9" s="1"/>
  <c r="V46" i="9"/>
  <c r="V81" i="9"/>
  <c r="V83" i="9" s="1"/>
  <c r="W37" i="4"/>
  <c r="H81" i="9" l="1"/>
  <c r="H83" i="9" s="1"/>
  <c r="V90" i="9"/>
  <c r="H90" i="9"/>
  <c r="H37" i="4"/>
  <c r="W57" i="4" l="1"/>
  <c r="H46" i="4"/>
  <c r="H57" i="4" l="1"/>
  <c r="V57" i="4" l="1"/>
</calcChain>
</file>

<file path=xl/sharedStrings.xml><?xml version="1.0" encoding="utf-8"?>
<sst xmlns="http://schemas.openxmlformats.org/spreadsheetml/2006/main" count="734" uniqueCount="438">
  <si>
    <t>Em milhares de R$</t>
  </si>
  <si>
    <t>1T21</t>
  </si>
  <si>
    <t>2T21</t>
  </si>
  <si>
    <t>CAPEX</t>
  </si>
  <si>
    <t>% receita líquida</t>
  </si>
  <si>
    <t>Dívida líquida</t>
  </si>
  <si>
    <t>ROIC Ajustado</t>
  </si>
  <si>
    <t>Demonstrações de Resultados</t>
  </si>
  <si>
    <t>Receita bruta de aluguel e serviços</t>
  </si>
  <si>
    <t>Receita bruta da venda de ativos</t>
  </si>
  <si>
    <t>PIS/COFINS</t>
  </si>
  <si>
    <t>ISS</t>
  </si>
  <si>
    <t>( − ) Custo dos serviços prestados</t>
  </si>
  <si>
    <t>( − ) Despesas operacionais</t>
  </si>
  <si>
    <t>Lucro Líquido</t>
  </si>
  <si>
    <t>Balanços Patrimoniais</t>
  </si>
  <si>
    <t>Caixa e equivalentes de caixa</t>
  </si>
  <si>
    <t>Contas a receber de clientes</t>
  </si>
  <si>
    <t>Estoques</t>
  </si>
  <si>
    <t>Tributos a recuperar</t>
  </si>
  <si>
    <t>Outros ativos</t>
  </si>
  <si>
    <t>Ativo circulante</t>
  </si>
  <si>
    <t xml:space="preserve">Imobilizado </t>
  </si>
  <si>
    <t>Intangível</t>
  </si>
  <si>
    <t>Ativo não circulante</t>
  </si>
  <si>
    <t>Total do ativo</t>
  </si>
  <si>
    <t>Fornecedores</t>
  </si>
  <si>
    <t>Empréstimos e financiamentos</t>
  </si>
  <si>
    <t>Arrendamento por direito de uso</t>
  </si>
  <si>
    <t>Obrigações sociais e trabalhistas</t>
  </si>
  <si>
    <t>Obrigações tributárias</t>
  </si>
  <si>
    <t>Dividendos a pagar</t>
  </si>
  <si>
    <t>Outras contas a pagar</t>
  </si>
  <si>
    <t>Passivo circulante</t>
  </si>
  <si>
    <t>Parcelamentos de tributos</t>
  </si>
  <si>
    <t>Tributos diferidos</t>
  </si>
  <si>
    <t>Outros passivos</t>
  </si>
  <si>
    <t>Passivo não circulante</t>
  </si>
  <si>
    <t>Reserva de lucros</t>
  </si>
  <si>
    <t>Patrimônio líquido</t>
  </si>
  <si>
    <t>Total do passivo e patrimônio líquido</t>
  </si>
  <si>
    <t>Demonstrações do Fluxo de Caixa</t>
  </si>
  <si>
    <t>Lucro antes do imposto de renda e da contribuição social</t>
  </si>
  <si>
    <t>Ajustado por</t>
  </si>
  <si>
    <t>Depreciação e amortização</t>
  </si>
  <si>
    <t>Custo na baixa de ativos desmobilizados</t>
  </si>
  <si>
    <t>Provisão de contas a pagar</t>
  </si>
  <si>
    <t>Outras movimentações</t>
  </si>
  <si>
    <t>Perda no recebimento de crédito</t>
  </si>
  <si>
    <t>Provisão de créditos de liquidação duvidosa</t>
  </si>
  <si>
    <t xml:space="preserve">Encargos sobre arrendamento direto de uso </t>
  </si>
  <si>
    <t>Juros sobre empréstimos e financiamentos</t>
  </si>
  <si>
    <t>Variações nos ativos e passivos</t>
  </si>
  <si>
    <t>Impostos a recuperar</t>
  </si>
  <si>
    <t>Obrigações trabalhistas e previdenciárias</t>
  </si>
  <si>
    <t>Juros sobre financiamentos</t>
  </si>
  <si>
    <t>Juros sobre arrendamento de direito de uso</t>
  </si>
  <si>
    <t>Juros sobre parcelamentos</t>
  </si>
  <si>
    <t>Aquisição de ativos imobilizados</t>
  </si>
  <si>
    <t>Recebimento pela venda de imobilizado</t>
  </si>
  <si>
    <t>Imposto de renda e contribuição social pagos no exercício</t>
  </si>
  <si>
    <t>Caixa líquido proveniente das atividades operacionais</t>
  </si>
  <si>
    <t>Fluxo de Caixa das Atividades de Investimento</t>
  </si>
  <si>
    <t>Aquisição de ativos intangíveis</t>
  </si>
  <si>
    <t>Caixa líquido aplicado nas atividades de investimento</t>
  </si>
  <si>
    <t>Fluxo de Caixa das Atividades de Financiamento</t>
  </si>
  <si>
    <t>Captação de empréstimos e financiamentos</t>
  </si>
  <si>
    <t>Captação de parcelamentos</t>
  </si>
  <si>
    <t>Aumento de capital</t>
  </si>
  <si>
    <t>Pagamento de empréstimos e financiamentos</t>
  </si>
  <si>
    <t>Pagamento de arrendamento de direito de uso</t>
  </si>
  <si>
    <t>Pagamento de parcelamentos</t>
  </si>
  <si>
    <t>Gasto na emissão de ações</t>
  </si>
  <si>
    <t>Caixa líquido gerado pelas atividades de financiamento</t>
  </si>
  <si>
    <t>Aumento líquido de caixa e equivalentes de caixa</t>
  </si>
  <si>
    <t>Caixa e equivalentes de caixa no início do exercício</t>
  </si>
  <si>
    <t>Caixa e equivalentes de caixa no fim do exercício</t>
  </si>
  <si>
    <t>Indicadores Financeiros</t>
  </si>
  <si>
    <t>Dívida Líquida</t>
  </si>
  <si>
    <t>Dívida bruta</t>
  </si>
  <si>
    <t>Imposto de renda corrente</t>
  </si>
  <si>
    <t>NOPAT</t>
  </si>
  <si>
    <t>Capital de giro</t>
  </si>
  <si>
    <t>Ativo imobilizado bruto / 2</t>
  </si>
  <si>
    <t>Capital investido</t>
  </si>
  <si>
    <t xml:space="preserve"> </t>
  </si>
  <si>
    <t>1T20</t>
  </si>
  <si>
    <t>2T20</t>
  </si>
  <si>
    <t>Caixa líq. das atividades operacionais</t>
  </si>
  <si>
    <t>Crédito de PIS/COFINS na aquis. de imob.</t>
  </si>
  <si>
    <t>Pgto. de arrendamento de direito de uso</t>
  </si>
  <si>
    <t>Receitas financeiras</t>
  </si>
  <si>
    <t>Despesas antecipadas do IPO</t>
  </si>
  <si>
    <t>Recebimento pela venda de imobilizado*</t>
  </si>
  <si>
    <t>* A partir do 2T21 o "Recebimento pela venda de imobilizado" passou a ser considerado como parte das atividades operacionais, não mais como parte das atividades de investimento</t>
  </si>
  <si>
    <t>3T20</t>
  </si>
  <si>
    <t>4T20</t>
  </si>
  <si>
    <t>3T21</t>
  </si>
  <si>
    <t>Partes Relacionadas</t>
  </si>
  <si>
    <t>Reserva de Capital</t>
  </si>
  <si>
    <t>Custo na baixa de ativos sinistrados e desmobilizados</t>
  </si>
  <si>
    <t>Aquisição de societária</t>
  </si>
  <si>
    <t>Resultado não recorrente</t>
  </si>
  <si>
    <t>Imposto de renda e cont. social</t>
  </si>
  <si>
    <t>Despesas financeiras</t>
  </si>
  <si>
    <t>AH YoY</t>
  </si>
  <si>
    <t>AH QoQ</t>
  </si>
  <si>
    <t>Insumos, peças e serviços de manutenção</t>
  </si>
  <si>
    <t>Combustível e custos de transporte</t>
  </si>
  <si>
    <t>Gratificação extraordinária</t>
  </si>
  <si>
    <t>Custos dos serviços prestados</t>
  </si>
  <si>
    <t>Despesas operacionais</t>
  </si>
  <si>
    <t>Despesas por Natureza</t>
  </si>
  <si>
    <t>FROTA DE LOCAÇÃO</t>
  </si>
  <si>
    <t>CAPEX Orgânico</t>
  </si>
  <si>
    <t>Aquisição de empresas</t>
  </si>
  <si>
    <t>CAPEX Total</t>
  </si>
  <si>
    <t>Receita operacional bruta</t>
  </si>
  <si>
    <t>( − ) Impostos sobre vendas</t>
  </si>
  <si>
    <t>Receita operacional líquida</t>
  </si>
  <si>
    <t>Lucro bruto</t>
  </si>
  <si>
    <t>Lucro operacional</t>
  </si>
  <si>
    <t>( + ) Receitas financeiras</t>
  </si>
  <si>
    <t>( − ) Depesas financeiras</t>
  </si>
  <si>
    <t>Lucro antes do IRCS</t>
  </si>
  <si>
    <t>( − ) Imposto de renda e contribuição social</t>
  </si>
  <si>
    <t>Diferido</t>
  </si>
  <si>
    <t>Corrente</t>
  </si>
  <si>
    <t>Lucro líquido</t>
  </si>
  <si>
    <t>Fluxo de Caixa Operacional Gerencial</t>
  </si>
  <si>
    <t>Efeito caixa de despesas não recorrentes</t>
  </si>
  <si>
    <t>Fluxo de caixa operacional gerencial</t>
  </si>
  <si>
    <t>Dívida financeira de curto prazo</t>
  </si>
  <si>
    <t>Dívida financeira de longo prazo</t>
  </si>
  <si>
    <t>Despesa com pessoal</t>
  </si>
  <si>
    <t>Despesa com assessores (*)</t>
  </si>
  <si>
    <t>Despesas administrativas e comerciais</t>
  </si>
  <si>
    <t>Provisão de crédito de liquidação duvidosa</t>
  </si>
  <si>
    <t>Outras receitas e despesas</t>
  </si>
  <si>
    <t>Depreciação</t>
  </si>
  <si>
    <t>Custo com pessoal</t>
  </si>
  <si>
    <t>Custo na venda de ativos</t>
  </si>
  <si>
    <t>Outros custos</t>
  </si>
  <si>
    <t>4T21</t>
  </si>
  <si>
    <t>Contas a pagar por aquisição de empresas</t>
  </si>
  <si>
    <t>x</t>
  </si>
  <si>
    <t>ICMS</t>
  </si>
  <si>
    <t>Outras receitas não operacionais</t>
  </si>
  <si>
    <t>Capital social</t>
  </si>
  <si>
    <t>Partes relacionadas</t>
  </si>
  <si>
    <t>Assunção Caixa</t>
  </si>
  <si>
    <t>Resultado da venda de ativos</t>
  </si>
  <si>
    <t># Equipamentos</t>
  </si>
  <si>
    <t>CAPEX mensal</t>
  </si>
  <si>
    <t>Capex mensal total</t>
  </si>
  <si>
    <t>% receita líquida de locação</t>
  </si>
  <si>
    <t>Captação de Parcelamentos</t>
  </si>
  <si>
    <t>(*) Incluí a despesa de R$ 1.572 referente ao assessor financeiro na aquisição de controlada.</t>
  </si>
  <si>
    <t>1T22</t>
  </si>
  <si>
    <t>Juros sobre capital próprio a pagar</t>
  </si>
  <si>
    <t>Gastos com emissão de ações</t>
  </si>
  <si>
    <t>Desconto financeiro obtidos</t>
  </si>
  <si>
    <t>Aplicação Financeira</t>
  </si>
  <si>
    <t>Receita líquida de aluguel e serviços</t>
  </si>
  <si>
    <t>Income Statement</t>
  </si>
  <si>
    <t>In thousands of Brazilian reais (R$)</t>
  </si>
  <si>
    <t>Gross operating revenue</t>
  </si>
  <si>
    <t>Gross revenue from rental and services</t>
  </si>
  <si>
    <t>Gross revenue from sale of assets</t>
  </si>
  <si>
    <t>( − ) Sales tax</t>
  </si>
  <si>
    <t>Net operating revenue</t>
  </si>
  <si>
    <t>Net revenue from rental and services</t>
  </si>
  <si>
    <t>Net revenue from sale of assets</t>
  </si>
  <si>
    <t>( − ) Cost of services</t>
  </si>
  <si>
    <t>% net revenue</t>
  </si>
  <si>
    <t>Gross profit</t>
  </si>
  <si>
    <t>( − ) Operating expenses</t>
  </si>
  <si>
    <t>Operational Profit</t>
  </si>
  <si>
    <t>( + ) Financial income</t>
  </si>
  <si>
    <t>( − ) Financial expenses</t>
  </si>
  <si>
    <t>Profit before IRCS</t>
  </si>
  <si>
    <t>( − ) Income tax &amp; social contribution</t>
  </si>
  <si>
    <t xml:space="preserve">Deferred </t>
  </si>
  <si>
    <t xml:space="preserve">Current </t>
  </si>
  <si>
    <t>Net profit</t>
  </si>
  <si>
    <t>2T22</t>
  </si>
  <si>
    <t>Ações em tesouraria</t>
  </si>
  <si>
    <t>Balance Sheet</t>
  </si>
  <si>
    <t>Cash and cash equivalents</t>
  </si>
  <si>
    <t>Inventories</t>
  </si>
  <si>
    <t>Recoverable taxes</t>
  </si>
  <si>
    <t>Other assets</t>
  </si>
  <si>
    <t>Total current assets</t>
  </si>
  <si>
    <t>Net Property, plant and equipment</t>
  </si>
  <si>
    <t>Intangible</t>
  </si>
  <si>
    <t>Noncurrent assets</t>
  </si>
  <si>
    <t>Total Assets</t>
  </si>
  <si>
    <t>Accounts payable</t>
  </si>
  <si>
    <t>Borrowings and financing</t>
  </si>
  <si>
    <t>Lease payable for right of use</t>
  </si>
  <si>
    <t>Social and labor obligations</t>
  </si>
  <si>
    <t>Taxes payable</t>
  </si>
  <si>
    <t>Tax installments</t>
  </si>
  <si>
    <t>Dividends payable</t>
  </si>
  <si>
    <t>Interest on shareholders' equity payable</t>
  </si>
  <si>
    <t>Related Parties</t>
  </si>
  <si>
    <t>Accounts payable for M&amp;A´s</t>
  </si>
  <si>
    <t>Other payables</t>
  </si>
  <si>
    <t>Current liabilities</t>
  </si>
  <si>
    <t>Lease payables for right of use</t>
  </si>
  <si>
    <t>Taxes in instalments</t>
  </si>
  <si>
    <t>Deferred taxes</t>
  </si>
  <si>
    <t>Other noncurrent liabilities</t>
  </si>
  <si>
    <t>Noncurrent liabilities</t>
  </si>
  <si>
    <t>Capital and reserves</t>
  </si>
  <si>
    <t>Equity issuance expenditures</t>
  </si>
  <si>
    <t>Capital Reserve</t>
  </si>
  <si>
    <t>Earnings reserves</t>
  </si>
  <si>
    <t>Shareholder's equity</t>
  </si>
  <si>
    <t>Total liabilities and shareholders' equity</t>
  </si>
  <si>
    <t>Treasury shares</t>
  </si>
  <si>
    <t>Cash Flow Statement</t>
  </si>
  <si>
    <t>Profit before income tax and social contribution</t>
  </si>
  <si>
    <t>Adjusted by</t>
  </si>
  <si>
    <t>Depreciation and amortization</t>
  </si>
  <si>
    <t>Decommissioned assets' write-off costs</t>
  </si>
  <si>
    <t xml:space="preserve">
Provision of accounts payable</t>
  </si>
  <si>
    <t>Other changes</t>
  </si>
  <si>
    <t>Expected credit losses</t>
  </si>
  <si>
    <t>Provision for doubtful debts</t>
  </si>
  <si>
    <t>Monetary correction on accounts payable</t>
  </si>
  <si>
    <t>Financial discounts obtained</t>
  </si>
  <si>
    <t>Charges on leased right-of-use assets</t>
  </si>
  <si>
    <t>Interest on borrowings and financing</t>
  </si>
  <si>
    <t>Changes in assets and liabilities:</t>
  </si>
  <si>
    <t>Trade receivables</t>
  </si>
  <si>
    <t>Payroll and related taxes</t>
  </si>
  <si>
    <t>Other liabilities</t>
  </si>
  <si>
    <t>Interest on financing</t>
  </si>
  <si>
    <t>Interest on leased right-of-use assets</t>
  </si>
  <si>
    <t>Interest on taxes in instalments</t>
  </si>
  <si>
    <t>Purchase of property, plant and equipment</t>
  </si>
  <si>
    <t>Proceeds from the sale of property, plant and equipment*</t>
  </si>
  <si>
    <t>Income tax and social contribution paid in the year</t>
  </si>
  <si>
    <t>Net cash generated from operating activities</t>
  </si>
  <si>
    <t>Cash flow from investment activities</t>
  </si>
  <si>
    <t>Financial investments</t>
  </si>
  <si>
    <t>Purchase of intangible assets</t>
  </si>
  <si>
    <t>Corporate Acquisition</t>
  </si>
  <si>
    <t>Cash Assumption</t>
  </si>
  <si>
    <t>Net cash generated from investing activities</t>
  </si>
  <si>
    <t>Cash flow from financing activities</t>
  </si>
  <si>
    <t>Payment of tax installments</t>
  </si>
  <si>
    <t>Capital increase</t>
  </si>
  <si>
    <t>Repayment of borrowings and financing</t>
  </si>
  <si>
    <t>Payment of right-of-use leases</t>
  </si>
  <si>
    <t>Installment payments</t>
  </si>
  <si>
    <t>Share issuance costs</t>
  </si>
  <si>
    <t>Net cash provided by financing activities</t>
  </si>
  <si>
    <t>Net increase in cash and cash equivalents</t>
  </si>
  <si>
    <t>Cash and cash equivalents BoP</t>
  </si>
  <si>
    <t>Cash and cash equivalents EoP</t>
  </si>
  <si>
    <t>* Since 2Q21 the "Proceeds from the sale of property, plant and equipment" is considered to be part of the operational activities, not as part of investing activities</t>
  </si>
  <si>
    <t>Financial Indicators</t>
  </si>
  <si>
    <t>RENTAL FLEET</t>
  </si>
  <si>
    <t># Equipment</t>
  </si>
  <si>
    <t>Value of the rental fleet, average for the period*</t>
  </si>
  <si>
    <t>*Includes implements and PIS/COFINS credit arising from the purchase of fixed assets</t>
  </si>
  <si>
    <t>Acquisition of fixed assets</t>
  </si>
  <si>
    <t>Enterprise acquisition</t>
  </si>
  <si>
    <t xml:space="preserve">Total CAPEX </t>
  </si>
  <si>
    <t>Monthly TOTAL CAPEX</t>
  </si>
  <si>
    <t>Income tax and social contribution</t>
  </si>
  <si>
    <t>Financial expenses</t>
  </si>
  <si>
    <t>Financial income</t>
  </si>
  <si>
    <t>Depreciation and Amortization</t>
  </si>
  <si>
    <t>Result of the sale of assets</t>
  </si>
  <si>
    <t>Non-recurring result</t>
  </si>
  <si>
    <t xml:space="preserve">Managerial operating cash flow </t>
  </si>
  <si>
    <t>Net cash from operations activities</t>
  </si>
  <si>
    <t>PIS/COFINS credits generated on the purchase of fixed assets</t>
  </si>
  <si>
    <t>Collection of installments</t>
  </si>
  <si>
    <t xml:space="preserve">
Disbursements with non-financial debt of subsidiaries</t>
  </si>
  <si>
    <t>Net Debt</t>
  </si>
  <si>
    <t>Gross Debt</t>
  </si>
  <si>
    <t xml:space="preserve">Adjusted ROIC </t>
  </si>
  <si>
    <t>Working capital</t>
  </si>
  <si>
    <t>Gross fixed assets / 2</t>
  </si>
  <si>
    <t>Invested Capital</t>
  </si>
  <si>
    <t>Expenses by Nature</t>
  </si>
  <si>
    <t>Personnel expenses</t>
  </si>
  <si>
    <t>Supplies, parts and maintenance services</t>
  </si>
  <si>
    <t>Cost on sale or disposal of fixed assets</t>
  </si>
  <si>
    <t>Others</t>
  </si>
  <si>
    <t>Cost of Services</t>
  </si>
  <si>
    <t>Operational expenses</t>
  </si>
  <si>
    <t>(*) Includes the expense of R$1,572 referring to the financial advisor in the acquisition of the subsidiary.</t>
  </si>
  <si>
    <t>Bonificações em mercadorias</t>
  </si>
  <si>
    <t>Plano de pagamento baseado em ações</t>
  </si>
  <si>
    <t>Pgto. de dívidas não financeiras em M&amp;As</t>
  </si>
  <si>
    <t>EBITDA</t>
  </si>
  <si>
    <t>Accounts payable for M&amp;A's</t>
  </si>
  <si>
    <t>Share-based payment plan</t>
  </si>
  <si>
    <t xml:space="preserve">Organic CAPEX </t>
  </si>
  <si>
    <t xml:space="preserve">Organic Monthly CAPEX </t>
  </si>
  <si>
    <t>3T22</t>
  </si>
  <si>
    <t>1Q20</t>
  </si>
  <si>
    <t>2Q20</t>
  </si>
  <si>
    <t>3Q20</t>
  </si>
  <si>
    <t>4Q20</t>
  </si>
  <si>
    <t>1Q21</t>
  </si>
  <si>
    <t>2Q21</t>
  </si>
  <si>
    <t>3Q21</t>
  </si>
  <si>
    <t>4Q21</t>
  </si>
  <si>
    <t>1Q22</t>
  </si>
  <si>
    <t>2Q22</t>
  </si>
  <si>
    <t>3Q22</t>
  </si>
  <si>
    <t>AH 2022</t>
  </si>
  <si>
    <t>4Q22</t>
  </si>
  <si>
    <t>4T22</t>
  </si>
  <si>
    <t>Fornecedores convênio</t>
  </si>
  <si>
    <t>Bonus Goods</t>
  </si>
  <si>
    <t>Other operating expenses (income)</t>
  </si>
  <si>
    <t>Capital investido médio</t>
  </si>
  <si>
    <t>Average invested capital</t>
  </si>
  <si>
    <t>Other expenses (income), net</t>
  </si>
  <si>
    <t>Suppliers under agreement</t>
  </si>
  <si>
    <t>Accounts receivable</t>
  </si>
  <si>
    <t>Cost of disposal of damaged and decommissioned assets</t>
  </si>
  <si>
    <t>Other non operational income</t>
  </si>
  <si>
    <t>Outras despesas (receitas) operacionais</t>
  </si>
  <si>
    <t>Treasury stocks</t>
  </si>
  <si>
    <t>Value of rental fleet, end of period*</t>
  </si>
  <si>
    <t>% net revenue from rental and services</t>
  </si>
  <si>
    <t>Proceeds from sales of property, plant and equipment</t>
  </si>
  <si>
    <t>Prepaid IPO expenses</t>
  </si>
  <si>
    <t>Cash Effect from non-recurring expenses</t>
  </si>
  <si>
    <t>Short-term debt</t>
  </si>
  <si>
    <t>Long-term debt</t>
  </si>
  <si>
    <t>Shareholders' equity</t>
  </si>
  <si>
    <t>Current income tax</t>
  </si>
  <si>
    <t>Fuel and transportation costs</t>
  </si>
  <si>
    <t>Extraordinary bonus</t>
  </si>
  <si>
    <t>Expenses with advisors (*)</t>
  </si>
  <si>
    <t>Administrative and commercial expenses</t>
  </si>
  <si>
    <t>1Q23</t>
  </si>
  <si>
    <t>1T23</t>
  </si>
  <si>
    <t>Operações não-caixa de aquisição de Imobilizado</t>
  </si>
  <si>
    <t>Atualização monetária sobre contas a pagar</t>
  </si>
  <si>
    <t>Juros e ajuste a valor presente fornecedores convenio</t>
  </si>
  <si>
    <t>Provisão para riscos cíveis, tributários e trabalhistas</t>
  </si>
  <si>
    <t>Juros pagos fornecedores convenio</t>
  </si>
  <si>
    <t>Pagamento fornecedor convenio</t>
  </si>
  <si>
    <t>Juros pagos Fornecedores convenio</t>
  </si>
  <si>
    <t>-</t>
  </si>
  <si>
    <t>Payment of suppliers under agreement</t>
  </si>
  <si>
    <t>Interest on suppliers under agreement</t>
  </si>
  <si>
    <t>Accrued interest on suppliers under agreement</t>
  </si>
  <si>
    <t>Provision for civil, tax and labor risks</t>
  </si>
  <si>
    <t>Depósitos judiciais</t>
  </si>
  <si>
    <t>Court deposits</t>
  </si>
  <si>
    <t>2Q23</t>
  </si>
  <si>
    <t>2T23</t>
  </si>
  <si>
    <t>Produtividade</t>
  </si>
  <si>
    <t>Non-cash operations of aqcquisition of fixed assets</t>
  </si>
  <si>
    <t>Rental and Services Gross Revenue</t>
  </si>
  <si>
    <t>Productivity</t>
  </si>
  <si>
    <t>3Q23</t>
  </si>
  <si>
    <t>3T23</t>
  </si>
  <si>
    <t>Aplicações Financeiras</t>
  </si>
  <si>
    <t>Financial Investments</t>
  </si>
  <si>
    <t>Accounts payable due to company acquisitions</t>
  </si>
  <si>
    <t>Locação de softwares</t>
  </si>
  <si>
    <t>Software rentals</t>
  </si>
  <si>
    <t>AH 2023</t>
  </si>
  <si>
    <t>4Q23</t>
  </si>
  <si>
    <t>4T23</t>
  </si>
  <si>
    <t>Receita líquida da venda de ativos</t>
  </si>
  <si>
    <t>Rendimento de aplicações financeiras</t>
  </si>
  <si>
    <t>Pagamento de dividendos e juros sobre capital</t>
  </si>
  <si>
    <t>Payment of dividends and interest on equity</t>
  </si>
  <si>
    <t>Caixa e aplicações financeiras</t>
  </si>
  <si>
    <t>ROE Contábil</t>
  </si>
  <si>
    <t>ROIC Contábil</t>
  </si>
  <si>
    <t>EBIT</t>
  </si>
  <si>
    <t>Patrimônio Líquido</t>
  </si>
  <si>
    <t>Capital empregado</t>
  </si>
  <si>
    <t>Capital empregado médio</t>
  </si>
  <si>
    <t>Ajuste de fornecedores máquina</t>
  </si>
  <si>
    <t>1Q24</t>
  </si>
  <si>
    <t>1T24</t>
  </si>
  <si>
    <t>Returns from financial investments</t>
  </si>
  <si>
    <t>Patrimônio líquido médio</t>
  </si>
  <si>
    <t>EBITDA Locação</t>
  </si>
  <si>
    <t>EBIT Locação</t>
  </si>
  <si>
    <t xml:space="preserve">Rental EBITDA </t>
  </si>
  <si>
    <t xml:space="preserve">Rental EBIT </t>
  </si>
  <si>
    <t xml:space="preserve">% Rental EBITDA </t>
  </si>
  <si>
    <t>% EBITDA Locação</t>
  </si>
  <si>
    <t>Net Debt / EBITDA LTM</t>
  </si>
  <si>
    <t>Rental EBIT</t>
  </si>
  <si>
    <t xml:space="preserve">Accounting ROIC </t>
  </si>
  <si>
    <t>Net income</t>
  </si>
  <si>
    <t>Accounting ROE</t>
  </si>
  <si>
    <t xml:space="preserve">Accounting ROE </t>
  </si>
  <si>
    <t>2Q24</t>
  </si>
  <si>
    <t>2T24</t>
  </si>
  <si>
    <t>3Q24</t>
  </si>
  <si>
    <t>3T24</t>
  </si>
  <si>
    <t>Opção de Compra</t>
  </si>
  <si>
    <t>Call Option</t>
  </si>
  <si>
    <t>Transações entre sócios</t>
  </si>
  <si>
    <t>Transactions between partners</t>
  </si>
  <si>
    <t>Participação dos não controladores</t>
  </si>
  <si>
    <t>Non-controlling interest</t>
  </si>
  <si>
    <t>EBITDA Ajustado</t>
  </si>
  <si>
    <t>Resultado de consórcios</t>
  </si>
  <si>
    <t>AH 2024</t>
  </si>
  <si>
    <t>4Q24</t>
  </si>
  <si>
    <t>4T24</t>
  </si>
  <si>
    <t>N/D</t>
  </si>
  <si>
    <t>Valor de aquisição da frota de locação, final do período</t>
  </si>
  <si>
    <t>Valor de aquisição da frota de locação, média do período</t>
  </si>
  <si>
    <t>*Inclui implementos</t>
  </si>
  <si>
    <t>EBITDA Locação*</t>
  </si>
  <si>
    <t>% receita líquida de locação*</t>
  </si>
  <si>
    <t>EBIT Locação*</t>
  </si>
  <si>
    <t xml:space="preserve">*Não inclui resultado de consórcios e venda de ativos. </t>
  </si>
  <si>
    <t>1Q25</t>
  </si>
  <si>
    <t>1T25</t>
  </si>
  <si>
    <t>Ativos disponíveis para venda</t>
  </si>
  <si>
    <t>Processos Judiciais Pagos</t>
  </si>
  <si>
    <t>Receita Bruta de Locação (Exclui Consórcios)</t>
  </si>
  <si>
    <t>Dívida líquida / EBITDA Covenant (UDM)</t>
  </si>
  <si>
    <t xml:space="preserve">EBIT UDM </t>
  </si>
  <si>
    <t>Imposto de renda corrente UDM</t>
  </si>
  <si>
    <t>NOPAT Consolidado UDM</t>
  </si>
  <si>
    <t>Lucro líquido UDM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</si>
</sst>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_);\(#,##0\);&quot;- &quot;"/>
    <numFmt numFmtId="165" formatCode="0.0%"/>
    <numFmt numFmtId="166" formatCode="\+0.0\ &quot;p.p.&quot;;\-0.0\ &quot;p.p.&quot;;&quot;- &quot;"/>
    <numFmt numFmtId="167" formatCode="#,##0.00\x_);\(#,##0.00\x\);&quot;- &quot;"/>
    <numFmt numFmtId="168" formatCode="0.0%_);\(0.0%\);&quot;- &quot;"/>
    <numFmt numFmtId="169" formatCode="#,##0.0_);\(#,##0.0\);&quot;- &quot;"/>
    <numFmt numFmtId="170" formatCode="#,##0.0"/>
    <numFmt numFmtId="171" formatCode="0.00000%"/>
    <numFmt numFmtId="172" formatCode="0.00000000"/>
    <numFmt numFmtId="173" formatCode="#,##0.0000000000_);\(#,##0.0000000000\)"/>
    <numFmt numFmtId="174" formatCode="_-* #,##0_-;\-* #,##0_-;_-* &quot;-&quot;??_-;_-@_-"/>
  </numFmts>
  <fonts count="32" x14ac:knownFonts="1">
    <font>
      <sz val="11"/>
      <color theme="1"/>
      <name val="Calibri"/>
      <family val="2"/>
      <scheme val="minor"/>
    </font>
    <font>
      <b/>
      <sz val="11"/>
      <color theme="1"/>
      <name val="Calibri"/>
      <family val="2"/>
      <scheme val="minor"/>
    </font>
    <font>
      <b/>
      <sz val="16"/>
      <color rgb="FF002A9A"/>
      <name val="Calibri"/>
      <family val="2"/>
      <scheme val="minor"/>
    </font>
    <font>
      <i/>
      <sz val="8"/>
      <color rgb="FF002A9A"/>
      <name val="Verdana"/>
      <family val="2"/>
    </font>
    <font>
      <sz val="8"/>
      <color rgb="FF002A9A"/>
      <name val="Verdana"/>
      <family val="2"/>
    </font>
    <font>
      <b/>
      <sz val="8"/>
      <color theme="1" tint="0.249977111117893"/>
      <name val="Verdana"/>
      <family val="2"/>
    </font>
    <font>
      <sz val="8"/>
      <color theme="1" tint="0.249977111117893"/>
      <name val="Verdana"/>
      <family val="2"/>
    </font>
    <font>
      <sz val="10"/>
      <color theme="1" tint="0.249977111117893"/>
      <name val="Calibri"/>
      <family val="2"/>
      <scheme val="minor"/>
    </font>
    <font>
      <b/>
      <sz val="16"/>
      <color theme="0"/>
      <name val="Calibri"/>
      <family val="2"/>
      <scheme val="minor"/>
    </font>
    <font>
      <sz val="11"/>
      <color theme="1"/>
      <name val="Calibri"/>
      <family val="2"/>
      <scheme val="minor"/>
    </font>
    <font>
      <sz val="10"/>
      <name val="Arial"/>
      <family val="2"/>
    </font>
    <font>
      <i/>
      <sz val="8"/>
      <color theme="1" tint="0.249977111117893"/>
      <name val="Calibri"/>
      <family val="2"/>
      <scheme val="minor"/>
    </font>
    <font>
      <sz val="8"/>
      <name val="Calibri"/>
      <family val="2"/>
      <scheme val="minor"/>
    </font>
    <font>
      <b/>
      <sz val="8"/>
      <color rgb="FF002A9A"/>
      <name val="Verdana"/>
      <family val="2"/>
    </font>
    <font>
      <i/>
      <sz val="8"/>
      <color theme="1" tint="0.249977111117893"/>
      <name val="Verdana"/>
      <family val="2"/>
    </font>
    <font>
      <sz val="8"/>
      <color theme="1" tint="0.249977111117893"/>
      <name val="Calibri"/>
      <family val="2"/>
      <scheme val="minor"/>
    </font>
    <font>
      <b/>
      <sz val="8"/>
      <color theme="1"/>
      <name val="Verdana"/>
      <family val="2"/>
    </font>
    <font>
      <sz val="8"/>
      <color theme="1"/>
      <name val="Verdana"/>
      <family val="2"/>
    </font>
    <font>
      <sz val="14"/>
      <color theme="1"/>
      <name val="Verdana"/>
      <family val="2"/>
    </font>
    <font>
      <sz val="11"/>
      <color theme="1" tint="0.249977111117893"/>
      <name val="Calibri"/>
      <family val="2"/>
      <scheme val="minor"/>
    </font>
    <font>
      <b/>
      <sz val="11"/>
      <color theme="1" tint="0.249977111117893"/>
      <name val="Calibri"/>
      <family val="2"/>
      <scheme val="minor"/>
    </font>
    <font>
      <i/>
      <sz val="11"/>
      <color theme="1" tint="0.249977111117893"/>
      <name val="Calibri"/>
      <family val="2"/>
      <scheme val="minor"/>
    </font>
    <font>
      <b/>
      <sz val="8"/>
      <color theme="1" tint="0.249977111117893"/>
      <name val="Calibri"/>
      <family val="2"/>
      <scheme val="minor"/>
    </font>
    <font>
      <b/>
      <u/>
      <sz val="8"/>
      <color rgb="FF008000"/>
      <name val="Verdana"/>
      <family val="2"/>
    </font>
    <font>
      <sz val="8"/>
      <color rgb="FF008000"/>
      <name val="Verdana"/>
      <family val="2"/>
    </font>
    <font>
      <sz val="14"/>
      <color theme="1" tint="0.249977111117893"/>
      <name val="Verdana"/>
      <family val="2"/>
    </font>
    <font>
      <i/>
      <sz val="14"/>
      <color theme="1" tint="0.249977111117893"/>
      <name val="Verdana"/>
      <family val="2"/>
    </font>
    <font>
      <sz val="11"/>
      <color theme="1" tint="0.249977111117893"/>
      <name val="Verdana"/>
      <family val="2"/>
    </font>
    <font>
      <i/>
      <sz val="11"/>
      <color theme="1" tint="0.249977111117893"/>
      <name val="Verdana"/>
      <family val="2"/>
    </font>
    <font>
      <sz val="11"/>
      <color theme="1"/>
      <name val="Verdana"/>
      <family val="2"/>
    </font>
    <font>
      <i/>
      <sz val="9"/>
      <color rgb="FF002A9A"/>
      <name val="Verdana"/>
      <family val="2"/>
    </font>
    <font>
      <b/>
      <sz val="14"/>
      <color theme="1" tint="0.249977111117893"/>
      <name val="Verdana"/>
      <family val="2"/>
    </font>
  </fonts>
  <fills count="4">
    <fill>
      <patternFill patternType="none"/>
    </fill>
    <fill>
      <patternFill patternType="gray125"/>
    </fill>
    <fill>
      <patternFill patternType="solid">
        <fgColor theme="6" tint="0.79998168889431442"/>
        <bgColor indexed="64"/>
      </patternFill>
    </fill>
    <fill>
      <patternFill patternType="solid">
        <fgColor rgb="FF002A9A"/>
        <bgColor indexed="64"/>
      </patternFill>
    </fill>
  </fills>
  <borders count="7">
    <border>
      <left/>
      <right/>
      <top/>
      <bottom/>
      <diagonal/>
    </border>
    <border>
      <left/>
      <right/>
      <top/>
      <bottom style="thin">
        <color rgb="FF002A9A"/>
      </bottom>
      <diagonal/>
    </border>
    <border>
      <left/>
      <right style="dotted">
        <color theme="5"/>
      </right>
      <top/>
      <bottom/>
      <diagonal/>
    </border>
    <border>
      <left/>
      <right/>
      <top/>
      <bottom style="thin">
        <color theme="0" tint="-0.24994659260841701"/>
      </bottom>
      <diagonal/>
    </border>
    <border>
      <left/>
      <right/>
      <top/>
      <bottom style="hair">
        <color auto="1"/>
      </bottom>
      <diagonal/>
    </border>
    <border>
      <left/>
      <right style="dotted">
        <color rgb="FF008000"/>
      </right>
      <top/>
      <bottom/>
      <diagonal/>
    </border>
    <border>
      <left/>
      <right/>
      <top/>
      <bottom style="thin">
        <color theme="0" tint="-0.34998626667073579"/>
      </bottom>
      <diagonal/>
    </border>
  </borders>
  <cellStyleXfs count="6">
    <xf numFmtId="0" fontId="0" fillId="0" borderId="0"/>
    <xf numFmtId="43" fontId="9" fillId="0" borderId="0" applyFont="0" applyFill="0" applyBorder="0" applyAlignment="0" applyProtection="0"/>
    <xf numFmtId="43" fontId="9" fillId="0" borderId="0" applyFont="0" applyFill="0" applyBorder="0" applyAlignment="0" applyProtection="0"/>
    <xf numFmtId="0" fontId="10" fillId="0" borderId="0"/>
    <xf numFmtId="9" fontId="9" fillId="0" borderId="0" applyFont="0" applyFill="0" applyBorder="0" applyAlignment="0" applyProtection="0"/>
    <xf numFmtId="43" fontId="9" fillId="0" borderId="0" applyFont="0" applyFill="0" applyBorder="0" applyAlignment="0" applyProtection="0"/>
  </cellStyleXfs>
  <cellXfs count="123">
    <xf numFmtId="0" fontId="0" fillId="0" borderId="0" xfId="0"/>
    <xf numFmtId="0" fontId="2" fillId="0" borderId="0" xfId="0" applyFont="1"/>
    <xf numFmtId="0" fontId="3" fillId="0" borderId="1" xfId="0" applyFont="1" applyBorder="1" applyAlignment="1">
      <alignment vertical="center"/>
    </xf>
    <xf numFmtId="0" fontId="4" fillId="0" borderId="1" xfId="0" applyFont="1" applyBorder="1" applyAlignment="1">
      <alignment vertical="center"/>
    </xf>
    <xf numFmtId="0" fontId="0" fillId="0" borderId="2" xfId="0" applyBorder="1"/>
    <xf numFmtId="0" fontId="5" fillId="0" borderId="0" xfId="0" applyFont="1" applyAlignment="1">
      <alignment vertical="center"/>
    </xf>
    <xf numFmtId="0" fontId="1" fillId="0" borderId="0" xfId="0" applyFont="1"/>
    <xf numFmtId="0" fontId="6" fillId="0" borderId="0" xfId="0" applyFont="1" applyAlignment="1">
      <alignment vertical="center"/>
    </xf>
    <xf numFmtId="0" fontId="5" fillId="2" borderId="0" xfId="0" applyFont="1" applyFill="1" applyAlignment="1">
      <alignment vertical="center"/>
    </xf>
    <xf numFmtId="0" fontId="6" fillId="0" borderId="0" xfId="0" applyFont="1" applyAlignment="1">
      <alignment horizontal="right" vertical="center"/>
    </xf>
    <xf numFmtId="165" fontId="6" fillId="0" borderId="0" xfId="0" applyNumberFormat="1" applyFont="1" applyAlignment="1">
      <alignment horizontal="right" vertical="center"/>
    </xf>
    <xf numFmtId="0" fontId="6" fillId="0" borderId="3" xfId="0" applyFont="1" applyBorder="1" applyAlignment="1">
      <alignment vertical="center"/>
    </xf>
    <xf numFmtId="0" fontId="7" fillId="0" borderId="0" xfId="0" applyFont="1" applyAlignment="1">
      <alignment horizontal="left"/>
    </xf>
    <xf numFmtId="0" fontId="0" fillId="3" borderId="1" xfId="0" applyFill="1" applyBorder="1"/>
    <xf numFmtId="0" fontId="8" fillId="3" borderId="1" xfId="0" applyFont="1" applyFill="1" applyBorder="1" applyAlignment="1">
      <alignment vertical="center"/>
    </xf>
    <xf numFmtId="0" fontId="2" fillId="0" borderId="0" xfId="0" applyFont="1" applyAlignment="1">
      <alignment vertical="center"/>
    </xf>
    <xf numFmtId="0" fontId="11" fillId="0" borderId="0" xfId="0" applyFont="1" applyAlignment="1">
      <alignment horizontal="left"/>
    </xf>
    <xf numFmtId="0" fontId="6" fillId="0" borderId="0" xfId="0" applyFont="1" applyAlignment="1">
      <alignment horizontal="left" vertical="center"/>
    </xf>
    <xf numFmtId="0" fontId="13" fillId="0" borderId="1" xfId="0" applyFont="1" applyBorder="1" applyAlignment="1">
      <alignment vertical="center"/>
    </xf>
    <xf numFmtId="0" fontId="13" fillId="0" borderId="1" xfId="0" applyFont="1" applyBorder="1" applyAlignment="1">
      <alignment horizontal="right" vertical="center"/>
    </xf>
    <xf numFmtId="0" fontId="1" fillId="0" borderId="2" xfId="0" applyFont="1" applyBorder="1"/>
    <xf numFmtId="168" fontId="6" fillId="0" borderId="0" xfId="4" applyNumberFormat="1" applyFont="1" applyAlignment="1">
      <alignment horizontal="right" vertical="center"/>
    </xf>
    <xf numFmtId="0" fontId="16" fillId="0" borderId="2" xfId="0" applyFont="1" applyBorder="1"/>
    <xf numFmtId="0" fontId="16" fillId="0" borderId="0" xfId="0" applyFont="1"/>
    <xf numFmtId="0" fontId="17" fillId="0" borderId="0" xfId="0" applyFont="1"/>
    <xf numFmtId="0" fontId="17" fillId="0" borderId="2" xfId="0" applyFont="1" applyBorder="1"/>
    <xf numFmtId="0" fontId="6" fillId="2" borderId="0" xfId="0" applyFont="1" applyFill="1"/>
    <xf numFmtId="164" fontId="5" fillId="2" borderId="0" xfId="0" applyNumberFormat="1" applyFont="1" applyFill="1" applyAlignment="1">
      <alignment horizontal="right" vertical="center"/>
    </xf>
    <xf numFmtId="165" fontId="5" fillId="2" borderId="0" xfId="0" applyNumberFormat="1" applyFont="1" applyFill="1" applyAlignment="1">
      <alignment horizontal="right" vertical="center"/>
    </xf>
    <xf numFmtId="0" fontId="6" fillId="0" borderId="2" xfId="0" applyFont="1" applyBorder="1"/>
    <xf numFmtId="0" fontId="6" fillId="0" borderId="0" xfId="0" applyFont="1"/>
    <xf numFmtId="0" fontId="14" fillId="0" borderId="0" xfId="0" applyFont="1" applyAlignment="1">
      <alignment horizontal="left" indent="2"/>
    </xf>
    <xf numFmtId="0" fontId="14" fillId="0" borderId="0" xfId="0" applyFont="1"/>
    <xf numFmtId="165" fontId="14" fillId="0" borderId="0" xfId="0" applyNumberFormat="1" applyFont="1"/>
    <xf numFmtId="0" fontId="14" fillId="0" borderId="2" xfId="0" applyFont="1" applyBorder="1"/>
    <xf numFmtId="164" fontId="6" fillId="0" borderId="0" xfId="0" applyNumberFormat="1" applyFont="1" applyAlignment="1">
      <alignment horizontal="right" vertical="center"/>
    </xf>
    <xf numFmtId="165" fontId="5" fillId="0" borderId="0" xfId="0" applyNumberFormat="1" applyFont="1" applyAlignment="1">
      <alignment horizontal="right" vertical="center"/>
    </xf>
    <xf numFmtId="164" fontId="5" fillId="0" borderId="0" xfId="0" applyNumberFormat="1" applyFont="1" applyAlignment="1">
      <alignment horizontal="right" vertical="center"/>
    </xf>
    <xf numFmtId="0" fontId="18" fillId="0" borderId="0" xfId="0" applyFont="1"/>
    <xf numFmtId="0" fontId="19" fillId="0" borderId="0" xfId="0" applyFont="1"/>
    <xf numFmtId="9" fontId="6" fillId="0" borderId="0" xfId="0" applyNumberFormat="1" applyFont="1" applyAlignment="1">
      <alignment horizontal="right" vertical="center"/>
    </xf>
    <xf numFmtId="0" fontId="19" fillId="0" borderId="2" xfId="0" applyFont="1" applyBorder="1"/>
    <xf numFmtId="0" fontId="19" fillId="0" borderId="3" xfId="0" applyFont="1" applyBorder="1"/>
    <xf numFmtId="164" fontId="6" fillId="0" borderId="3" xfId="0" applyNumberFormat="1" applyFont="1" applyBorder="1" applyAlignment="1">
      <alignment horizontal="right" vertical="center"/>
    </xf>
    <xf numFmtId="9" fontId="6" fillId="0" borderId="3" xfId="0" applyNumberFormat="1" applyFont="1" applyBorder="1" applyAlignment="1">
      <alignment horizontal="right" vertical="center"/>
    </xf>
    <xf numFmtId="165" fontId="6" fillId="0" borderId="3" xfId="0" applyNumberFormat="1" applyFont="1" applyBorder="1" applyAlignment="1">
      <alignment horizontal="right" vertical="center"/>
    </xf>
    <xf numFmtId="0" fontId="15" fillId="0" borderId="0" xfId="0" applyFont="1"/>
    <xf numFmtId="0" fontId="19" fillId="2" borderId="0" xfId="0" applyFont="1" applyFill="1"/>
    <xf numFmtId="0" fontId="20" fillId="0" borderId="0" xfId="0" applyFont="1"/>
    <xf numFmtId="164" fontId="14" fillId="0" borderId="0" xfId="0" applyNumberFormat="1" applyFont="1" applyAlignment="1">
      <alignment horizontal="right" vertical="center"/>
    </xf>
    <xf numFmtId="0" fontId="14" fillId="0" borderId="0" xfId="0" applyFont="1" applyAlignment="1">
      <alignment vertical="center"/>
    </xf>
    <xf numFmtId="165" fontId="6" fillId="0" borderId="0" xfId="4" applyNumberFormat="1" applyFont="1" applyFill="1" applyBorder="1" applyAlignment="1">
      <alignment horizontal="right" vertical="center"/>
    </xf>
    <xf numFmtId="164" fontId="14" fillId="0" borderId="0" xfId="0" applyNumberFormat="1" applyFont="1"/>
    <xf numFmtId="0" fontId="6" fillId="0" borderId="4" xfId="0" applyFont="1" applyBorder="1"/>
    <xf numFmtId="164" fontId="5" fillId="0" borderId="4" xfId="0" applyNumberFormat="1" applyFont="1" applyBorder="1" applyAlignment="1">
      <alignment horizontal="right" vertical="center"/>
    </xf>
    <xf numFmtId="0" fontId="5" fillId="0" borderId="4" xfId="0" applyFont="1" applyBorder="1" applyAlignment="1">
      <alignment vertical="center"/>
    </xf>
    <xf numFmtId="0" fontId="5" fillId="0" borderId="4" xfId="0" applyFont="1" applyBorder="1"/>
    <xf numFmtId="0" fontId="23" fillId="0" borderId="0" xfId="0" applyFont="1" applyAlignment="1">
      <alignment vertical="center"/>
    </xf>
    <xf numFmtId="0" fontId="1" fillId="0" borderId="5" xfId="0" applyFont="1" applyBorder="1"/>
    <xf numFmtId="0" fontId="0" fillId="0" borderId="5" xfId="0" applyBorder="1"/>
    <xf numFmtId="0" fontId="19" fillId="0" borderId="5" xfId="0" applyFont="1" applyBorder="1"/>
    <xf numFmtId="165" fontId="19" fillId="0" borderId="0" xfId="0" applyNumberFormat="1" applyFont="1"/>
    <xf numFmtId="164" fontId="19" fillId="0" borderId="0" xfId="0" applyNumberFormat="1" applyFont="1"/>
    <xf numFmtId="0" fontId="24" fillId="0" borderId="0" xfId="0" applyFont="1" applyAlignment="1">
      <alignment horizontal="center"/>
    </xf>
    <xf numFmtId="0" fontId="6" fillId="0" borderId="3" xfId="0" applyFont="1" applyBorder="1" applyAlignment="1">
      <alignment vertical="center" wrapText="1"/>
    </xf>
    <xf numFmtId="169" fontId="6" fillId="0" borderId="0" xfId="0" applyNumberFormat="1" applyFont="1" applyAlignment="1">
      <alignment horizontal="right" vertical="center"/>
    </xf>
    <xf numFmtId="165" fontId="14" fillId="0" borderId="0" xfId="0" applyNumberFormat="1" applyFont="1" applyAlignment="1">
      <alignment horizontal="right" vertical="center"/>
    </xf>
    <xf numFmtId="0" fontId="14" fillId="0" borderId="0" xfId="0" applyFont="1" applyAlignment="1">
      <alignment horizontal="left" vertical="center" indent="1"/>
    </xf>
    <xf numFmtId="0" fontId="21" fillId="0" borderId="0" xfId="0" applyFont="1"/>
    <xf numFmtId="0" fontId="21" fillId="0" borderId="5" xfId="0" applyFont="1" applyBorder="1"/>
    <xf numFmtId="0" fontId="11" fillId="0" borderId="0" xfId="0" applyFont="1"/>
    <xf numFmtId="0" fontId="20" fillId="0" borderId="5" xfId="0" applyFont="1" applyBorder="1"/>
    <xf numFmtId="0" fontId="22" fillId="0" borderId="0" xfId="0" applyFont="1"/>
    <xf numFmtId="0" fontId="13" fillId="0" borderId="0" xfId="0" applyFont="1" applyAlignment="1">
      <alignment horizontal="right" vertical="center"/>
    </xf>
    <xf numFmtId="0" fontId="13"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8" fillId="3" borderId="0" xfId="0" applyFont="1" applyFill="1" applyAlignment="1">
      <alignment vertical="center"/>
    </xf>
    <xf numFmtId="4" fontId="6" fillId="0" borderId="0" xfId="4" applyNumberFormat="1" applyFont="1" applyFill="1" applyBorder="1" applyAlignment="1">
      <alignment horizontal="right" vertical="center"/>
    </xf>
    <xf numFmtId="0" fontId="0" fillId="3" borderId="0" xfId="0" applyFill="1"/>
    <xf numFmtId="0" fontId="6" fillId="0" borderId="6" xfId="0" applyFont="1" applyBorder="1" applyAlignment="1">
      <alignment vertical="center"/>
    </xf>
    <xf numFmtId="0" fontId="25" fillId="0" borderId="0" xfId="0" applyFont="1"/>
    <xf numFmtId="0" fontId="6" fillId="0" borderId="0" xfId="0" applyFont="1" applyAlignment="1">
      <alignment horizontal="center"/>
    </xf>
    <xf numFmtId="165" fontId="5" fillId="0" borderId="0" xfId="4" applyNumberFormat="1" applyFont="1" applyAlignment="1">
      <alignment horizontal="right" vertical="center"/>
    </xf>
    <xf numFmtId="166" fontId="5" fillId="0" borderId="0" xfId="0" applyNumberFormat="1" applyFont="1" applyAlignment="1">
      <alignment horizontal="right" vertical="center"/>
    </xf>
    <xf numFmtId="4" fontId="19" fillId="0" borderId="0" xfId="0" applyNumberFormat="1" applyFont="1"/>
    <xf numFmtId="0" fontId="19" fillId="0" borderId="6" xfId="0" applyFont="1" applyBorder="1"/>
    <xf numFmtId="164" fontId="6" fillId="0" borderId="6" xfId="0" applyNumberFormat="1" applyFont="1" applyBorder="1" applyAlignment="1">
      <alignment horizontal="right" vertical="center"/>
    </xf>
    <xf numFmtId="165" fontId="6" fillId="0" borderId="6" xfId="0" applyNumberFormat="1" applyFont="1" applyBorder="1" applyAlignment="1">
      <alignment horizontal="right" vertical="center"/>
    </xf>
    <xf numFmtId="167" fontId="6" fillId="0" borderId="0" xfId="0" applyNumberFormat="1" applyFont="1" applyAlignment="1">
      <alignment horizontal="right" vertical="center"/>
    </xf>
    <xf numFmtId="4" fontId="6" fillId="0" borderId="0" xfId="0" applyNumberFormat="1" applyFont="1" applyAlignment="1">
      <alignment horizontal="right" vertical="center"/>
    </xf>
    <xf numFmtId="0" fontId="26" fillId="0" borderId="0" xfId="0" applyFont="1"/>
    <xf numFmtId="0" fontId="27" fillId="0" borderId="0" xfId="0" applyFont="1"/>
    <xf numFmtId="0" fontId="28" fillId="0" borderId="0" xfId="0" applyFont="1"/>
    <xf numFmtId="164" fontId="15" fillId="0" borderId="0" xfId="0" applyNumberFormat="1" applyFont="1" applyAlignment="1">
      <alignment horizontal="right" vertical="center"/>
    </xf>
    <xf numFmtId="3" fontId="19" fillId="0" borderId="0" xfId="0" applyNumberFormat="1" applyFont="1"/>
    <xf numFmtId="0" fontId="20" fillId="2" borderId="0" xfId="0" applyFont="1" applyFill="1"/>
    <xf numFmtId="9" fontId="0" fillId="0" borderId="0" xfId="0" applyNumberFormat="1"/>
    <xf numFmtId="0" fontId="14" fillId="0" borderId="0" xfId="0" applyFont="1" applyAlignment="1">
      <alignment vertical="center" wrapText="1"/>
    </xf>
    <xf numFmtId="165" fontId="6" fillId="0" borderId="0" xfId="4" applyNumberFormat="1" applyFont="1" applyAlignment="1">
      <alignment horizontal="right" vertical="center"/>
    </xf>
    <xf numFmtId="164" fontId="0" fillId="0" borderId="0" xfId="0" applyNumberFormat="1"/>
    <xf numFmtId="164" fontId="10" fillId="0" borderId="0" xfId="5" applyNumberFormat="1" applyFont="1" applyFill="1" applyAlignment="1">
      <alignment horizontal="right"/>
    </xf>
    <xf numFmtId="3" fontId="6" fillId="0" borderId="0" xfId="4" applyNumberFormat="1" applyFont="1" applyFill="1" applyBorder="1" applyAlignment="1">
      <alignment horizontal="right" vertical="center"/>
    </xf>
    <xf numFmtId="165" fontId="5" fillId="0" borderId="0" xfId="4" applyNumberFormat="1" applyFont="1" applyFill="1" applyBorder="1" applyAlignment="1">
      <alignment horizontal="right" vertical="center"/>
    </xf>
    <xf numFmtId="9" fontId="19" fillId="0" borderId="0" xfId="0" applyNumberFormat="1" applyFont="1"/>
    <xf numFmtId="9" fontId="19" fillId="2" borderId="0" xfId="0" applyNumberFormat="1" applyFont="1" applyFill="1"/>
    <xf numFmtId="170" fontId="19" fillId="0" borderId="0" xfId="0" applyNumberFormat="1" applyFont="1"/>
    <xf numFmtId="170" fontId="6" fillId="0" borderId="0" xfId="0" applyNumberFormat="1" applyFont="1"/>
    <xf numFmtId="165" fontId="6" fillId="0" borderId="0" xfId="0" applyNumberFormat="1" applyFont="1"/>
    <xf numFmtId="171" fontId="0" fillId="0" borderId="0" xfId="0" applyNumberFormat="1"/>
    <xf numFmtId="4" fontId="0" fillId="0" borderId="0" xfId="0" applyNumberFormat="1"/>
    <xf numFmtId="0" fontId="29" fillId="0" borderId="0" xfId="0" applyFont="1"/>
    <xf numFmtId="0" fontId="30" fillId="0" borderId="1" xfId="0" applyFont="1" applyBorder="1" applyAlignment="1">
      <alignment vertical="center"/>
    </xf>
    <xf numFmtId="172" fontId="19" fillId="0" borderId="0" xfId="0" applyNumberFormat="1" applyFont="1"/>
    <xf numFmtId="3" fontId="6" fillId="0" borderId="0" xfId="4" applyNumberFormat="1" applyFont="1" applyFill="1" applyBorder="1" applyAlignment="1">
      <alignment horizontal="center" vertical="center"/>
    </xf>
    <xf numFmtId="0" fontId="31" fillId="0" borderId="0" xfId="0" applyFont="1"/>
    <xf numFmtId="9" fontId="6" fillId="0" borderId="0" xfId="4" applyFont="1" applyFill="1" applyBorder="1" applyAlignment="1">
      <alignment horizontal="center" vertical="center"/>
    </xf>
    <xf numFmtId="9" fontId="27" fillId="0" borderId="0" xfId="0" applyNumberFormat="1" applyFont="1"/>
    <xf numFmtId="170" fontId="6" fillId="0" borderId="0" xfId="4" applyNumberFormat="1" applyFont="1" applyFill="1" applyBorder="1" applyAlignment="1">
      <alignment horizontal="center" vertical="center"/>
    </xf>
    <xf numFmtId="173" fontId="14" fillId="0" borderId="0" xfId="0" applyNumberFormat="1" applyFont="1"/>
    <xf numFmtId="0" fontId="0" fillId="0" borderId="0" xfId="0" applyAlignment="1">
      <alignment vertical="center" wrapText="1"/>
    </xf>
    <xf numFmtId="3" fontId="20" fillId="0" borderId="0" xfId="0" applyNumberFormat="1" applyFont="1"/>
    <xf numFmtId="174" fontId="6" fillId="0" borderId="0" xfId="5" applyNumberFormat="1" applyFont="1" applyFill="1" applyBorder="1" applyAlignment="1">
      <alignment horizontal="right" vertical="center"/>
    </xf>
  </cellXfs>
  <cellStyles count="6">
    <cellStyle name="Comma 2" xfId="2" xr:uid="{E5FDF58C-6B8A-408B-833E-FA43F4387B5E}"/>
    <cellStyle name="Normal" xfId="0" builtinId="0"/>
    <cellStyle name="Normal 2 2" xfId="3" xr:uid="{0A38BDEA-88FD-44D5-92D4-83A289416339}"/>
    <cellStyle name="Porcentagem" xfId="4" builtinId="5"/>
    <cellStyle name="Vírgula" xfId="5" builtinId="3"/>
    <cellStyle name="Vírgula 4" xfId="1" xr:uid="{E0F1BF20-526D-4676-83A6-3E28E746F42E}"/>
  </cellStyles>
  <dxfs count="0"/>
  <tableStyles count="0" defaultTableStyle="TableStyleMedium2" defaultPivotStyle="PivotStyleLight16"/>
  <colors>
    <mruColors>
      <color rgb="FFEBF3FB"/>
      <color rgb="FFF5F9FD"/>
      <color rgb="FF008000"/>
      <color rgb="FF002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0</xdr:colOff>
      <xdr:row>24</xdr:row>
      <xdr:rowOff>190500</xdr:rowOff>
    </xdr:to>
    <xdr:pic>
      <xdr:nvPicPr>
        <xdr:cNvPr id="8" name="Picture 7">
          <a:extLst>
            <a:ext uri="{FF2B5EF4-FFF2-40B4-BE49-F238E27FC236}">
              <a16:creationId xmlns:a16="http://schemas.microsoft.com/office/drawing/2014/main" id="{3B233688-C319-4368-BF95-77F92DC636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63000" cy="4837043"/>
        </a:xfrm>
        <a:prstGeom prst="rect">
          <a:avLst/>
        </a:prstGeom>
      </xdr:spPr>
    </xdr:pic>
    <xdr:clientData/>
  </xdr:twoCellAnchor>
  <xdr:twoCellAnchor editAs="oneCell">
    <xdr:from>
      <xdr:col>12</xdr:col>
      <xdr:colOff>345682</xdr:colOff>
      <xdr:row>2</xdr:row>
      <xdr:rowOff>182218</xdr:rowOff>
    </xdr:from>
    <xdr:to>
      <xdr:col>14</xdr:col>
      <xdr:colOff>153281</xdr:colOff>
      <xdr:row>4</xdr:row>
      <xdr:rowOff>39155</xdr:rowOff>
    </xdr:to>
    <xdr:pic>
      <xdr:nvPicPr>
        <xdr:cNvPr id="23" name="Imagem 5">
          <a:extLst>
            <a:ext uri="{FF2B5EF4-FFF2-40B4-BE49-F238E27FC236}">
              <a16:creationId xmlns:a16="http://schemas.microsoft.com/office/drawing/2014/main" id="{58B319E0-AD94-44A7-94E9-E95190436DBC}"/>
            </a:ext>
          </a:extLst>
        </xdr:cNvPr>
        <xdr:cNvPicPr>
          <a:picLocks noChangeAspect="1"/>
        </xdr:cNvPicPr>
      </xdr:nvPicPr>
      <xdr:blipFill>
        <a:blip xmlns:r="http://schemas.openxmlformats.org/officeDocument/2006/relationships" r:embed="rId2"/>
        <a:stretch>
          <a:fillRect/>
        </a:stretch>
      </xdr:blipFill>
      <xdr:spPr>
        <a:xfrm>
          <a:off x="7269943" y="563218"/>
          <a:ext cx="1033425" cy="237937"/>
        </a:xfrm>
        <a:prstGeom prst="rect">
          <a:avLst/>
        </a:prstGeom>
      </xdr:spPr>
    </xdr:pic>
    <xdr:clientData/>
  </xdr:twoCellAnchor>
  <xdr:twoCellAnchor>
    <xdr:from>
      <xdr:col>0</xdr:col>
      <xdr:colOff>119366</xdr:colOff>
      <xdr:row>0</xdr:row>
      <xdr:rowOff>95980</xdr:rowOff>
    </xdr:from>
    <xdr:to>
      <xdr:col>13</xdr:col>
      <xdr:colOff>469431</xdr:colOff>
      <xdr:row>14</xdr:row>
      <xdr:rowOff>28746</xdr:rowOff>
    </xdr:to>
    <xdr:sp macro="" textlink="">
      <xdr:nvSpPr>
        <xdr:cNvPr id="6" name="Title 1">
          <a:extLst>
            <a:ext uri="{FF2B5EF4-FFF2-40B4-BE49-F238E27FC236}">
              <a16:creationId xmlns:a16="http://schemas.microsoft.com/office/drawing/2014/main" id="{DE3381C2-1B84-4DC4-8A3A-B4263A1B6BAE}"/>
            </a:ext>
          </a:extLst>
        </xdr:cNvPr>
        <xdr:cNvSpPr>
          <a:spLocks noGrp="1"/>
        </xdr:cNvSpPr>
      </xdr:nvSpPr>
      <xdr:spPr>
        <a:xfrm>
          <a:off x="119366" y="95980"/>
          <a:ext cx="7887239" cy="2674309"/>
        </a:xfrm>
        <a:prstGeom prst="rect">
          <a:avLst/>
        </a:prstGeom>
      </xdr:spPr>
      <xdr:txBody>
        <a:bodyPr wrap="square" anchor="ctr">
          <a:noAutofit/>
        </a:bodyPr>
        <a:lstStyle>
          <a:lvl1pPr algn="l" defTabSz="914400" rtl="0" eaLnBrk="1" latinLnBrk="0" hangingPunct="1">
            <a:lnSpc>
              <a:spcPct val="90000"/>
            </a:lnSpc>
            <a:spcBef>
              <a:spcPct val="0"/>
            </a:spcBef>
            <a:buNone/>
            <a:defRPr sz="4400" b="1" i="0" kern="1200" baseline="0">
              <a:solidFill>
                <a:srgbClr val="EEE8E0"/>
              </a:solidFill>
              <a:latin typeface="Verdana" panose="020B0604030504040204" pitchFamily="34" charset="0"/>
              <a:ea typeface="Verdana" panose="020B0604030504040204" pitchFamily="34" charset="0"/>
              <a:cs typeface="Verdana" panose="020B0604030504040204" pitchFamily="34" charset="0"/>
            </a:defRPr>
          </a:lvl1pPr>
        </a:lstStyle>
        <a:p>
          <a:pPr>
            <a:lnSpc>
              <a:spcPts val="6300"/>
            </a:lnSpc>
            <a:spcAft>
              <a:spcPts val="2400"/>
            </a:spcAft>
          </a:pPr>
          <a:r>
            <a:rPr lang="pt-BR" sz="3600">
              <a:latin typeface="Axiforma ExtraBold" panose="00000900000000000000" pitchFamily="50" charset="0"/>
            </a:rPr>
            <a:t>Planilha</a:t>
          </a:r>
          <a:r>
            <a:rPr lang="pt-BR" sz="3600" baseline="0">
              <a:latin typeface="Axiforma ExtraBold" panose="00000900000000000000" pitchFamily="50" charset="0"/>
            </a:rPr>
            <a:t> de </a:t>
          </a:r>
          <a:r>
            <a:rPr lang="pt-BR" sz="3600">
              <a:latin typeface="Axiforma ExtraBold" panose="00000900000000000000" pitchFamily="50" charset="0"/>
            </a:rPr>
            <a:t>Resultados</a:t>
          </a:r>
        </a:p>
        <a:p>
          <a:pPr>
            <a:lnSpc>
              <a:spcPts val="6300"/>
            </a:lnSpc>
            <a:spcAft>
              <a:spcPts val="2400"/>
            </a:spcAft>
          </a:pPr>
          <a:r>
            <a:rPr lang="pt-BR" sz="3600" b="1" i="0" kern="1200" baseline="0">
              <a:solidFill>
                <a:srgbClr val="EEE8E0"/>
              </a:solidFill>
              <a:effectLst/>
              <a:latin typeface="Axiforma ExtraBold" panose="00000900000000000000" pitchFamily="50" charset="0"/>
              <a:ea typeface="Verdana" panose="020B0604030504040204" pitchFamily="34" charset="0"/>
              <a:cs typeface="Verdana" panose="020B0604030504040204" pitchFamily="34" charset="0"/>
            </a:rPr>
            <a:t>Results Spreadsheet</a:t>
          </a:r>
          <a:br>
            <a:rPr lang="pt-BR" sz="4800">
              <a:latin typeface="Axiforma" panose="00000500000000000000" pitchFamily="50" charset="0"/>
            </a:rPr>
          </a:br>
          <a:r>
            <a:rPr lang="pt-BR" sz="3600">
              <a:solidFill>
                <a:srgbClr val="C4E90D"/>
              </a:solidFill>
              <a:latin typeface="Axiforma ExtraBold" panose="00000900000000000000" pitchFamily="50" charset="0"/>
            </a:rPr>
            <a:t>1T/1Q 2025</a:t>
          </a:r>
          <a:endParaRPr lang="pt-BR" sz="4000" b="0">
            <a:solidFill>
              <a:srgbClr val="C4E90D"/>
            </a:solidFill>
            <a:latin typeface="Axiforma ExtraBold" panose="00000900000000000000" pitchFamily="50" charset="0"/>
          </a:endParaRPr>
        </a:p>
      </xdr:txBody>
    </xdr:sp>
    <xdr:clientData/>
  </xdr:twoCellAnchor>
  <xdr:twoCellAnchor>
    <xdr:from>
      <xdr:col>0</xdr:col>
      <xdr:colOff>0</xdr:colOff>
      <xdr:row>14</xdr:row>
      <xdr:rowOff>41413</xdr:rowOff>
    </xdr:from>
    <xdr:to>
      <xdr:col>7</xdr:col>
      <xdr:colOff>563217</xdr:colOff>
      <xdr:row>24</xdr:row>
      <xdr:rowOff>82826</xdr:rowOff>
    </xdr:to>
    <xdr:sp macro="" textlink="">
      <xdr:nvSpPr>
        <xdr:cNvPr id="7" name="Retângulo 2">
          <a:extLst>
            <a:ext uri="{FF2B5EF4-FFF2-40B4-BE49-F238E27FC236}">
              <a16:creationId xmlns:a16="http://schemas.microsoft.com/office/drawing/2014/main" id="{9A4AFDA1-400C-492B-B1A6-E7CFCB9FFF01}"/>
            </a:ext>
          </a:extLst>
        </xdr:cNvPr>
        <xdr:cNvSpPr/>
      </xdr:nvSpPr>
      <xdr:spPr>
        <a:xfrm>
          <a:off x="0" y="2782956"/>
          <a:ext cx="4422913" cy="19464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50000"/>
            </a:lnSpc>
          </a:pPr>
          <a:r>
            <a:rPr lang="en-US" sz="1050" b="1">
              <a:solidFill>
                <a:srgbClr val="C4E90D"/>
              </a:solidFill>
              <a:latin typeface="Verdana" panose="020B0604030504040204" pitchFamily="34" charset="0"/>
              <a:ea typeface="Verdana" panose="020B0604030504040204" pitchFamily="34" charset="0"/>
              <a:cs typeface="Arial" panose="020B0604020202020204" pitchFamily="34" charset="0"/>
            </a:rPr>
            <a:t>Disclaimer</a:t>
          </a:r>
          <a:endParaRPr lang="en-US" sz="1050" b="1">
            <a:solidFill>
              <a:srgbClr val="C4EB00"/>
            </a:solidFill>
            <a:effectLst/>
            <a:latin typeface="Verdana" panose="020B0604030504040204" pitchFamily="34" charset="0"/>
            <a:ea typeface="Calibri" panose="020F0502020204030204" pitchFamily="34" charset="0"/>
            <a:cs typeface="Times New Roman" panose="02020603050405020304" pitchFamily="18" charset="0"/>
          </a:endParaRPr>
        </a:p>
        <a:p>
          <a:pPr>
            <a:lnSpc>
              <a:spcPct val="150000"/>
            </a:lnSpc>
          </a:pPr>
          <a:r>
            <a:rPr lang="en-US" sz="700">
              <a:solidFill>
                <a:schemeClr val="bg1"/>
              </a:solidFill>
              <a:latin typeface="Verdana" panose="020B0604030504040204" pitchFamily="34" charset="0"/>
              <a:ea typeface="Verdana" panose="020B0604030504040204" pitchFamily="34" charset="0"/>
              <a:cs typeface="Arial" panose="020B0604020202020204" pitchFamily="34" charset="0"/>
            </a:rPr>
            <a:t>As métricas não contábeis apresentadas neste relatório não são medidas de desempenho financeiro, liquidez ou endividamento reconhecidas pelo BR GAAP nem pelas IFRS, e não possuem significado padrão. Outras companhias podem calcular as métricas não contábeis apresentadas neste relatório de forma distinta não havendo, desta forma, comparação entre as divulgações. As declarações contidas neste relatório relativas à perspectiva dos negócios da Companhia, às projeções e resultados e ao potencial de crescimento dela constituem-se em meras previsões e foram baseadas nas expectativas da administração em relação ao futuro da Companhia. Essas expectativas são altamente dependentes de mudanças no mercado e no desempenho econômico geral do País, do setor e do mercado internacional; estando, portanto, sujeitas a mudanças.</a:t>
          </a:r>
          <a:endParaRPr lang="en-US" sz="1050">
            <a:solidFill>
              <a:schemeClr val="bg1"/>
            </a:solidFill>
            <a:latin typeface="Verdana" panose="020B0604030504040204" pitchFamily="34" charset="0"/>
            <a:ea typeface="Verdana" panose="020B0604030504040204" pitchFamily="34" charset="0"/>
            <a:cs typeface="Arial" panose="020B0604020202020204" pitchFamily="34" charset="0"/>
          </a:endParaRPr>
        </a:p>
      </xdr:txBody>
    </xdr:sp>
    <xdr:clientData/>
  </xdr:twoCellAnchor>
  <xdr:twoCellAnchor>
    <xdr:from>
      <xdr:col>7</xdr:col>
      <xdr:colOff>480391</xdr:colOff>
      <xdr:row>14</xdr:row>
      <xdr:rowOff>41413</xdr:rowOff>
    </xdr:from>
    <xdr:to>
      <xdr:col>15</xdr:col>
      <xdr:colOff>0</xdr:colOff>
      <xdr:row>24</xdr:row>
      <xdr:rowOff>82826</xdr:rowOff>
    </xdr:to>
    <xdr:sp macro="" textlink="">
      <xdr:nvSpPr>
        <xdr:cNvPr id="9" name="Retângulo 2">
          <a:extLst>
            <a:ext uri="{FF2B5EF4-FFF2-40B4-BE49-F238E27FC236}">
              <a16:creationId xmlns:a16="http://schemas.microsoft.com/office/drawing/2014/main" id="{1FFE4F81-A1DC-4ECA-8AC4-A0E97EB710F9}"/>
            </a:ext>
          </a:extLst>
        </xdr:cNvPr>
        <xdr:cNvSpPr/>
      </xdr:nvSpPr>
      <xdr:spPr>
        <a:xfrm>
          <a:off x="4340087" y="2782956"/>
          <a:ext cx="4422913" cy="19464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50000"/>
            </a:lnSpc>
          </a:pPr>
          <a:r>
            <a:rPr lang="en-US" sz="1050" b="1">
              <a:solidFill>
                <a:srgbClr val="C4E90D"/>
              </a:solidFill>
              <a:latin typeface="Verdana" panose="020B0604030504040204" pitchFamily="34" charset="0"/>
              <a:ea typeface="Verdana" panose="020B0604030504040204" pitchFamily="34" charset="0"/>
              <a:cs typeface="Arial" panose="020B0604020202020204" pitchFamily="34" charset="0"/>
            </a:rPr>
            <a:t>Disclaimer</a:t>
          </a:r>
          <a:endParaRPr lang="en-US" sz="1050" b="1">
            <a:solidFill>
              <a:srgbClr val="C4EB00"/>
            </a:solidFill>
            <a:effectLst/>
            <a:latin typeface="Verdana" panose="020B0604030504040204" pitchFamily="34" charset="0"/>
            <a:ea typeface="Calibri" panose="020F0502020204030204" pitchFamily="34" charset="0"/>
            <a:cs typeface="Times New Roman" panose="02020603050405020304" pitchFamily="18" charset="0"/>
          </a:endParaRPr>
        </a:p>
        <a:p>
          <a:pPr algn="l">
            <a:lnSpc>
              <a:spcPct val="150000"/>
            </a:lnSpc>
          </a:pPr>
          <a:r>
            <a:rPr lang="en-US" sz="700">
              <a:solidFill>
                <a:schemeClr val="bg1"/>
              </a:solidFill>
              <a:latin typeface="Verdana" panose="020B0604030504040204" pitchFamily="34" charset="0"/>
              <a:ea typeface="Verdana" panose="020B0604030504040204" pitchFamily="34" charset="0"/>
              <a:cs typeface="Arial" panose="020B0604020202020204" pitchFamily="34" charset="0"/>
            </a:rPr>
            <a:t>The non-GAAP metrics presented in this report are not measures of financial performance, liquidity or indebtedness accepted by the BR GAAP or the IFRS, and they don’t have standard meanings. Other companies may calculate the non-GAAP metrics presented in this report in a different way, thus affecting and disabling comparison between disclosures. All statements made in this report are related to the Company’s perspective of its business, projections, results and to its potential growth and are all based on internal estimates made considering management’s expectations on the future of the Company. These expectations can all be affected by the overall results of the country’s economy, the sector and international market; thus, being subject to changes.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552452</xdr:colOff>
      <xdr:row>1</xdr:row>
      <xdr:rowOff>47625</xdr:rowOff>
    </xdr:from>
    <xdr:to>
      <xdr:col>37</xdr:col>
      <xdr:colOff>657226</xdr:colOff>
      <xdr:row>1</xdr:row>
      <xdr:rowOff>236227</xdr:rowOff>
    </xdr:to>
    <xdr:pic>
      <xdr:nvPicPr>
        <xdr:cNvPr id="3" name="Imagem 5">
          <a:extLst>
            <a:ext uri="{FF2B5EF4-FFF2-40B4-BE49-F238E27FC236}">
              <a16:creationId xmlns:a16="http://schemas.microsoft.com/office/drawing/2014/main" id="{DB3AC667-E2CF-404E-8E91-716FB93289CD}"/>
            </a:ext>
          </a:extLst>
        </xdr:cNvPr>
        <xdr:cNvPicPr>
          <a:picLocks noChangeAspect="1"/>
        </xdr:cNvPicPr>
      </xdr:nvPicPr>
      <xdr:blipFill>
        <a:blip xmlns:r="http://schemas.openxmlformats.org/officeDocument/2006/relationships" r:embed="rId1"/>
        <a:stretch>
          <a:fillRect/>
        </a:stretch>
      </xdr:blipFill>
      <xdr:spPr>
        <a:xfrm>
          <a:off x="18526127" y="200025"/>
          <a:ext cx="819150" cy="1886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36</xdr:col>
      <xdr:colOff>581025</xdr:colOff>
      <xdr:row>1</xdr:row>
      <xdr:rowOff>47625</xdr:rowOff>
    </xdr:from>
    <xdr:to>
      <xdr:col>37</xdr:col>
      <xdr:colOff>685800</xdr:colOff>
      <xdr:row>1</xdr:row>
      <xdr:rowOff>245752</xdr:rowOff>
    </xdr:to>
    <xdr:pic>
      <xdr:nvPicPr>
        <xdr:cNvPr id="2" name="Imagem 5">
          <a:extLst>
            <a:ext uri="{FF2B5EF4-FFF2-40B4-BE49-F238E27FC236}">
              <a16:creationId xmlns:a16="http://schemas.microsoft.com/office/drawing/2014/main" id="{840B62FD-D7EE-4494-8879-9AE590E4D895}"/>
            </a:ext>
          </a:extLst>
        </xdr:cNvPr>
        <xdr:cNvPicPr>
          <a:picLocks noChangeAspect="1"/>
        </xdr:cNvPicPr>
      </xdr:nvPicPr>
      <xdr:blipFill>
        <a:blip xmlns:r="http://schemas.openxmlformats.org/officeDocument/2006/relationships" r:embed="rId1"/>
        <a:stretch>
          <a:fillRect/>
        </a:stretch>
      </xdr:blipFill>
      <xdr:spPr>
        <a:xfrm>
          <a:off x="16363950" y="200025"/>
          <a:ext cx="819150" cy="1886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32</xdr:col>
      <xdr:colOff>529593</xdr:colOff>
      <xdr:row>1</xdr:row>
      <xdr:rowOff>48802</xdr:rowOff>
    </xdr:from>
    <xdr:ext cx="819150" cy="188602"/>
    <xdr:pic>
      <xdr:nvPicPr>
        <xdr:cNvPr id="2" name="Imagem 5">
          <a:extLst>
            <a:ext uri="{FF2B5EF4-FFF2-40B4-BE49-F238E27FC236}">
              <a16:creationId xmlns:a16="http://schemas.microsoft.com/office/drawing/2014/main" id="{789B8C72-937F-4CD0-9AD6-A0671B35467D}"/>
            </a:ext>
          </a:extLst>
        </xdr:cNvPr>
        <xdr:cNvPicPr>
          <a:picLocks noChangeAspect="1"/>
        </xdr:cNvPicPr>
      </xdr:nvPicPr>
      <xdr:blipFill>
        <a:blip xmlns:r="http://schemas.openxmlformats.org/officeDocument/2006/relationships" r:embed="rId1"/>
        <a:stretch>
          <a:fillRect/>
        </a:stretch>
      </xdr:blipFill>
      <xdr:spPr>
        <a:xfrm>
          <a:off x="13720962" y="203167"/>
          <a:ext cx="819150" cy="18860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36</xdr:col>
      <xdr:colOff>581025</xdr:colOff>
      <xdr:row>1</xdr:row>
      <xdr:rowOff>47625</xdr:rowOff>
    </xdr:from>
    <xdr:ext cx="819150" cy="188602"/>
    <xdr:pic>
      <xdr:nvPicPr>
        <xdr:cNvPr id="2" name="Imagem 5">
          <a:extLst>
            <a:ext uri="{FF2B5EF4-FFF2-40B4-BE49-F238E27FC236}">
              <a16:creationId xmlns:a16="http://schemas.microsoft.com/office/drawing/2014/main" id="{34755C8F-3811-4720-8E05-1BB4BBCE0D02}"/>
            </a:ext>
          </a:extLst>
        </xdr:cNvPr>
        <xdr:cNvPicPr>
          <a:picLocks noChangeAspect="1"/>
        </xdr:cNvPicPr>
      </xdr:nvPicPr>
      <xdr:blipFill>
        <a:blip xmlns:r="http://schemas.openxmlformats.org/officeDocument/2006/relationships" r:embed="rId1"/>
        <a:stretch>
          <a:fillRect/>
        </a:stretch>
      </xdr:blipFill>
      <xdr:spPr>
        <a:xfrm>
          <a:off x="18659475" y="200025"/>
          <a:ext cx="819150" cy="188602"/>
        </a:xfrm>
        <a:prstGeom prst="rect">
          <a:avLst/>
        </a:prstGeom>
      </xdr:spPr>
    </xdr:pic>
    <xdr:clientData/>
  </xdr:one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70A42-5424-4EEB-8B15-ECD04F4DB895}">
  <sheetPr>
    <tabColor theme="4" tint="-0.249977111117893"/>
  </sheetPr>
  <dimension ref="A1:O31"/>
  <sheetViews>
    <sheetView showGridLines="0" zoomScale="115" zoomScaleNormal="115" workbookViewId="0">
      <selection activeCell="L17" sqref="L17"/>
    </sheetView>
  </sheetViews>
  <sheetFormatPr defaultColWidth="0" defaultRowHeight="15" zeroHeight="1" x14ac:dyDescent="0.25"/>
  <cols>
    <col min="1" max="1" width="2.7109375" customWidth="1"/>
    <col min="2" max="15" width="9.140625" customWidth="1"/>
    <col min="16" max="16384" width="9.140625" hidden="1"/>
  </cols>
  <sheetData>
    <row r="1" spans="3:3" x14ac:dyDescent="0.25"/>
    <row r="2" spans="3:3" x14ac:dyDescent="0.25"/>
    <row r="3" spans="3:3" ht="15" customHeight="1" x14ac:dyDescent="0.25"/>
    <row r="4" spans="3:3" x14ac:dyDescent="0.25"/>
    <row r="5" spans="3:3" x14ac:dyDescent="0.25"/>
    <row r="6" spans="3:3" x14ac:dyDescent="0.25"/>
    <row r="7" spans="3:3" x14ac:dyDescent="0.25"/>
    <row r="8" spans="3:3" ht="21" x14ac:dyDescent="0.25">
      <c r="C8" s="15"/>
    </row>
    <row r="9" spans="3:3" x14ac:dyDescent="0.25"/>
    <row r="10" spans="3:3" x14ac:dyDescent="0.25"/>
    <row r="11" spans="3:3" x14ac:dyDescent="0.25"/>
    <row r="12" spans="3:3" x14ac:dyDescent="0.25"/>
    <row r="13" spans="3:3" x14ac:dyDescent="0.25"/>
    <row r="14" spans="3:3" x14ac:dyDescent="0.25"/>
    <row r="15" spans="3:3" x14ac:dyDescent="0.25"/>
    <row r="16" spans="3:3"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hidden="1" x14ac:dyDescent="0.25"/>
    <row r="27" customFormat="1" hidden="1" x14ac:dyDescent="0.25"/>
    <row r="28" customFormat="1" hidden="1" x14ac:dyDescent="0.25"/>
    <row r="29" customFormat="1" hidden="1" x14ac:dyDescent="0.25"/>
    <row r="30" customFormat="1" hidden="1" x14ac:dyDescent="0.25"/>
    <row r="31" customFormat="1" hidden="1"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11AA3-F1FD-44A2-80F9-37BA5757835F}">
  <sheetPr>
    <tabColor theme="4" tint="-0.249977111117893"/>
  </sheetPr>
  <dimension ref="A1:AN56"/>
  <sheetViews>
    <sheetView showGridLines="0" zoomScaleNormal="100" workbookViewId="0">
      <pane xSplit="3" ySplit="4" topLeftCell="K7" activePane="bottomRight" state="frozen"/>
      <selection activeCell="L17" sqref="L17"/>
      <selection pane="topRight" activeCell="L17" sqref="L17"/>
      <selection pane="bottomLeft" activeCell="L17" sqref="L17"/>
      <selection pane="bottomRight" activeCell="K7" sqref="K7"/>
    </sheetView>
  </sheetViews>
  <sheetFormatPr defaultColWidth="9.140625" defaultRowHeight="15" outlineLevelCol="1" x14ac:dyDescent="0.25"/>
  <cols>
    <col min="1" max="1" width="2.7109375" customWidth="1"/>
    <col min="2" max="2" width="43.28515625" style="111" bestFit="1" customWidth="1"/>
    <col min="3" max="3" width="37.5703125" hidden="1" customWidth="1" outlineLevel="1"/>
    <col min="4" max="4" width="8" customWidth="1" collapsed="1"/>
    <col min="5" max="7" width="10.7109375" customWidth="1" outlineLevel="1"/>
    <col min="8" max="13" width="10.7109375" customWidth="1"/>
    <col min="14" max="15" width="2.7109375" customWidth="1"/>
    <col min="16" max="17" width="10.7109375" hidden="1" customWidth="1" outlineLevel="1"/>
    <col min="18" max="19" width="11.28515625" hidden="1" customWidth="1" outlineLevel="1"/>
    <col min="20" max="27" width="10.7109375" hidden="1" customWidth="1" outlineLevel="1"/>
    <col min="28" max="28" width="10.7109375" customWidth="1" collapsed="1"/>
    <col min="29" max="38" width="10.7109375" customWidth="1"/>
    <col min="40" max="40" width="11.28515625" bestFit="1" customWidth="1"/>
  </cols>
  <sheetData>
    <row r="1" spans="1:40" ht="12" customHeight="1" x14ac:dyDescent="0.25"/>
    <row r="2" spans="1:40" ht="21" x14ac:dyDescent="0.25">
      <c r="B2" s="14" t="s">
        <v>7</v>
      </c>
      <c r="C2" s="14" t="s">
        <v>164</v>
      </c>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row>
    <row r="3" spans="1:40" ht="12" customHeight="1" x14ac:dyDescent="0.25">
      <c r="P3" s="19" t="s">
        <v>306</v>
      </c>
      <c r="Q3" s="19" t="s">
        <v>307</v>
      </c>
      <c r="R3" s="19" t="s">
        <v>308</v>
      </c>
      <c r="S3" s="19" t="s">
        <v>309</v>
      </c>
      <c r="T3" s="19" t="s">
        <v>310</v>
      </c>
      <c r="U3" s="19" t="s">
        <v>311</v>
      </c>
      <c r="V3" s="19" t="s">
        <v>312</v>
      </c>
      <c r="W3" s="19" t="s">
        <v>313</v>
      </c>
      <c r="X3" s="19" t="s">
        <v>314</v>
      </c>
      <c r="Y3" s="19" t="s">
        <v>315</v>
      </c>
      <c r="Z3" s="19" t="s">
        <v>316</v>
      </c>
      <c r="AA3" s="19" t="s">
        <v>318</v>
      </c>
      <c r="AB3" s="19" t="s">
        <v>345</v>
      </c>
      <c r="AC3" s="19" t="s">
        <v>361</v>
      </c>
      <c r="AD3" s="19" t="s">
        <v>367</v>
      </c>
      <c r="AE3" s="19" t="s">
        <v>375</v>
      </c>
      <c r="AF3" s="19" t="s">
        <v>389</v>
      </c>
      <c r="AG3" s="19" t="s">
        <v>405</v>
      </c>
      <c r="AH3" s="19" t="s">
        <v>407</v>
      </c>
      <c r="AI3" s="19" t="s">
        <v>418</v>
      </c>
      <c r="AJ3" s="19" t="s">
        <v>428</v>
      </c>
    </row>
    <row r="4" spans="1:40" x14ac:dyDescent="0.25">
      <c r="B4" s="112" t="s">
        <v>0</v>
      </c>
      <c r="C4" s="2" t="s">
        <v>165</v>
      </c>
      <c r="D4" s="3"/>
      <c r="E4" s="18">
        <v>2018</v>
      </c>
      <c r="F4" s="18">
        <v>2019</v>
      </c>
      <c r="G4" s="18">
        <v>2020</v>
      </c>
      <c r="H4" s="18">
        <v>2021</v>
      </c>
      <c r="I4" s="18">
        <v>2022</v>
      </c>
      <c r="J4" s="18">
        <v>2023</v>
      </c>
      <c r="K4" s="18">
        <v>2024</v>
      </c>
      <c r="L4" s="19" t="s">
        <v>374</v>
      </c>
      <c r="M4" s="19" t="s">
        <v>417</v>
      </c>
      <c r="N4" s="22"/>
      <c r="O4" s="23"/>
      <c r="P4" s="19" t="s">
        <v>86</v>
      </c>
      <c r="Q4" s="19" t="s">
        <v>87</v>
      </c>
      <c r="R4" s="19" t="s">
        <v>95</v>
      </c>
      <c r="S4" s="19" t="s">
        <v>96</v>
      </c>
      <c r="T4" s="19" t="s">
        <v>1</v>
      </c>
      <c r="U4" s="19" t="s">
        <v>2</v>
      </c>
      <c r="V4" s="19" t="s">
        <v>97</v>
      </c>
      <c r="W4" s="19" t="s">
        <v>143</v>
      </c>
      <c r="X4" s="19" t="s">
        <v>158</v>
      </c>
      <c r="Y4" s="19" t="s">
        <v>185</v>
      </c>
      <c r="Z4" s="19" t="s">
        <v>305</v>
      </c>
      <c r="AA4" s="19" t="s">
        <v>319</v>
      </c>
      <c r="AB4" s="19" t="s">
        <v>346</v>
      </c>
      <c r="AC4" s="19" t="s">
        <v>362</v>
      </c>
      <c r="AD4" s="19" t="s">
        <v>368</v>
      </c>
      <c r="AE4" s="19" t="s">
        <v>376</v>
      </c>
      <c r="AF4" s="19" t="s">
        <v>390</v>
      </c>
      <c r="AG4" s="19" t="s">
        <v>406</v>
      </c>
      <c r="AH4" s="19" t="s">
        <v>408</v>
      </c>
      <c r="AI4" s="19" t="s">
        <v>419</v>
      </c>
      <c r="AJ4" s="19" t="s">
        <v>429</v>
      </c>
      <c r="AK4" s="19" t="s">
        <v>105</v>
      </c>
      <c r="AL4" s="19" t="s">
        <v>106</v>
      </c>
    </row>
    <row r="5" spans="1:40" ht="6" customHeight="1" x14ac:dyDescent="0.25">
      <c r="B5" s="24"/>
      <c r="C5" s="24"/>
      <c r="D5" s="24"/>
      <c r="E5" s="24"/>
      <c r="F5" s="24"/>
      <c r="G5" s="24"/>
      <c r="H5" s="24"/>
      <c r="I5" s="24"/>
      <c r="J5" s="24"/>
      <c r="K5" s="24"/>
      <c r="L5" s="24"/>
      <c r="M5" s="24"/>
      <c r="N5" s="25"/>
      <c r="O5" s="24"/>
      <c r="P5" s="24"/>
      <c r="Q5" s="24"/>
      <c r="R5" s="24"/>
      <c r="S5" s="24"/>
      <c r="T5" s="24"/>
      <c r="U5" s="24"/>
      <c r="V5" s="24"/>
      <c r="W5" s="24"/>
      <c r="X5" s="24"/>
      <c r="Y5" s="24"/>
      <c r="Z5" s="24"/>
      <c r="AA5" s="24"/>
      <c r="AB5" s="24"/>
      <c r="AC5" s="24"/>
      <c r="AD5" s="24"/>
      <c r="AE5" s="24"/>
      <c r="AF5" s="24"/>
      <c r="AG5" s="24"/>
      <c r="AH5" s="24"/>
      <c r="AI5" s="24"/>
      <c r="AJ5" s="24"/>
      <c r="AK5" s="24"/>
      <c r="AL5" s="24"/>
    </row>
    <row r="6" spans="1:40" s="92" customFormat="1" ht="18" x14ac:dyDescent="0.25">
      <c r="A6" s="81"/>
      <c r="B6" s="8" t="s">
        <v>117</v>
      </c>
      <c r="C6" s="8" t="s">
        <v>166</v>
      </c>
      <c r="D6" s="26"/>
      <c r="E6" s="27">
        <f t="shared" ref="E6" si="0">E7+E8</f>
        <v>47610</v>
      </c>
      <c r="F6" s="27">
        <f t="shared" ref="F6" si="1">F7+F8</f>
        <v>68199</v>
      </c>
      <c r="G6" s="27">
        <f t="shared" ref="G6:K6" si="2">G7+G8</f>
        <v>123584</v>
      </c>
      <c r="H6" s="27">
        <f t="shared" si="2"/>
        <v>431642</v>
      </c>
      <c r="I6" s="27">
        <f t="shared" si="2"/>
        <v>1050404</v>
      </c>
      <c r="J6" s="27">
        <f t="shared" si="2"/>
        <v>1493847</v>
      </c>
      <c r="K6" s="27">
        <f t="shared" si="2"/>
        <v>1951259.9984517409</v>
      </c>
      <c r="L6" s="28">
        <f>J6/I6-1</f>
        <v>0.42216423395188896</v>
      </c>
      <c r="M6" s="28">
        <f>K6/J6-1</f>
        <v>0.30619802325923673</v>
      </c>
      <c r="N6" s="29"/>
      <c r="O6" s="30"/>
      <c r="P6" s="27">
        <f t="shared" ref="P6:U6" si="3">P7+P8</f>
        <v>22047</v>
      </c>
      <c r="Q6" s="27">
        <f t="shared" si="3"/>
        <v>24289</v>
      </c>
      <c r="R6" s="27">
        <f t="shared" si="3"/>
        <v>32571</v>
      </c>
      <c r="S6" s="27">
        <f t="shared" si="3"/>
        <v>44677</v>
      </c>
      <c r="T6" s="27">
        <f t="shared" si="3"/>
        <v>57120</v>
      </c>
      <c r="U6" s="27">
        <f t="shared" si="3"/>
        <v>79271</v>
      </c>
      <c r="V6" s="27">
        <f>V7+V8</f>
        <v>109730</v>
      </c>
      <c r="W6" s="27">
        <f>W7+W8</f>
        <v>185521</v>
      </c>
      <c r="X6" s="27">
        <f>X7+X8</f>
        <v>215790</v>
      </c>
      <c r="Y6" s="27">
        <v>250499</v>
      </c>
      <c r="Z6" s="27">
        <f t="shared" ref="Z6:AG6" si="4">Z7+Z8</f>
        <v>275578</v>
      </c>
      <c r="AA6" s="27">
        <f t="shared" si="4"/>
        <v>308537</v>
      </c>
      <c r="AB6" s="27">
        <f t="shared" si="4"/>
        <v>318710</v>
      </c>
      <c r="AC6" s="27">
        <f t="shared" si="4"/>
        <v>342794</v>
      </c>
      <c r="AD6" s="27">
        <f t="shared" si="4"/>
        <v>394650</v>
      </c>
      <c r="AE6" s="27">
        <f t="shared" si="4"/>
        <v>437693</v>
      </c>
      <c r="AF6" s="27">
        <f t="shared" si="4"/>
        <v>430062</v>
      </c>
      <c r="AG6" s="27">
        <f t="shared" si="4"/>
        <v>454802.13419311331</v>
      </c>
      <c r="AH6" s="27">
        <f>SUM(AH7:AH8)</f>
        <v>547657.68132862775</v>
      </c>
      <c r="AI6" s="27">
        <f>SUM(AI7:AI8)</f>
        <v>518738.18293000001</v>
      </c>
      <c r="AJ6" s="27">
        <f>SUM(AJ7:AJ8)</f>
        <v>481799.6831775165</v>
      </c>
      <c r="AK6" s="28">
        <f>AJ6/AF6-1</f>
        <v>0.12030284744412789</v>
      </c>
      <c r="AL6" s="28">
        <f>AJ6/AI6-1</f>
        <v>-7.120836862989921E-2</v>
      </c>
      <c r="AN6" s="117"/>
    </row>
    <row r="7" spans="1:40" s="93" customFormat="1" ht="18" x14ac:dyDescent="0.25">
      <c r="A7" s="91"/>
      <c r="B7" s="31" t="s">
        <v>8</v>
      </c>
      <c r="C7" s="31" t="s">
        <v>167</v>
      </c>
      <c r="D7" s="32"/>
      <c r="E7" s="49">
        <v>45902</v>
      </c>
      <c r="F7" s="49">
        <v>66829</v>
      </c>
      <c r="G7" s="49">
        <v>122902</v>
      </c>
      <c r="H7" s="49">
        <v>426630</v>
      </c>
      <c r="I7" s="49">
        <v>989762</v>
      </c>
      <c r="J7" s="49">
        <f>SUM(AB7:AE7)</f>
        <v>1382753</v>
      </c>
      <c r="K7" s="49">
        <f>SUM(AF7:AI7)</f>
        <v>1812775.3155217411</v>
      </c>
      <c r="L7" s="33"/>
      <c r="M7" s="33"/>
      <c r="N7" s="34"/>
      <c r="O7" s="32"/>
      <c r="P7" s="49">
        <v>22042</v>
      </c>
      <c r="Q7" s="49">
        <v>24059</v>
      </c>
      <c r="R7" s="49">
        <v>32194</v>
      </c>
      <c r="S7" s="49">
        <v>44607</v>
      </c>
      <c r="T7" s="49">
        <v>55140</v>
      </c>
      <c r="U7" s="49">
        <v>78621</v>
      </c>
      <c r="V7" s="49">
        <v>109291</v>
      </c>
      <c r="W7" s="49">
        <v>183578</v>
      </c>
      <c r="X7" s="49">
        <v>206273</v>
      </c>
      <c r="Y7" s="49">
        <v>238394</v>
      </c>
      <c r="Z7" s="49">
        <v>255166</v>
      </c>
      <c r="AA7" s="49">
        <v>289929</v>
      </c>
      <c r="AB7" s="49">
        <v>283195</v>
      </c>
      <c r="AC7" s="49">
        <v>324146</v>
      </c>
      <c r="AD7" s="49">
        <v>372429</v>
      </c>
      <c r="AE7" s="49">
        <v>402983</v>
      </c>
      <c r="AF7" s="49">
        <v>404827</v>
      </c>
      <c r="AG7" s="49">
        <v>434787.13419311331</v>
      </c>
      <c r="AH7" s="49">
        <v>500489.18132862775</v>
      </c>
      <c r="AI7" s="49">
        <v>472672</v>
      </c>
      <c r="AJ7" s="49">
        <v>418180.10262751649</v>
      </c>
      <c r="AK7" s="33"/>
      <c r="AL7" s="33"/>
    </row>
    <row r="8" spans="1:40" s="93" customFormat="1" ht="18" x14ac:dyDescent="0.25">
      <c r="A8" s="91"/>
      <c r="B8" s="31" t="s">
        <v>9</v>
      </c>
      <c r="C8" s="31" t="s">
        <v>168</v>
      </c>
      <c r="D8" s="32"/>
      <c r="E8" s="49">
        <v>1708</v>
      </c>
      <c r="F8" s="49">
        <v>1370</v>
      </c>
      <c r="G8" s="49">
        <v>682</v>
      </c>
      <c r="H8" s="49">
        <v>5012</v>
      </c>
      <c r="I8" s="49">
        <v>60642</v>
      </c>
      <c r="J8" s="49">
        <f>SUM(AB8:AE8)</f>
        <v>111094</v>
      </c>
      <c r="K8" s="49">
        <f>SUM(AF8:AI8)</f>
        <v>138484.68293000001</v>
      </c>
      <c r="L8" s="32"/>
      <c r="M8" s="32"/>
      <c r="N8" s="34"/>
      <c r="O8" s="32"/>
      <c r="P8" s="49">
        <v>5</v>
      </c>
      <c r="Q8" s="49">
        <v>230</v>
      </c>
      <c r="R8" s="49">
        <v>377</v>
      </c>
      <c r="S8" s="49">
        <v>70</v>
      </c>
      <c r="T8" s="49">
        <v>1980</v>
      </c>
      <c r="U8" s="49">
        <v>650</v>
      </c>
      <c r="V8" s="49">
        <v>439</v>
      </c>
      <c r="W8" s="49">
        <v>1943</v>
      </c>
      <c r="X8" s="49">
        <v>9517</v>
      </c>
      <c r="Y8" s="49">
        <v>12105</v>
      </c>
      <c r="Z8" s="49">
        <v>20412</v>
      </c>
      <c r="AA8" s="49">
        <v>18608</v>
      </c>
      <c r="AB8" s="49">
        <v>35515</v>
      </c>
      <c r="AC8" s="49">
        <v>18648</v>
      </c>
      <c r="AD8" s="49">
        <v>22221</v>
      </c>
      <c r="AE8" s="49">
        <v>34710</v>
      </c>
      <c r="AF8" s="49">
        <v>25235</v>
      </c>
      <c r="AG8" s="49">
        <v>20015</v>
      </c>
      <c r="AH8" s="49">
        <v>47168.5</v>
      </c>
      <c r="AI8" s="49">
        <v>46066.18293000001</v>
      </c>
      <c r="AJ8" s="49">
        <v>63619.580549999999</v>
      </c>
      <c r="AK8" s="32"/>
      <c r="AL8" s="32"/>
    </row>
    <row r="9" spans="1:40" s="92" customFormat="1" ht="18" x14ac:dyDescent="0.25">
      <c r="A9" s="81"/>
      <c r="B9" s="30"/>
      <c r="C9" s="30"/>
      <c r="D9" s="30"/>
      <c r="E9" s="30"/>
      <c r="F9" s="30"/>
      <c r="G9" s="30"/>
      <c r="H9" s="30"/>
      <c r="I9" s="30"/>
      <c r="J9" s="30"/>
      <c r="K9" s="30"/>
      <c r="L9" s="30"/>
      <c r="M9" s="30"/>
      <c r="N9" s="29"/>
      <c r="O9" s="30"/>
      <c r="P9" s="30"/>
      <c r="Q9" s="30"/>
      <c r="R9" s="30"/>
      <c r="S9" s="30"/>
      <c r="T9" s="30"/>
      <c r="U9" s="30"/>
      <c r="V9" s="107"/>
      <c r="W9" s="30"/>
      <c r="X9" s="30"/>
      <c r="Y9" s="30"/>
      <c r="Z9" s="30"/>
      <c r="AA9" s="30"/>
      <c r="AB9" s="30"/>
      <c r="AC9" s="107"/>
      <c r="AD9" s="107"/>
      <c r="AE9" s="107"/>
      <c r="AF9" s="107"/>
      <c r="AG9" s="107"/>
      <c r="AH9" s="107"/>
      <c r="AI9" s="107"/>
      <c r="AJ9" s="107"/>
      <c r="AK9" s="30"/>
      <c r="AL9" s="30"/>
    </row>
    <row r="10" spans="1:40" s="92" customFormat="1" ht="18" x14ac:dyDescent="0.25">
      <c r="A10" s="81"/>
      <c r="B10" s="55" t="s">
        <v>118</v>
      </c>
      <c r="C10" s="55" t="s">
        <v>169</v>
      </c>
      <c r="D10" s="53"/>
      <c r="E10" s="54">
        <f t="shared" ref="E10:G10" si="5">E11+E12+E13</f>
        <v>-4872</v>
      </c>
      <c r="F10" s="54">
        <f t="shared" si="5"/>
        <v>-6825</v>
      </c>
      <c r="G10" s="54">
        <f t="shared" si="5"/>
        <v>-12290</v>
      </c>
      <c r="H10" s="54">
        <f>H11+H12+H13</f>
        <v>-41888</v>
      </c>
      <c r="I10" s="54">
        <f>I11+I12+I13</f>
        <v>-98650</v>
      </c>
      <c r="J10" s="54">
        <f>J11+J12+J13</f>
        <v>-132880</v>
      </c>
      <c r="K10" s="54">
        <f>K11+K12+K13</f>
        <v>-185290.54926499183</v>
      </c>
      <c r="L10" s="10"/>
      <c r="M10" s="10"/>
      <c r="N10" s="29"/>
      <c r="O10" s="30"/>
      <c r="P10" s="54">
        <f t="shared" ref="P10:X10" si="6">P11+P12+P13</f>
        <v>-2220</v>
      </c>
      <c r="Q10" s="54">
        <f t="shared" si="6"/>
        <v>-2421</v>
      </c>
      <c r="R10" s="54">
        <f t="shared" si="6"/>
        <v>-3227</v>
      </c>
      <c r="S10" s="54">
        <f t="shared" si="6"/>
        <v>-4422</v>
      </c>
      <c r="T10" s="54">
        <f t="shared" si="6"/>
        <v>-5365</v>
      </c>
      <c r="U10" s="54">
        <f t="shared" si="6"/>
        <v>-7680</v>
      </c>
      <c r="V10" s="54">
        <f t="shared" si="6"/>
        <v>-10384</v>
      </c>
      <c r="W10" s="54">
        <f t="shared" si="6"/>
        <v>-18459</v>
      </c>
      <c r="X10" s="54">
        <f t="shared" si="6"/>
        <v>-20374</v>
      </c>
      <c r="Y10" s="54">
        <v>-24636</v>
      </c>
      <c r="Z10" s="54">
        <f t="shared" ref="Z10:AB10" si="7">Z11+Z12+Z13</f>
        <v>-24980.999999999996</v>
      </c>
      <c r="AA10" s="54">
        <f t="shared" si="7"/>
        <v>-28659.000000000004</v>
      </c>
      <c r="AB10" s="54">
        <f t="shared" si="7"/>
        <v>-27219</v>
      </c>
      <c r="AC10" s="54">
        <f t="shared" ref="AC10:AG10" si="8">AC11+AC12+AC13</f>
        <v>-31856</v>
      </c>
      <c r="AD10" s="54">
        <f t="shared" si="8"/>
        <v>-35111</v>
      </c>
      <c r="AE10" s="54">
        <f t="shared" si="8"/>
        <v>-38694</v>
      </c>
      <c r="AF10" s="54">
        <f t="shared" si="8"/>
        <v>-42275</v>
      </c>
      <c r="AG10" s="54">
        <f t="shared" si="8"/>
        <v>-47099.183482929133</v>
      </c>
      <c r="AH10" s="54">
        <f>SUM(AH11:AH13)</f>
        <v>-50672.501596266928</v>
      </c>
      <c r="AI10" s="54">
        <f>SUM(AI11:AI13)</f>
        <v>-45243.86418579577</v>
      </c>
      <c r="AJ10" s="54">
        <f>SUM(AJ11:AJ13)</f>
        <v>-41882.919915516482</v>
      </c>
      <c r="AK10" s="36"/>
      <c r="AL10" s="36"/>
    </row>
    <row r="11" spans="1:40" s="93" customFormat="1" ht="18" x14ac:dyDescent="0.25">
      <c r="A11" s="91"/>
      <c r="B11" s="31" t="s">
        <v>10</v>
      </c>
      <c r="C11" s="31" t="s">
        <v>10</v>
      </c>
      <c r="D11" s="32"/>
      <c r="E11" s="49">
        <v>-4245</v>
      </c>
      <c r="F11" s="49">
        <v>-6191</v>
      </c>
      <c r="G11" s="49">
        <v>-11298</v>
      </c>
      <c r="H11" s="49">
        <v>-38681</v>
      </c>
      <c r="I11" s="49">
        <v>-89040</v>
      </c>
      <c r="J11" s="49">
        <f t="shared" ref="J11:J13" si="9">SUM(AB11:AE11)</f>
        <v>-117461</v>
      </c>
      <c r="K11" s="49">
        <f>SUM(AF11:AI11)</f>
        <v>-151605.90074887147</v>
      </c>
      <c r="L11" s="32"/>
      <c r="M11" s="32"/>
      <c r="N11" s="34"/>
      <c r="O11" s="32"/>
      <c r="P11" s="49">
        <v>-2039</v>
      </c>
      <c r="Q11" s="49">
        <v>-2220</v>
      </c>
      <c r="R11" s="49">
        <v>-2976</v>
      </c>
      <c r="S11" s="49">
        <v>-4063</v>
      </c>
      <c r="T11" s="49">
        <v>-4973</v>
      </c>
      <c r="U11" s="49">
        <v>-7197</v>
      </c>
      <c r="V11" s="49">
        <v>-9838</v>
      </c>
      <c r="W11" s="49">
        <v>-16673</v>
      </c>
      <c r="X11" s="49">
        <v>-18923</v>
      </c>
      <c r="Y11" s="49">
        <v>-21799</v>
      </c>
      <c r="Z11" s="49">
        <v>-22502.199999999997</v>
      </c>
      <c r="AA11" s="49">
        <v>-25815.800000000003</v>
      </c>
      <c r="AB11" s="49">
        <v>-24634</v>
      </c>
      <c r="AC11" s="49">
        <v>-28801</v>
      </c>
      <c r="AD11" s="49">
        <v>-31303</v>
      </c>
      <c r="AE11" s="49">
        <v>-32723</v>
      </c>
      <c r="AF11" s="49">
        <v>-36714</v>
      </c>
      <c r="AG11" s="49">
        <v>-38109.999618000002</v>
      </c>
      <c r="AH11" s="49">
        <v>-41812.901130871469</v>
      </c>
      <c r="AI11" s="49">
        <v>-34969</v>
      </c>
      <c r="AJ11" s="49">
        <v>-33352</v>
      </c>
      <c r="AK11" s="119"/>
      <c r="AL11" s="52"/>
    </row>
    <row r="12" spans="1:40" s="93" customFormat="1" ht="18" x14ac:dyDescent="0.25">
      <c r="A12" s="91"/>
      <c r="B12" s="31" t="s">
        <v>11</v>
      </c>
      <c r="C12" s="31" t="s">
        <v>11</v>
      </c>
      <c r="D12" s="32"/>
      <c r="E12" s="49">
        <v>-627</v>
      </c>
      <c r="F12" s="49">
        <v>-634</v>
      </c>
      <c r="G12" s="49">
        <v>-992</v>
      </c>
      <c r="H12" s="49">
        <f>-2897</f>
        <v>-2897</v>
      </c>
      <c r="I12" s="49">
        <v>-9192</v>
      </c>
      <c r="J12" s="49">
        <f t="shared" si="9"/>
        <v>-15201</v>
      </c>
      <c r="K12" s="49">
        <f>SUM(AF12:AI12)</f>
        <v>-33097.64851612036</v>
      </c>
      <c r="L12" s="32"/>
      <c r="M12" s="32"/>
      <c r="N12" s="34"/>
      <c r="O12" s="32"/>
      <c r="P12" s="49">
        <v>-181</v>
      </c>
      <c r="Q12" s="49">
        <v>-201</v>
      </c>
      <c r="R12" s="49">
        <v>-251</v>
      </c>
      <c r="S12" s="49">
        <v>-359</v>
      </c>
      <c r="T12" s="49">
        <v>-392</v>
      </c>
      <c r="U12" s="49">
        <v>-483</v>
      </c>
      <c r="V12" s="49">
        <v>-546</v>
      </c>
      <c r="W12" s="49">
        <v>-1476</v>
      </c>
      <c r="X12" s="49">
        <v>-1315</v>
      </c>
      <c r="Y12" s="49">
        <v>-2702</v>
      </c>
      <c r="Z12" s="49">
        <v>-2442</v>
      </c>
      <c r="AA12" s="49">
        <v>-2733</v>
      </c>
      <c r="AB12" s="49">
        <v>-2511</v>
      </c>
      <c r="AC12" s="49">
        <v>-2977</v>
      </c>
      <c r="AD12" s="49">
        <v>-3778</v>
      </c>
      <c r="AE12" s="49">
        <v>-5935</v>
      </c>
      <c r="AF12" s="49">
        <v>-5553</v>
      </c>
      <c r="AG12" s="49">
        <v>-8940.1838649291276</v>
      </c>
      <c r="AH12" s="49">
        <v>-8646.6004653954624</v>
      </c>
      <c r="AI12" s="49">
        <v>-9957.86418579577</v>
      </c>
      <c r="AJ12" s="49">
        <v>-7950.9199155164815</v>
      </c>
      <c r="AK12" s="32"/>
      <c r="AL12" s="32"/>
    </row>
    <row r="13" spans="1:40" s="93" customFormat="1" ht="18" x14ac:dyDescent="0.25">
      <c r="A13" s="91"/>
      <c r="B13" s="31" t="s">
        <v>146</v>
      </c>
      <c r="C13" s="31" t="s">
        <v>146</v>
      </c>
      <c r="D13" s="32"/>
      <c r="E13" s="49">
        <v>0</v>
      </c>
      <c r="F13" s="49">
        <v>0</v>
      </c>
      <c r="G13" s="49">
        <v>0</v>
      </c>
      <c r="H13" s="49">
        <f>-310</f>
        <v>-310</v>
      </c>
      <c r="I13" s="49">
        <v>-418</v>
      </c>
      <c r="J13" s="49">
        <f t="shared" si="9"/>
        <v>-218</v>
      </c>
      <c r="K13" s="49">
        <f>SUM(AF13:AI13)</f>
        <v>-587</v>
      </c>
      <c r="L13" s="32"/>
      <c r="M13" s="32"/>
      <c r="N13" s="34"/>
      <c r="O13" s="32"/>
      <c r="P13" s="49">
        <v>0</v>
      </c>
      <c r="Q13" s="49">
        <v>0</v>
      </c>
      <c r="R13" s="49"/>
      <c r="S13" s="49">
        <v>0</v>
      </c>
      <c r="T13" s="49">
        <v>0</v>
      </c>
      <c r="U13" s="49">
        <v>0</v>
      </c>
      <c r="V13" s="49">
        <v>0</v>
      </c>
      <c r="W13" s="49">
        <v>-310</v>
      </c>
      <c r="X13" s="49">
        <v>-136</v>
      </c>
      <c r="Y13" s="49">
        <v>-135</v>
      </c>
      <c r="Z13" s="49">
        <v>-36.800000000000011</v>
      </c>
      <c r="AA13" s="49">
        <v>-110.19999999999999</v>
      </c>
      <c r="AB13" s="49">
        <v>-74</v>
      </c>
      <c r="AC13" s="49">
        <v>-78</v>
      </c>
      <c r="AD13" s="49">
        <v>-30</v>
      </c>
      <c r="AE13" s="49">
        <v>-36</v>
      </c>
      <c r="AF13" s="49">
        <v>-8</v>
      </c>
      <c r="AG13" s="49">
        <v>-49</v>
      </c>
      <c r="AH13" s="49">
        <v>-213</v>
      </c>
      <c r="AI13" s="49">
        <v>-317</v>
      </c>
      <c r="AJ13" s="49">
        <v>-580</v>
      </c>
      <c r="AL13" s="32"/>
    </row>
    <row r="14" spans="1:40" s="92" customFormat="1" ht="18" x14ac:dyDescent="0.25">
      <c r="A14" s="81"/>
      <c r="B14" s="30"/>
      <c r="C14" s="30"/>
      <c r="D14" s="30"/>
      <c r="E14" s="30"/>
      <c r="F14" s="30"/>
      <c r="G14" s="30"/>
      <c r="H14" s="30"/>
      <c r="I14" s="30"/>
      <c r="J14" s="30"/>
      <c r="K14" s="30"/>
      <c r="L14" s="30"/>
      <c r="M14" s="30"/>
      <c r="N14" s="29"/>
      <c r="O14" s="30"/>
      <c r="P14" s="30"/>
      <c r="Q14" s="30"/>
      <c r="R14" s="30"/>
      <c r="S14" s="30"/>
      <c r="T14" s="30"/>
      <c r="U14" s="30"/>
      <c r="V14" s="30"/>
      <c r="W14" s="30"/>
      <c r="X14" s="30"/>
      <c r="Y14" s="30"/>
      <c r="Z14" s="30"/>
      <c r="AA14" s="30"/>
      <c r="AB14" s="30"/>
      <c r="AC14" s="30"/>
      <c r="AD14" s="30"/>
      <c r="AE14" s="30"/>
      <c r="AF14" s="30"/>
      <c r="AG14" s="30"/>
      <c r="AH14" s="30"/>
      <c r="AI14" s="30"/>
      <c r="AJ14" s="30"/>
      <c r="AK14" s="30"/>
      <c r="AL14" s="30"/>
    </row>
    <row r="15" spans="1:40" s="92" customFormat="1" ht="18" x14ac:dyDescent="0.25">
      <c r="A15" s="81"/>
      <c r="B15" s="8" t="s">
        <v>119</v>
      </c>
      <c r="C15" s="8" t="s">
        <v>170</v>
      </c>
      <c r="D15" s="26"/>
      <c r="E15" s="27">
        <f t="shared" ref="E15:H15" si="10">E6+E10</f>
        <v>42738</v>
      </c>
      <c r="F15" s="27">
        <f t="shared" si="10"/>
        <v>61374</v>
      </c>
      <c r="G15" s="27">
        <f t="shared" si="10"/>
        <v>111294</v>
      </c>
      <c r="H15" s="27">
        <f t="shared" si="10"/>
        <v>389754</v>
      </c>
      <c r="I15" s="27">
        <f t="shared" ref="I15:K15" si="11">I6+I10</f>
        <v>951754</v>
      </c>
      <c r="J15" s="27">
        <f t="shared" si="11"/>
        <v>1360967</v>
      </c>
      <c r="K15" s="27">
        <f t="shared" si="11"/>
        <v>1765969.4491867491</v>
      </c>
      <c r="L15" s="28">
        <f>J15/I15-1</f>
        <v>0.42995669048934904</v>
      </c>
      <c r="M15" s="28">
        <f>K15/J15-1</f>
        <v>0.29758432731047058</v>
      </c>
      <c r="N15" s="29"/>
      <c r="O15" s="30"/>
      <c r="P15" s="27">
        <f t="shared" ref="P15:T15" si="12">P6+P10</f>
        <v>19827</v>
      </c>
      <c r="Q15" s="27">
        <f t="shared" si="12"/>
        <v>21868</v>
      </c>
      <c r="R15" s="27">
        <f t="shared" si="12"/>
        <v>29344</v>
      </c>
      <c r="S15" s="27">
        <f t="shared" si="12"/>
        <v>40255</v>
      </c>
      <c r="T15" s="27">
        <f t="shared" si="12"/>
        <v>51755</v>
      </c>
      <c r="U15" s="27">
        <f>U6+U10</f>
        <v>71591</v>
      </c>
      <c r="V15" s="27">
        <f>V6+V10</f>
        <v>99346</v>
      </c>
      <c r="W15" s="27">
        <f>W6+W10</f>
        <v>167062</v>
      </c>
      <c r="X15" s="27">
        <f>X6+X10</f>
        <v>195416</v>
      </c>
      <c r="Y15" s="27">
        <v>225863</v>
      </c>
      <c r="Z15" s="27">
        <f t="shared" ref="Z15:AI15" si="13">Z6+Z10</f>
        <v>250597</v>
      </c>
      <c r="AA15" s="27">
        <f t="shared" si="13"/>
        <v>279878</v>
      </c>
      <c r="AB15" s="27">
        <f t="shared" si="13"/>
        <v>291491</v>
      </c>
      <c r="AC15" s="27">
        <f t="shared" si="13"/>
        <v>310938</v>
      </c>
      <c r="AD15" s="27">
        <f t="shared" si="13"/>
        <v>359539</v>
      </c>
      <c r="AE15" s="27">
        <f t="shared" si="13"/>
        <v>398999</v>
      </c>
      <c r="AF15" s="27">
        <f t="shared" si="13"/>
        <v>387787</v>
      </c>
      <c r="AG15" s="27">
        <f t="shared" si="13"/>
        <v>407702.95071018417</v>
      </c>
      <c r="AH15" s="27">
        <f t="shared" si="13"/>
        <v>496985.17973236082</v>
      </c>
      <c r="AI15" s="27">
        <f t="shared" si="13"/>
        <v>473494.31874420424</v>
      </c>
      <c r="AJ15" s="27">
        <f t="shared" ref="AJ15" si="14">AJ6+AJ10</f>
        <v>439916.76326200005</v>
      </c>
      <c r="AK15" s="28">
        <f>AJ15/AF15-1</f>
        <v>0.13442885723863895</v>
      </c>
      <c r="AL15" s="28">
        <f>AJ15/AI15-1</f>
        <v>-7.091437880660989E-2</v>
      </c>
    </row>
    <row r="16" spans="1:40" s="92" customFormat="1" ht="18" x14ac:dyDescent="0.25">
      <c r="A16" s="81"/>
      <c r="B16" s="31" t="s">
        <v>163</v>
      </c>
      <c r="C16" s="31" t="s">
        <v>171</v>
      </c>
      <c r="E16" s="49">
        <f t="shared" ref="E16:G16" si="15">E7+E10</f>
        <v>41030</v>
      </c>
      <c r="F16" s="49">
        <f t="shared" si="15"/>
        <v>60004</v>
      </c>
      <c r="G16" s="49">
        <f t="shared" si="15"/>
        <v>110612</v>
      </c>
      <c r="H16" s="49">
        <f t="shared" ref="H16:I16" si="16">H7+H10</f>
        <v>384742</v>
      </c>
      <c r="I16" s="49">
        <f t="shared" si="16"/>
        <v>891112</v>
      </c>
      <c r="J16" s="49">
        <f>J7+J10</f>
        <v>1249873</v>
      </c>
      <c r="K16" s="49">
        <f>SUM(AF16:AI16)</f>
        <v>1627484.7662567492</v>
      </c>
      <c r="N16" s="29"/>
      <c r="O16" s="30"/>
      <c r="P16" s="49">
        <f t="shared" ref="P16:W16" si="17">P7+P10</f>
        <v>19822</v>
      </c>
      <c r="Q16" s="49">
        <f t="shared" si="17"/>
        <v>21638</v>
      </c>
      <c r="R16" s="49">
        <f t="shared" si="17"/>
        <v>28967</v>
      </c>
      <c r="S16" s="49">
        <f t="shared" si="17"/>
        <v>40185</v>
      </c>
      <c r="T16" s="49">
        <f t="shared" si="17"/>
        <v>49775</v>
      </c>
      <c r="U16" s="49">
        <f t="shared" si="17"/>
        <v>70941</v>
      </c>
      <c r="V16" s="49">
        <f t="shared" si="17"/>
        <v>98907</v>
      </c>
      <c r="W16" s="49">
        <f t="shared" si="17"/>
        <v>165119</v>
      </c>
      <c r="X16" s="49">
        <f>X7+X10</f>
        <v>185899</v>
      </c>
      <c r="Y16" s="49">
        <v>213758</v>
      </c>
      <c r="Z16" s="49">
        <f t="shared" ref="Z16:AF16" si="18">Z7+Z10</f>
        <v>230185</v>
      </c>
      <c r="AA16" s="49">
        <f t="shared" si="18"/>
        <v>261270</v>
      </c>
      <c r="AB16" s="49">
        <f t="shared" si="18"/>
        <v>255976</v>
      </c>
      <c r="AC16" s="49">
        <f t="shared" si="18"/>
        <v>292290</v>
      </c>
      <c r="AD16" s="49">
        <f t="shared" si="18"/>
        <v>337318</v>
      </c>
      <c r="AE16" s="49">
        <f t="shared" si="18"/>
        <v>364289</v>
      </c>
      <c r="AF16" s="49">
        <f t="shared" si="18"/>
        <v>362552</v>
      </c>
      <c r="AG16" s="49">
        <f t="shared" ref="AG16:AI16" si="19">AG7+AG10</f>
        <v>387687.95071018417</v>
      </c>
      <c r="AH16" s="49">
        <f t="shared" si="19"/>
        <v>449816.67973236082</v>
      </c>
      <c r="AI16" s="49">
        <f t="shared" si="19"/>
        <v>427428.13581420423</v>
      </c>
      <c r="AJ16" s="49">
        <f t="shared" ref="AJ16" si="20">AJ7+AJ10</f>
        <v>376297.18271199998</v>
      </c>
    </row>
    <row r="17" spans="1:38" s="92" customFormat="1" ht="18" x14ac:dyDescent="0.25">
      <c r="A17" s="81"/>
      <c r="B17" s="31" t="s">
        <v>377</v>
      </c>
      <c r="C17" s="31" t="s">
        <v>172</v>
      </c>
      <c r="E17" s="49">
        <f t="shared" ref="E17:G17" si="21">E8</f>
        <v>1708</v>
      </c>
      <c r="F17" s="49">
        <f t="shared" si="21"/>
        <v>1370</v>
      </c>
      <c r="G17" s="49">
        <f t="shared" si="21"/>
        <v>682</v>
      </c>
      <c r="H17" s="49">
        <f t="shared" ref="H17:I17" si="22">H8</f>
        <v>5012</v>
      </c>
      <c r="I17" s="49">
        <f t="shared" si="22"/>
        <v>60642</v>
      </c>
      <c r="J17" s="49">
        <f t="shared" ref="J17" si="23">J8</f>
        <v>111094</v>
      </c>
      <c r="K17" s="49">
        <f>SUM(AF17:AI17)</f>
        <v>138484.68293000001</v>
      </c>
      <c r="N17" s="29"/>
      <c r="O17" s="30"/>
      <c r="P17" s="49">
        <f t="shared" ref="P17:W17" si="24">P8</f>
        <v>5</v>
      </c>
      <c r="Q17" s="49">
        <f t="shared" si="24"/>
        <v>230</v>
      </c>
      <c r="R17" s="49">
        <f t="shared" si="24"/>
        <v>377</v>
      </c>
      <c r="S17" s="49">
        <f t="shared" si="24"/>
        <v>70</v>
      </c>
      <c r="T17" s="49">
        <f t="shared" si="24"/>
        <v>1980</v>
      </c>
      <c r="U17" s="49">
        <f t="shared" si="24"/>
        <v>650</v>
      </c>
      <c r="V17" s="49">
        <f t="shared" si="24"/>
        <v>439</v>
      </c>
      <c r="W17" s="49">
        <f t="shared" si="24"/>
        <v>1943</v>
      </c>
      <c r="X17" s="49">
        <f>X8</f>
        <v>9517</v>
      </c>
      <c r="Y17" s="49">
        <v>12105</v>
      </c>
      <c r="Z17" s="49">
        <f t="shared" ref="Z17:AF17" si="25">Z8</f>
        <v>20412</v>
      </c>
      <c r="AA17" s="49">
        <f t="shared" si="25"/>
        <v>18608</v>
      </c>
      <c r="AB17" s="49">
        <f t="shared" si="25"/>
        <v>35515</v>
      </c>
      <c r="AC17" s="49">
        <f t="shared" si="25"/>
        <v>18648</v>
      </c>
      <c r="AD17" s="49">
        <f t="shared" si="25"/>
        <v>22221</v>
      </c>
      <c r="AE17" s="49">
        <f t="shared" si="25"/>
        <v>34710</v>
      </c>
      <c r="AF17" s="49">
        <f t="shared" si="25"/>
        <v>25235</v>
      </c>
      <c r="AG17" s="49">
        <f t="shared" ref="AG17:AH17" si="26">AG8</f>
        <v>20015</v>
      </c>
      <c r="AH17" s="49">
        <f t="shared" si="26"/>
        <v>47168.5</v>
      </c>
      <c r="AI17" s="49">
        <f>AI8</f>
        <v>46066.18293000001</v>
      </c>
      <c r="AJ17" s="49">
        <f>AJ8</f>
        <v>63619.580549999999</v>
      </c>
    </row>
    <row r="18" spans="1:38" s="92" customFormat="1" ht="18" x14ac:dyDescent="0.25">
      <c r="A18" s="81"/>
      <c r="B18" s="30"/>
      <c r="C18" s="30"/>
      <c r="D18" s="30"/>
      <c r="E18" s="30"/>
      <c r="F18" s="30"/>
      <c r="G18" s="30"/>
      <c r="H18" s="30"/>
      <c r="I18" s="30"/>
      <c r="J18" s="30"/>
      <c r="K18" s="30"/>
      <c r="L18" s="30"/>
      <c r="M18" s="30"/>
      <c r="N18" s="29"/>
      <c r="O18" s="30"/>
      <c r="P18" s="30"/>
      <c r="Q18" s="30"/>
      <c r="R18" s="30"/>
      <c r="S18" s="30"/>
      <c r="U18" s="30"/>
      <c r="V18" s="30"/>
      <c r="W18" s="30"/>
      <c r="X18" s="108"/>
      <c r="Y18" s="108"/>
      <c r="Z18" s="108"/>
      <c r="AA18" s="108"/>
      <c r="AB18" s="108"/>
      <c r="AC18" s="108"/>
      <c r="AD18" s="108"/>
      <c r="AE18" s="108"/>
      <c r="AF18" s="108"/>
      <c r="AG18" s="108"/>
      <c r="AH18" s="108"/>
      <c r="AI18" s="108"/>
      <c r="AJ18" s="108"/>
      <c r="AK18" s="30"/>
      <c r="AL18" s="30"/>
    </row>
    <row r="19" spans="1:38" s="92" customFormat="1" ht="18" x14ac:dyDescent="0.25">
      <c r="A19" s="81"/>
      <c r="B19" s="7" t="s">
        <v>12</v>
      </c>
      <c r="C19" s="7" t="s">
        <v>173</v>
      </c>
      <c r="D19" s="30"/>
      <c r="E19" s="35">
        <v>-25845</v>
      </c>
      <c r="F19" s="35">
        <v>-34481</v>
      </c>
      <c r="G19" s="35">
        <v>-61040</v>
      </c>
      <c r="H19" s="35">
        <v>-201903</v>
      </c>
      <c r="I19" s="35">
        <v>-504134</v>
      </c>
      <c r="J19" s="35">
        <f>SUM(AB19:AE19)</f>
        <v>-734137</v>
      </c>
      <c r="K19" s="35">
        <f>SUM(AF19:AI19)</f>
        <v>-1051347.8166439999</v>
      </c>
      <c r="L19" s="30"/>
      <c r="M19" s="30"/>
      <c r="N19" s="29"/>
      <c r="O19" s="30"/>
      <c r="P19" s="35">
        <v>-10584</v>
      </c>
      <c r="Q19" s="35">
        <v>-12362</v>
      </c>
      <c r="R19" s="35">
        <v>-16236.917819999999</v>
      </c>
      <c r="S19" s="35">
        <v>-21857.082179999998</v>
      </c>
      <c r="T19" s="35">
        <v>-28443</v>
      </c>
      <c r="U19" s="35">
        <v>-37333</v>
      </c>
      <c r="V19" s="35">
        <v>-47541</v>
      </c>
      <c r="W19" s="35">
        <v>-88586</v>
      </c>
      <c r="X19" s="35">
        <v>-108171</v>
      </c>
      <c r="Y19" s="35">
        <v>-126193</v>
      </c>
      <c r="Z19" s="35">
        <v>-130307</v>
      </c>
      <c r="AA19" s="35">
        <v>-139463</v>
      </c>
      <c r="AB19" s="35">
        <v>-157807</v>
      </c>
      <c r="AC19" s="35">
        <v>-156946</v>
      </c>
      <c r="AD19" s="35">
        <v>-190695</v>
      </c>
      <c r="AE19" s="35">
        <v>-228689</v>
      </c>
      <c r="AF19" s="35">
        <v>-214230</v>
      </c>
      <c r="AG19" s="35">
        <v>-237132.93026269996</v>
      </c>
      <c r="AH19" s="35">
        <v>-292151.74079567532</v>
      </c>
      <c r="AI19" s="35">
        <v>-307833.14558562462</v>
      </c>
      <c r="AJ19" s="35">
        <v>-289085.71213199996</v>
      </c>
      <c r="AK19" s="30"/>
      <c r="AL19" s="30"/>
    </row>
    <row r="20" spans="1:38" s="92" customFormat="1" ht="18" x14ac:dyDescent="0.25">
      <c r="A20" s="81"/>
      <c r="B20" s="7" t="s">
        <v>4</v>
      </c>
      <c r="C20" s="7" t="s">
        <v>174</v>
      </c>
      <c r="D20" s="30"/>
      <c r="E20" s="21">
        <f t="shared" ref="E20" si="27">E19/E$15</f>
        <v>-0.60473115260423982</v>
      </c>
      <c r="F20" s="21">
        <f t="shared" ref="F20" si="28">F19/F$15</f>
        <v>-0.56181770782416007</v>
      </c>
      <c r="G20" s="21">
        <f t="shared" ref="G20:K20" si="29">G19/G$15</f>
        <v>-0.54845723938397395</v>
      </c>
      <c r="H20" s="21">
        <f t="shared" si="29"/>
        <v>-0.51802675533798237</v>
      </c>
      <c r="I20" s="21">
        <f t="shared" si="29"/>
        <v>-0.52968939452841801</v>
      </c>
      <c r="J20" s="21">
        <f t="shared" si="29"/>
        <v>-0.53942307197749839</v>
      </c>
      <c r="K20" s="21">
        <f t="shared" si="29"/>
        <v>-0.59533748849854606</v>
      </c>
      <c r="L20" s="30"/>
      <c r="M20" s="30"/>
      <c r="N20" s="29"/>
      <c r="O20" s="30"/>
      <c r="P20" s="21">
        <f t="shared" ref="P20:U20" si="30">P19/P$15</f>
        <v>-0.53381752156150708</v>
      </c>
      <c r="Q20" s="21">
        <f t="shared" si="30"/>
        <v>-0.56530089628681179</v>
      </c>
      <c r="R20" s="21">
        <f t="shared" si="30"/>
        <v>-0.55333007838058879</v>
      </c>
      <c r="S20" s="21">
        <f t="shared" si="30"/>
        <v>-0.54296564849087059</v>
      </c>
      <c r="T20" s="21">
        <f t="shared" si="30"/>
        <v>-0.54957008984639166</v>
      </c>
      <c r="U20" s="21">
        <f t="shared" si="30"/>
        <v>-0.52147616320487211</v>
      </c>
      <c r="V20" s="21">
        <f>V19/V$15</f>
        <v>-0.47853964930646425</v>
      </c>
      <c r="W20" s="21">
        <f>W19/W$15</f>
        <v>-0.53025822748440699</v>
      </c>
      <c r="X20" s="21">
        <f>X19/X$15</f>
        <v>-0.55354218692430512</v>
      </c>
      <c r="Y20" s="21">
        <v>-0.55871479613748154</v>
      </c>
      <c r="Z20" s="21">
        <f t="shared" ref="Z20:AI20" si="31">Z19/Z$15</f>
        <v>-0.51998627278059995</v>
      </c>
      <c r="AA20" s="21">
        <f t="shared" si="31"/>
        <v>-0.49829925896283378</v>
      </c>
      <c r="AB20" s="21">
        <f t="shared" si="31"/>
        <v>-0.54137863604708203</v>
      </c>
      <c r="AC20" s="21">
        <f t="shared" si="31"/>
        <v>-0.50475014311534772</v>
      </c>
      <c r="AD20" s="21">
        <f t="shared" si="31"/>
        <v>-0.53038752402381939</v>
      </c>
      <c r="AE20" s="21">
        <f t="shared" si="31"/>
        <v>-0.57315682495444853</v>
      </c>
      <c r="AF20" s="21">
        <f t="shared" si="31"/>
        <v>-0.55244244907642592</v>
      </c>
      <c r="AG20" s="21">
        <f t="shared" si="31"/>
        <v>-0.58163162628485854</v>
      </c>
      <c r="AH20" s="21">
        <f t="shared" si="31"/>
        <v>-0.58784799368264151</v>
      </c>
      <c r="AI20" s="21">
        <f t="shared" si="31"/>
        <v>-0.65013060009263868</v>
      </c>
      <c r="AJ20" s="21">
        <f t="shared" ref="AJ20" si="32">AJ19/AJ$15</f>
        <v>-0.65713729567479551</v>
      </c>
      <c r="AK20" s="30"/>
      <c r="AL20" s="30"/>
    </row>
    <row r="21" spans="1:38" s="92" customFormat="1" ht="18" x14ac:dyDescent="0.25">
      <c r="A21" s="81"/>
      <c r="B21" s="30"/>
      <c r="C21" s="30"/>
      <c r="D21" s="30"/>
      <c r="E21" s="30"/>
      <c r="F21" s="30"/>
      <c r="G21" s="30"/>
      <c r="H21" s="30"/>
      <c r="I21" s="30"/>
      <c r="J21" s="30"/>
      <c r="K21" s="30"/>
      <c r="L21" s="30"/>
      <c r="M21" s="30"/>
      <c r="N21" s="29"/>
      <c r="O21" s="30"/>
      <c r="P21" s="30"/>
      <c r="Q21" s="30"/>
      <c r="R21" s="30"/>
      <c r="S21" s="35"/>
      <c r="T21" s="30"/>
      <c r="U21" s="30"/>
      <c r="V21" s="30"/>
      <c r="W21" s="30"/>
      <c r="X21" s="30"/>
      <c r="Y21" s="30"/>
      <c r="Z21" s="30"/>
      <c r="AA21" s="30"/>
      <c r="AB21" s="30"/>
      <c r="AC21" s="30"/>
      <c r="AD21" s="30"/>
      <c r="AE21" s="30"/>
      <c r="AF21" s="30"/>
      <c r="AG21" s="30"/>
      <c r="AH21" s="30"/>
      <c r="AI21" s="30"/>
      <c r="AJ21" s="30"/>
      <c r="AK21" s="30"/>
      <c r="AL21" s="30"/>
    </row>
    <row r="22" spans="1:38" s="92" customFormat="1" ht="18" x14ac:dyDescent="0.25">
      <c r="A22" s="81"/>
      <c r="B22" s="8" t="s">
        <v>120</v>
      </c>
      <c r="C22" s="8" t="s">
        <v>175</v>
      </c>
      <c r="D22" s="26"/>
      <c r="E22" s="27">
        <f t="shared" ref="E22:G22" si="33">E15+E19</f>
        <v>16893</v>
      </c>
      <c r="F22" s="27">
        <f t="shared" si="33"/>
        <v>26893</v>
      </c>
      <c r="G22" s="27">
        <f t="shared" si="33"/>
        <v>50254</v>
      </c>
      <c r="H22" s="27">
        <f t="shared" ref="H22:K22" si="34">H15+H19</f>
        <v>187851</v>
      </c>
      <c r="I22" s="27">
        <f t="shared" si="34"/>
        <v>447620</v>
      </c>
      <c r="J22" s="27">
        <f t="shared" si="34"/>
        <v>626830</v>
      </c>
      <c r="K22" s="27">
        <f t="shared" si="34"/>
        <v>714621.63254274917</v>
      </c>
      <c r="L22" s="28">
        <f>J22/I22-1</f>
        <v>0.40036191412358701</v>
      </c>
      <c r="M22" s="28">
        <f>K22/J22-1</f>
        <v>0.14005652655863488</v>
      </c>
      <c r="N22" s="29"/>
      <c r="O22" s="30"/>
      <c r="P22" s="27">
        <f t="shared" ref="P22:U22" si="35">P15+P19</f>
        <v>9243</v>
      </c>
      <c r="Q22" s="27">
        <f t="shared" si="35"/>
        <v>9506</v>
      </c>
      <c r="R22" s="27">
        <f t="shared" si="35"/>
        <v>13107.082180000001</v>
      </c>
      <c r="S22" s="27">
        <f t="shared" si="35"/>
        <v>18397.917820000002</v>
      </c>
      <c r="T22" s="27">
        <f t="shared" si="35"/>
        <v>23312</v>
      </c>
      <c r="U22" s="27">
        <f t="shared" si="35"/>
        <v>34258</v>
      </c>
      <c r="V22" s="27">
        <f>V15+V19</f>
        <v>51805</v>
      </c>
      <c r="W22" s="27">
        <f>W15+W19</f>
        <v>78476</v>
      </c>
      <c r="X22" s="27">
        <f>X15+X19</f>
        <v>87245</v>
      </c>
      <c r="Y22" s="27">
        <v>99670</v>
      </c>
      <c r="Z22" s="27">
        <f t="shared" ref="Z22:AI22" si="36">Z15+Z19</f>
        <v>120290</v>
      </c>
      <c r="AA22" s="27">
        <f t="shared" si="36"/>
        <v>140415</v>
      </c>
      <c r="AB22" s="27">
        <f t="shared" si="36"/>
        <v>133684</v>
      </c>
      <c r="AC22" s="27">
        <f t="shared" si="36"/>
        <v>153992</v>
      </c>
      <c r="AD22" s="27">
        <f t="shared" si="36"/>
        <v>168844</v>
      </c>
      <c r="AE22" s="27">
        <f t="shared" si="36"/>
        <v>170310</v>
      </c>
      <c r="AF22" s="27">
        <f t="shared" si="36"/>
        <v>173557</v>
      </c>
      <c r="AG22" s="27">
        <f t="shared" si="36"/>
        <v>170570.02044748422</v>
      </c>
      <c r="AH22" s="27">
        <f t="shared" si="36"/>
        <v>204833.4389366855</v>
      </c>
      <c r="AI22" s="27">
        <f t="shared" si="36"/>
        <v>165661.17315857962</v>
      </c>
      <c r="AJ22" s="27">
        <f t="shared" ref="AJ22" si="37">AJ15+AJ19</f>
        <v>150831.05113000009</v>
      </c>
      <c r="AK22" s="28">
        <f>AJ22/AF22-1</f>
        <v>-0.13094227758027566</v>
      </c>
      <c r="AL22" s="28">
        <f>AJ22/AI22-1</f>
        <v>-8.9520807717468953E-2</v>
      </c>
    </row>
    <row r="23" spans="1:38" s="92" customFormat="1" ht="18" x14ac:dyDescent="0.25">
      <c r="A23" s="81"/>
      <c r="B23" s="7" t="s">
        <v>4</v>
      </c>
      <c r="C23" s="7" t="s">
        <v>174</v>
      </c>
      <c r="D23" s="30"/>
      <c r="E23" s="21">
        <f t="shared" ref="E23" si="38">E22/E$15</f>
        <v>0.39526884739576024</v>
      </c>
      <c r="F23" s="21">
        <f t="shared" ref="F23" si="39">F22/F$15</f>
        <v>0.43818229217583993</v>
      </c>
      <c r="G23" s="21">
        <f t="shared" ref="G23" si="40">G22/G$15</f>
        <v>0.451542760616026</v>
      </c>
      <c r="H23" s="21">
        <f t="shared" ref="H23:K23" si="41">H22/H$15</f>
        <v>0.48197324466201757</v>
      </c>
      <c r="I23" s="21">
        <f t="shared" si="41"/>
        <v>0.47031060547158193</v>
      </c>
      <c r="J23" s="21">
        <f t="shared" si="41"/>
        <v>0.46057692802250166</v>
      </c>
      <c r="K23" s="21">
        <f t="shared" si="41"/>
        <v>0.40466251150145399</v>
      </c>
      <c r="L23" s="30"/>
      <c r="M23" s="30"/>
      <c r="N23" s="29"/>
      <c r="O23" s="30"/>
      <c r="P23" s="21">
        <f t="shared" ref="P23:U23" si="42">P22/P$15</f>
        <v>0.46618247843849298</v>
      </c>
      <c r="Q23" s="21">
        <f t="shared" si="42"/>
        <v>0.43469910371318821</v>
      </c>
      <c r="R23" s="21">
        <f t="shared" si="42"/>
        <v>0.44666992161941116</v>
      </c>
      <c r="S23" s="21">
        <f t="shared" si="42"/>
        <v>0.45703435150912936</v>
      </c>
      <c r="T23" s="21">
        <f t="shared" si="42"/>
        <v>0.45042991015360834</v>
      </c>
      <c r="U23" s="21">
        <f t="shared" si="42"/>
        <v>0.47852383679512789</v>
      </c>
      <c r="V23" s="21">
        <f>V22/V$15</f>
        <v>0.52146035069353569</v>
      </c>
      <c r="W23" s="21">
        <f>W22/W$15</f>
        <v>0.46974177251559301</v>
      </c>
      <c r="X23" s="21">
        <f>X22/X$15</f>
        <v>0.44645781307569493</v>
      </c>
      <c r="Y23" s="21">
        <v>0.4412852038625184</v>
      </c>
      <c r="Z23" s="21">
        <f t="shared" ref="Z23:AI23" si="43">Z22/Z$15</f>
        <v>0.48001372721940005</v>
      </c>
      <c r="AA23" s="21">
        <f t="shared" si="43"/>
        <v>0.50170074103716622</v>
      </c>
      <c r="AB23" s="21">
        <f t="shared" si="43"/>
        <v>0.45862136395291792</v>
      </c>
      <c r="AC23" s="21">
        <f t="shared" si="43"/>
        <v>0.49524985688465223</v>
      </c>
      <c r="AD23" s="21">
        <f t="shared" si="43"/>
        <v>0.46961247597618061</v>
      </c>
      <c r="AE23" s="21">
        <f t="shared" si="43"/>
        <v>0.42684317504555147</v>
      </c>
      <c r="AF23" s="21">
        <f t="shared" si="43"/>
        <v>0.44755755092357402</v>
      </c>
      <c r="AG23" s="21">
        <f t="shared" si="43"/>
        <v>0.41836837371514141</v>
      </c>
      <c r="AH23" s="21">
        <f t="shared" si="43"/>
        <v>0.41215200631735843</v>
      </c>
      <c r="AI23" s="21">
        <f t="shared" si="43"/>
        <v>0.34986939990736138</v>
      </c>
      <c r="AJ23" s="21">
        <f t="shared" ref="AJ23" si="44">AJ22/AJ$15</f>
        <v>0.34286270432520449</v>
      </c>
      <c r="AK23" s="30"/>
      <c r="AL23" s="30"/>
    </row>
    <row r="24" spans="1:38" s="92" customFormat="1" ht="18" x14ac:dyDescent="0.25">
      <c r="A24" s="81"/>
      <c r="B24" s="30"/>
      <c r="C24" s="30"/>
      <c r="D24" s="30"/>
      <c r="E24" s="30"/>
      <c r="F24" s="30"/>
      <c r="G24" s="30"/>
      <c r="H24" s="30"/>
      <c r="I24" s="30"/>
      <c r="J24" s="30"/>
      <c r="K24" s="30"/>
      <c r="L24" s="30"/>
      <c r="M24" s="30"/>
      <c r="N24" s="29"/>
      <c r="O24" s="30"/>
      <c r="P24" s="30"/>
      <c r="Q24" s="30"/>
      <c r="R24" s="30"/>
      <c r="S24" s="35"/>
      <c r="T24" s="30"/>
      <c r="U24" s="30"/>
      <c r="V24" s="30"/>
      <c r="W24" s="30"/>
      <c r="X24" s="30"/>
      <c r="Y24" s="30"/>
      <c r="Z24" s="30"/>
      <c r="AA24" s="30"/>
      <c r="AB24" s="30"/>
      <c r="AC24" s="30"/>
      <c r="AD24" s="30"/>
      <c r="AE24" s="30"/>
      <c r="AF24" s="30"/>
      <c r="AG24" s="30"/>
      <c r="AH24" s="30"/>
      <c r="AI24" s="30"/>
      <c r="AJ24" s="30"/>
      <c r="AK24" s="30"/>
      <c r="AL24" s="30"/>
    </row>
    <row r="25" spans="1:38" s="92" customFormat="1" ht="18" x14ac:dyDescent="0.25">
      <c r="A25" s="81"/>
      <c r="B25" s="7" t="s">
        <v>13</v>
      </c>
      <c r="C25" s="7" t="s">
        <v>176</v>
      </c>
      <c r="D25" s="30"/>
      <c r="E25" s="35">
        <v>-2330</v>
      </c>
      <c r="F25" s="35">
        <v>-4288</v>
      </c>
      <c r="G25" s="35">
        <v>-10434</v>
      </c>
      <c r="H25" s="35">
        <v>-58410</v>
      </c>
      <c r="I25" s="35">
        <v>-127307</v>
      </c>
      <c r="J25" s="35">
        <f>SUM(AB25:AE25)</f>
        <v>-171743</v>
      </c>
      <c r="K25" s="35">
        <f>SUM(AF25:AI25)</f>
        <v>-191568.68420999998</v>
      </c>
      <c r="L25" s="30"/>
      <c r="M25" s="30"/>
      <c r="N25" s="29"/>
      <c r="O25" s="30"/>
      <c r="P25" s="35">
        <v>-1944</v>
      </c>
      <c r="Q25" s="35">
        <v>-1320</v>
      </c>
      <c r="R25" s="35">
        <v>-2617.2451799999999</v>
      </c>
      <c r="S25" s="35">
        <v>-4552.7548200000001</v>
      </c>
      <c r="T25" s="35">
        <v>-4338</v>
      </c>
      <c r="U25" s="35">
        <v>-6901</v>
      </c>
      <c r="V25" s="35">
        <v>-23424</v>
      </c>
      <c r="W25" s="35">
        <v>-23747</v>
      </c>
      <c r="X25" s="35">
        <v>-24555</v>
      </c>
      <c r="Y25" s="35">
        <v>-24748</v>
      </c>
      <c r="Z25" s="35">
        <v>-30648</v>
      </c>
      <c r="AA25" s="35">
        <v>-47356</v>
      </c>
      <c r="AB25" s="35">
        <v>-40039</v>
      </c>
      <c r="AC25" s="35">
        <v>-42476</v>
      </c>
      <c r="AD25" s="35">
        <v>-42004</v>
      </c>
      <c r="AE25" s="35">
        <v>-47224</v>
      </c>
      <c r="AF25" s="35">
        <v>-39606</v>
      </c>
      <c r="AG25" s="35">
        <v>-33503.691999999995</v>
      </c>
      <c r="AH25" s="35">
        <v>-51185.142000000007</v>
      </c>
      <c r="AI25" s="35">
        <v>-67273.85020999999</v>
      </c>
      <c r="AJ25" s="35">
        <v>-58404.103720000006</v>
      </c>
      <c r="AK25" s="30"/>
      <c r="AL25" s="30"/>
    </row>
    <row r="26" spans="1:38" s="92" customFormat="1" ht="18" x14ac:dyDescent="0.25">
      <c r="A26" s="81"/>
      <c r="B26" s="7" t="s">
        <v>4</v>
      </c>
      <c r="C26" s="7" t="s">
        <v>174</v>
      </c>
      <c r="D26" s="30"/>
      <c r="E26" s="21">
        <f t="shared" ref="E26" si="45">E25/E$15</f>
        <v>-5.4518227338668165E-2</v>
      </c>
      <c r="F26" s="21">
        <f t="shared" ref="F26" si="46">F25/F$15</f>
        <v>-6.9866718806009059E-2</v>
      </c>
      <c r="G26" s="21">
        <f t="shared" ref="G26:I26" si="47">G25/G$15</f>
        <v>-9.3751684726939455E-2</v>
      </c>
      <c r="H26" s="21">
        <f t="shared" si="47"/>
        <v>-0.14986376021798364</v>
      </c>
      <c r="I26" s="21">
        <f t="shared" si="47"/>
        <v>-0.1337604044742654</v>
      </c>
      <c r="J26" s="21">
        <f t="shared" ref="J26:K26" si="48">J25/J$15</f>
        <v>-0.12619189150067561</v>
      </c>
      <c r="K26" s="21">
        <f t="shared" si="48"/>
        <v>-0.10847791523133073</v>
      </c>
      <c r="L26" s="30"/>
      <c r="M26" s="30"/>
      <c r="N26" s="29"/>
      <c r="O26" s="30"/>
      <c r="P26" s="21">
        <f t="shared" ref="P26:U26" si="49">P25/P$15</f>
        <v>-9.8048116205174757E-2</v>
      </c>
      <c r="Q26" s="21">
        <f t="shared" si="49"/>
        <v>-6.0362173038229376E-2</v>
      </c>
      <c r="R26" s="21">
        <f t="shared" si="49"/>
        <v>-8.9191834105779716E-2</v>
      </c>
      <c r="S26" s="21">
        <f t="shared" si="49"/>
        <v>-0.11309787156874923</v>
      </c>
      <c r="T26" s="21">
        <f t="shared" si="49"/>
        <v>-8.3817988600135257E-2</v>
      </c>
      <c r="U26" s="21">
        <f t="shared" si="49"/>
        <v>-9.6394798228827641E-2</v>
      </c>
      <c r="V26" s="21">
        <f>V25/V$15</f>
        <v>-0.235782014374006</v>
      </c>
      <c r="W26" s="21">
        <f>W25/W$15</f>
        <v>-0.14214483245741102</v>
      </c>
      <c r="X26" s="21">
        <f>X25/X$15</f>
        <v>-0.12565501289556638</v>
      </c>
      <c r="Y26" s="21">
        <v>-0.10957084604384074</v>
      </c>
      <c r="Z26" s="21">
        <f t="shared" ref="Z26:AF26" si="50">Z25/Z$15</f>
        <v>-0.1222999477248331</v>
      </c>
      <c r="AA26" s="21">
        <f t="shared" si="50"/>
        <v>-0.16920229528580311</v>
      </c>
      <c r="AB26" s="21">
        <f t="shared" si="50"/>
        <v>-0.1373593009732719</v>
      </c>
      <c r="AC26" s="21">
        <f t="shared" si="50"/>
        <v>-0.13660601148782073</v>
      </c>
      <c r="AD26" s="21">
        <f t="shared" si="50"/>
        <v>-0.11682738173049377</v>
      </c>
      <c r="AE26" s="21">
        <f t="shared" si="50"/>
        <v>-0.11835618635635678</v>
      </c>
      <c r="AF26" s="21">
        <f t="shared" si="50"/>
        <v>-0.10213338765868892</v>
      </c>
      <c r="AG26" s="21">
        <f t="shared" ref="AG26:AI26" si="51">AG25/AG$15</f>
        <v>-8.217672190412012E-2</v>
      </c>
      <c r="AH26" s="21">
        <f t="shared" si="51"/>
        <v>-0.10299128442333937</v>
      </c>
      <c r="AI26" s="21">
        <f t="shared" si="51"/>
        <v>-0.142079529884166</v>
      </c>
      <c r="AJ26" s="21">
        <f t="shared" ref="AJ26" si="52">AJ25/AJ$15</f>
        <v>-0.13276171448191992</v>
      </c>
      <c r="AK26" s="30"/>
      <c r="AL26" s="30"/>
    </row>
    <row r="27" spans="1:38" s="92" customFormat="1" ht="18" x14ac:dyDescent="0.25">
      <c r="A27" s="81"/>
      <c r="B27" s="30"/>
      <c r="C27" s="30"/>
      <c r="D27" s="30"/>
      <c r="E27" s="30"/>
      <c r="F27" s="30"/>
      <c r="G27" s="30"/>
      <c r="H27" s="30"/>
      <c r="I27" s="30"/>
      <c r="J27" s="30"/>
      <c r="K27" s="30"/>
      <c r="L27" s="30"/>
      <c r="M27" s="30"/>
      <c r="N27" s="29"/>
      <c r="O27" s="30"/>
      <c r="P27" s="30"/>
      <c r="Q27" s="30"/>
      <c r="R27" s="30"/>
      <c r="S27" s="35"/>
      <c r="T27" s="30"/>
      <c r="U27" s="30"/>
      <c r="V27" s="30"/>
      <c r="W27" s="30"/>
      <c r="X27" s="30"/>
      <c r="Y27" s="30"/>
      <c r="Z27" s="30"/>
      <c r="AA27" s="30"/>
      <c r="AB27" s="30"/>
      <c r="AC27" s="30"/>
      <c r="AD27" s="30"/>
      <c r="AE27" s="30"/>
      <c r="AF27" s="30"/>
      <c r="AG27" s="30"/>
      <c r="AH27" s="30"/>
      <c r="AI27" s="30"/>
      <c r="AJ27" s="30"/>
      <c r="AK27" s="30"/>
      <c r="AL27" s="30"/>
    </row>
    <row r="28" spans="1:38" s="92" customFormat="1" ht="18" x14ac:dyDescent="0.25">
      <c r="A28" s="81"/>
      <c r="B28" s="8" t="s">
        <v>121</v>
      </c>
      <c r="C28" s="8" t="s">
        <v>177</v>
      </c>
      <c r="D28" s="26"/>
      <c r="E28" s="27">
        <f t="shared" ref="E28:G28" si="53">E22+E25</f>
        <v>14563</v>
      </c>
      <c r="F28" s="27">
        <f t="shared" si="53"/>
        <v>22605</v>
      </c>
      <c r="G28" s="27">
        <f t="shared" si="53"/>
        <v>39820</v>
      </c>
      <c r="H28" s="27">
        <f t="shared" ref="H28:I28" si="54">H22+H25</f>
        <v>129441</v>
      </c>
      <c r="I28" s="27">
        <f t="shared" si="54"/>
        <v>320313</v>
      </c>
      <c r="J28" s="27">
        <f t="shared" ref="J28:K28" si="55">J22+J25</f>
        <v>455087</v>
      </c>
      <c r="K28" s="27">
        <f t="shared" si="55"/>
        <v>523052.94833274919</v>
      </c>
      <c r="L28" s="28">
        <f>J28/I28-1</f>
        <v>0.42075719686681468</v>
      </c>
      <c r="M28" s="28">
        <f>K28/J28-1</f>
        <v>0.14934715413261457</v>
      </c>
      <c r="N28" s="29"/>
      <c r="O28" s="30"/>
      <c r="P28" s="27">
        <f t="shared" ref="P28:U28" si="56">P22+P25</f>
        <v>7299</v>
      </c>
      <c r="Q28" s="27">
        <f t="shared" si="56"/>
        <v>8186</v>
      </c>
      <c r="R28" s="27">
        <f t="shared" si="56"/>
        <v>10489.837000000001</v>
      </c>
      <c r="S28" s="27">
        <f t="shared" si="56"/>
        <v>13845.163000000002</v>
      </c>
      <c r="T28" s="27">
        <f t="shared" si="56"/>
        <v>18974</v>
      </c>
      <c r="U28" s="27">
        <f t="shared" si="56"/>
        <v>27357</v>
      </c>
      <c r="V28" s="27">
        <f>V22+V25</f>
        <v>28381</v>
      </c>
      <c r="W28" s="27">
        <f>W22+W25</f>
        <v>54729</v>
      </c>
      <c r="X28" s="27">
        <f>X22+X25</f>
        <v>62690</v>
      </c>
      <c r="Y28" s="27">
        <v>74922</v>
      </c>
      <c r="Z28" s="27">
        <f t="shared" ref="Z28:AF28" si="57">Z22+Z25</f>
        <v>89642</v>
      </c>
      <c r="AA28" s="27">
        <f t="shared" si="57"/>
        <v>93059</v>
      </c>
      <c r="AB28" s="27">
        <f t="shared" si="57"/>
        <v>93645</v>
      </c>
      <c r="AC28" s="27">
        <f t="shared" si="57"/>
        <v>111516</v>
      </c>
      <c r="AD28" s="27">
        <f t="shared" si="57"/>
        <v>126840</v>
      </c>
      <c r="AE28" s="27">
        <f t="shared" si="57"/>
        <v>123086</v>
      </c>
      <c r="AF28" s="27">
        <f t="shared" si="57"/>
        <v>133951</v>
      </c>
      <c r="AG28" s="27">
        <f t="shared" ref="AG28:AI28" si="58">AG22+AG25</f>
        <v>137066.32844748424</v>
      </c>
      <c r="AH28" s="27">
        <f t="shared" si="58"/>
        <v>153648.29693668551</v>
      </c>
      <c r="AI28" s="27">
        <f t="shared" si="58"/>
        <v>98387.322948579633</v>
      </c>
      <c r="AJ28" s="27">
        <f>AJ22+AJ25</f>
        <v>92426.947410000081</v>
      </c>
      <c r="AK28" s="28">
        <f>AJ28/AF28-1</f>
        <v>-0.3099943456189197</v>
      </c>
      <c r="AL28" s="28">
        <f>AJ28/AI28-1</f>
        <v>-6.0580726865539725E-2</v>
      </c>
    </row>
    <row r="29" spans="1:38" s="92" customFormat="1" ht="18" x14ac:dyDescent="0.25">
      <c r="A29" s="81"/>
      <c r="B29" s="7" t="s">
        <v>4</v>
      </c>
      <c r="C29" s="7" t="s">
        <v>174</v>
      </c>
      <c r="D29" s="30"/>
      <c r="E29" s="21">
        <f t="shared" ref="E29" si="59">E28/E$15</f>
        <v>0.34075062005709206</v>
      </c>
      <c r="F29" s="21">
        <f t="shared" ref="F29" si="60">F28/F$15</f>
        <v>0.3683155733698309</v>
      </c>
      <c r="G29" s="21">
        <f t="shared" ref="G29:K29" si="61">G28/G$15</f>
        <v>0.35779107588908654</v>
      </c>
      <c r="H29" s="21">
        <f t="shared" si="61"/>
        <v>0.33210948444403393</v>
      </c>
      <c r="I29" s="21">
        <f t="shared" si="61"/>
        <v>0.33655020099731653</v>
      </c>
      <c r="J29" s="21">
        <f t="shared" si="61"/>
        <v>0.33438503652182605</v>
      </c>
      <c r="K29" s="21">
        <f t="shared" si="61"/>
        <v>0.29618459627012322</v>
      </c>
      <c r="L29" s="30"/>
      <c r="M29" s="30"/>
      <c r="N29" s="29"/>
      <c r="O29" s="30"/>
      <c r="P29" s="21">
        <f t="shared" ref="P29:U29" si="62">P28/P$15</f>
        <v>0.36813436223331819</v>
      </c>
      <c r="Q29" s="21">
        <f t="shared" si="62"/>
        <v>0.37433693067495882</v>
      </c>
      <c r="R29" s="21">
        <f t="shared" si="62"/>
        <v>0.35747808751363147</v>
      </c>
      <c r="S29" s="21">
        <f t="shared" si="62"/>
        <v>0.34393647994038012</v>
      </c>
      <c r="T29" s="21">
        <f t="shared" si="62"/>
        <v>0.36661192155347311</v>
      </c>
      <c r="U29" s="21">
        <f t="shared" si="62"/>
        <v>0.38212903856630026</v>
      </c>
      <c r="V29" s="21">
        <f>V28/V$15</f>
        <v>0.28567833631952971</v>
      </c>
      <c r="W29" s="21">
        <f>W28/W$15</f>
        <v>0.32759694005818202</v>
      </c>
      <c r="X29" s="21">
        <f>X28/X$15</f>
        <v>0.32080280018012852</v>
      </c>
      <c r="Y29" s="21">
        <v>0.3317143578186777</v>
      </c>
      <c r="Z29" s="21">
        <f t="shared" ref="Z29:AI29" si="63">Z28/Z$15</f>
        <v>0.35771377949456695</v>
      </c>
      <c r="AA29" s="21">
        <f t="shared" si="63"/>
        <v>0.33249844575136311</v>
      </c>
      <c r="AB29" s="21">
        <f t="shared" si="63"/>
        <v>0.32126206297964605</v>
      </c>
      <c r="AC29" s="21">
        <f t="shared" si="63"/>
        <v>0.35864384539683153</v>
      </c>
      <c r="AD29" s="21">
        <f t="shared" si="63"/>
        <v>0.35278509424568683</v>
      </c>
      <c r="AE29" s="21">
        <f t="shared" si="63"/>
        <v>0.30848698868919472</v>
      </c>
      <c r="AF29" s="21">
        <f t="shared" si="63"/>
        <v>0.34542416326488512</v>
      </c>
      <c r="AG29" s="21">
        <f t="shared" si="63"/>
        <v>0.33619165181102134</v>
      </c>
      <c r="AH29" s="21">
        <f t="shared" si="63"/>
        <v>0.30916072189401911</v>
      </c>
      <c r="AI29" s="21">
        <f t="shared" si="63"/>
        <v>0.20778987002319535</v>
      </c>
      <c r="AJ29" s="21">
        <f t="shared" ref="AJ29" si="64">AJ28/AJ$15</f>
        <v>0.21010098984328454</v>
      </c>
      <c r="AK29" s="30"/>
      <c r="AL29" s="30"/>
    </row>
    <row r="30" spans="1:38" s="92" customFormat="1" ht="18" x14ac:dyDescent="0.25">
      <c r="A30" s="81"/>
      <c r="B30" s="30"/>
      <c r="C30" s="30"/>
      <c r="D30" s="30"/>
      <c r="E30" s="30"/>
      <c r="F30" s="30"/>
      <c r="G30" s="30"/>
      <c r="H30" s="30"/>
      <c r="I30" s="30"/>
      <c r="J30" s="30"/>
      <c r="K30" s="30"/>
      <c r="L30" s="30"/>
      <c r="M30" s="30"/>
      <c r="N30" s="29"/>
      <c r="O30" s="30"/>
      <c r="P30" s="30"/>
      <c r="Q30" s="30"/>
      <c r="R30" s="30"/>
      <c r="S30" s="35"/>
      <c r="T30" s="30"/>
      <c r="U30" s="30"/>
      <c r="V30" s="30"/>
      <c r="W30" s="30"/>
      <c r="X30" s="30"/>
      <c r="Y30" s="30"/>
      <c r="AK30" s="30"/>
      <c r="AL30" s="30"/>
    </row>
    <row r="31" spans="1:38" s="92" customFormat="1" ht="18" x14ac:dyDescent="0.25">
      <c r="A31" s="81"/>
      <c r="B31" s="7" t="s">
        <v>122</v>
      </c>
      <c r="C31" s="7" t="s">
        <v>178</v>
      </c>
      <c r="D31" s="30"/>
      <c r="E31" s="35">
        <v>563</v>
      </c>
      <c r="F31" s="35">
        <v>296</v>
      </c>
      <c r="G31" s="35">
        <v>859</v>
      </c>
      <c r="H31" s="35">
        <v>27692</v>
      </c>
      <c r="I31" s="35">
        <v>126974</v>
      </c>
      <c r="J31" s="35">
        <f>SUM(AB31:AE31)</f>
        <v>99055.6</v>
      </c>
      <c r="K31" s="35">
        <f>SUM(AF31:AI31)</f>
        <v>117515.69500000001</v>
      </c>
      <c r="L31" s="30"/>
      <c r="M31" s="30"/>
      <c r="N31" s="29"/>
      <c r="O31" s="30"/>
      <c r="P31" s="35">
        <v>125</v>
      </c>
      <c r="Q31" s="35">
        <v>33</v>
      </c>
      <c r="R31" s="35">
        <v>70.755319999999998</v>
      </c>
      <c r="S31" s="35">
        <v>630.24468000000002</v>
      </c>
      <c r="T31" s="35">
        <v>447</v>
      </c>
      <c r="U31" s="35">
        <v>567</v>
      </c>
      <c r="V31" s="35">
        <v>9378</v>
      </c>
      <c r="W31" s="35">
        <v>17300</v>
      </c>
      <c r="X31" s="35">
        <v>38592</v>
      </c>
      <c r="Y31" s="35">
        <v>29335</v>
      </c>
      <c r="Z31" s="35">
        <v>31475</v>
      </c>
      <c r="AA31" s="35">
        <v>27572</v>
      </c>
      <c r="AB31" s="35">
        <v>28107</v>
      </c>
      <c r="AC31" s="35">
        <v>25253</v>
      </c>
      <c r="AD31" s="35">
        <v>23878.600000000006</v>
      </c>
      <c r="AE31" s="35">
        <v>21817</v>
      </c>
      <c r="AF31" s="35">
        <v>21400</v>
      </c>
      <c r="AG31" s="35">
        <v>31689.232999999993</v>
      </c>
      <c r="AH31" s="35">
        <v>29504.135999999999</v>
      </c>
      <c r="AI31" s="35">
        <v>34922.326000000015</v>
      </c>
      <c r="AJ31" s="35">
        <v>20045.397000000001</v>
      </c>
      <c r="AL31" s="30"/>
    </row>
    <row r="32" spans="1:38" s="92" customFormat="1" ht="18" x14ac:dyDescent="0.25">
      <c r="A32" s="81"/>
      <c r="B32" s="7" t="s">
        <v>123</v>
      </c>
      <c r="C32" s="7" t="s">
        <v>179</v>
      </c>
      <c r="D32" s="30"/>
      <c r="E32" s="35">
        <v>-5473</v>
      </c>
      <c r="F32" s="35">
        <v>-7813</v>
      </c>
      <c r="G32" s="35">
        <v>-16200</v>
      </c>
      <c r="H32" s="35">
        <v>-67544</v>
      </c>
      <c r="I32" s="35">
        <v>-279296</v>
      </c>
      <c r="J32" s="35">
        <f>SUM(AB32:AE32)</f>
        <v>-355307.4</v>
      </c>
      <c r="K32" s="35">
        <f>SUM(AF32:AI32)</f>
        <v>-414725.89200000011</v>
      </c>
      <c r="L32" s="30"/>
      <c r="M32" s="30"/>
      <c r="N32" s="29"/>
      <c r="O32" s="30"/>
      <c r="P32" s="35">
        <v>-2498</v>
      </c>
      <c r="Q32" s="35">
        <v>-3010</v>
      </c>
      <c r="R32" s="35">
        <v>-4239.9753400000009</v>
      </c>
      <c r="S32" s="35">
        <v>-6452.0246599999991</v>
      </c>
      <c r="T32" s="35">
        <v>-7443</v>
      </c>
      <c r="U32" s="35">
        <v>-10673</v>
      </c>
      <c r="V32" s="35">
        <v>-16830</v>
      </c>
      <c r="W32" s="35">
        <v>-32598</v>
      </c>
      <c r="X32" s="35">
        <v>-64465</v>
      </c>
      <c r="Y32" s="35">
        <v>-63711</v>
      </c>
      <c r="Z32" s="35">
        <v>-70442</v>
      </c>
      <c r="AA32" s="35">
        <v>-80678</v>
      </c>
      <c r="AB32" s="35">
        <v>-91020</v>
      </c>
      <c r="AC32" s="35">
        <v>-89044</v>
      </c>
      <c r="AD32" s="35">
        <v>-87767.000000000029</v>
      </c>
      <c r="AE32" s="35">
        <v>-87476.400000000023</v>
      </c>
      <c r="AF32" s="35">
        <v>-87202</v>
      </c>
      <c r="AG32" s="35">
        <v>-104038.644</v>
      </c>
      <c r="AH32" s="35">
        <v>-108721.95599999998</v>
      </c>
      <c r="AI32" s="35">
        <v>-114763.2920000001</v>
      </c>
      <c r="AJ32" s="35">
        <v>-105214.08099999999</v>
      </c>
      <c r="AK32" s="30"/>
      <c r="AL32" s="30"/>
    </row>
    <row r="33" spans="1:38" s="92" customFormat="1" ht="18" x14ac:dyDescent="0.25">
      <c r="A33" s="81"/>
      <c r="B33" s="30"/>
      <c r="C33" s="30"/>
      <c r="D33" s="30"/>
      <c r="E33" s="30"/>
      <c r="F33" s="30"/>
      <c r="G33" s="30"/>
      <c r="H33" s="30"/>
      <c r="I33" s="30"/>
      <c r="J33" s="30"/>
      <c r="K33" s="30"/>
      <c r="L33" s="30"/>
      <c r="M33" s="30"/>
      <c r="N33" s="29"/>
      <c r="O33" s="30"/>
      <c r="P33" s="30"/>
      <c r="Q33" s="30"/>
      <c r="R33" s="30"/>
      <c r="S33" s="30"/>
      <c r="T33" s="30"/>
      <c r="U33" s="30"/>
      <c r="V33" s="30"/>
      <c r="W33" s="30"/>
      <c r="X33" s="30"/>
      <c r="Y33" s="30"/>
      <c r="Z33" s="30"/>
      <c r="AA33" s="30"/>
      <c r="AB33" s="30"/>
      <c r="AC33" s="30"/>
      <c r="AD33" s="30"/>
      <c r="AE33" s="30"/>
      <c r="AF33" s="30"/>
      <c r="AG33" s="30"/>
      <c r="AH33" s="30"/>
      <c r="AI33" s="30"/>
      <c r="AJ33" s="30"/>
      <c r="AK33" s="30"/>
      <c r="AL33" s="30"/>
    </row>
    <row r="34" spans="1:38" s="92" customFormat="1" ht="18" x14ac:dyDescent="0.25">
      <c r="A34" s="81"/>
      <c r="B34" s="8" t="s">
        <v>124</v>
      </c>
      <c r="C34" s="8" t="s">
        <v>180</v>
      </c>
      <c r="D34" s="26"/>
      <c r="E34" s="27">
        <f t="shared" ref="E34:G34" si="65">E28+E31+E32</f>
        <v>9653</v>
      </c>
      <c r="F34" s="27">
        <f t="shared" si="65"/>
        <v>15088</v>
      </c>
      <c r="G34" s="27">
        <f t="shared" si="65"/>
        <v>24479</v>
      </c>
      <c r="H34" s="27">
        <f t="shared" ref="H34:K34" si="66">H28+H31+H32</f>
        <v>89589</v>
      </c>
      <c r="I34" s="27">
        <f t="shared" si="66"/>
        <v>167991</v>
      </c>
      <c r="J34" s="27">
        <f t="shared" si="66"/>
        <v>198835.19999999995</v>
      </c>
      <c r="K34" s="27">
        <f t="shared" si="66"/>
        <v>225842.75133274903</v>
      </c>
      <c r="L34" s="28">
        <f>J34/I34-1</f>
        <v>0.18360626462131879</v>
      </c>
      <c r="M34" s="28">
        <f>K34/J34-1</f>
        <v>0.13582882373316729</v>
      </c>
      <c r="N34" s="29"/>
      <c r="O34" s="30"/>
      <c r="P34" s="27">
        <f t="shared" ref="P34:U34" si="67">P28+P31+P32</f>
        <v>4926</v>
      </c>
      <c r="Q34" s="27">
        <f t="shared" si="67"/>
        <v>5209</v>
      </c>
      <c r="R34" s="27">
        <f t="shared" si="67"/>
        <v>6320.6169800000007</v>
      </c>
      <c r="S34" s="27">
        <f t="shared" si="67"/>
        <v>8023.3830200000029</v>
      </c>
      <c r="T34" s="27">
        <f t="shared" si="67"/>
        <v>11978</v>
      </c>
      <c r="U34" s="27">
        <f t="shared" si="67"/>
        <v>17251</v>
      </c>
      <c r="V34" s="27">
        <f>V28+V31+V32</f>
        <v>20929</v>
      </c>
      <c r="W34" s="27">
        <f>W28+W31+W32</f>
        <v>39431</v>
      </c>
      <c r="X34" s="27">
        <f>X28+X31+X32</f>
        <v>36817</v>
      </c>
      <c r="Y34" s="27">
        <v>40546</v>
      </c>
      <c r="Z34" s="27">
        <f t="shared" ref="Z34:AH34" si="68">Z28+Z32+Z31</f>
        <v>50675</v>
      </c>
      <c r="AA34" s="27">
        <f t="shared" si="68"/>
        <v>39953</v>
      </c>
      <c r="AB34" s="27">
        <f t="shared" si="68"/>
        <v>30732</v>
      </c>
      <c r="AC34" s="27">
        <f t="shared" si="68"/>
        <v>47725</v>
      </c>
      <c r="AD34" s="27">
        <f t="shared" si="68"/>
        <v>62951.599999999977</v>
      </c>
      <c r="AE34" s="27">
        <f t="shared" si="68"/>
        <v>57426.599999999977</v>
      </c>
      <c r="AF34" s="27">
        <f t="shared" si="68"/>
        <v>68149</v>
      </c>
      <c r="AG34" s="27">
        <f t="shared" si="68"/>
        <v>64716.917447484229</v>
      </c>
      <c r="AH34" s="27">
        <f t="shared" si="68"/>
        <v>74430.476936685533</v>
      </c>
      <c r="AI34" s="27">
        <f t="shared" ref="AI34:AJ34" si="69">AI28+AI32+AI31</f>
        <v>18546.356948579545</v>
      </c>
      <c r="AJ34" s="27">
        <f t="shared" si="69"/>
        <v>7258.2634100000905</v>
      </c>
      <c r="AK34" s="28">
        <f>AJ34/AF34-1</f>
        <v>-0.89349420519743372</v>
      </c>
      <c r="AL34" s="28">
        <f>AJ34/AI34-1</f>
        <v>-0.60864209450276996</v>
      </c>
    </row>
    <row r="35" spans="1:38" s="92" customFormat="1" ht="18" x14ac:dyDescent="0.25">
      <c r="A35" s="81"/>
      <c r="B35" s="7" t="s">
        <v>4</v>
      </c>
      <c r="C35" s="7" t="s">
        <v>174</v>
      </c>
      <c r="D35" s="30"/>
      <c r="E35" s="21">
        <f t="shared" ref="E35" si="70">E34/E$15</f>
        <v>0.22586457017174411</v>
      </c>
      <c r="F35" s="21">
        <f t="shared" ref="F35" si="71">F34/F$15</f>
        <v>0.2458369993808453</v>
      </c>
      <c r="G35" s="21">
        <f t="shared" ref="G35" si="72">G34/G$15</f>
        <v>0.21994896400524735</v>
      </c>
      <c r="H35" s="21">
        <f t="shared" ref="H35:K35" si="73">H34/H$15</f>
        <v>0.22986037346634031</v>
      </c>
      <c r="I35" s="21">
        <f t="shared" si="73"/>
        <v>0.17650674438983183</v>
      </c>
      <c r="J35" s="21">
        <f t="shared" si="73"/>
        <v>0.14609847263012252</v>
      </c>
      <c r="K35" s="21">
        <f t="shared" si="73"/>
        <v>0.12788599000778436</v>
      </c>
      <c r="L35" s="30"/>
      <c r="M35" s="30"/>
      <c r="N35" s="29"/>
      <c r="O35" s="30"/>
      <c r="P35" s="21">
        <f t="shared" ref="P35:U35" si="74">P34/P$15</f>
        <v>0.24844908458163112</v>
      </c>
      <c r="Q35" s="21">
        <f t="shared" si="74"/>
        <v>0.23820193890616426</v>
      </c>
      <c r="R35" s="21">
        <f t="shared" si="74"/>
        <v>0.21539725258996731</v>
      </c>
      <c r="S35" s="21">
        <f t="shared" si="74"/>
        <v>0.19931394907464919</v>
      </c>
      <c r="T35" s="21">
        <f t="shared" si="74"/>
        <v>0.23143657617621485</v>
      </c>
      <c r="U35" s="21">
        <f t="shared" si="74"/>
        <v>0.24096604321772289</v>
      </c>
      <c r="V35" s="21">
        <f>V34/V$15</f>
        <v>0.21066776719747146</v>
      </c>
      <c r="W35" s="21">
        <f>W34/W$15</f>
        <v>0.23602614598173133</v>
      </c>
      <c r="X35" s="21">
        <f>X34/X$15</f>
        <v>0.18840320137552707</v>
      </c>
      <c r="Y35" s="21">
        <v>0.17951590123216285</v>
      </c>
      <c r="Z35" s="21">
        <f t="shared" ref="Z35:AH35" si="75">Z34/Z$15</f>
        <v>0.20221710555194197</v>
      </c>
      <c r="AA35" s="21">
        <f t="shared" si="75"/>
        <v>0.14275148457542214</v>
      </c>
      <c r="AB35" s="21">
        <f t="shared" si="75"/>
        <v>0.10543035634033297</v>
      </c>
      <c r="AC35" s="21">
        <f t="shared" si="75"/>
        <v>0.1534871903723572</v>
      </c>
      <c r="AD35" s="21">
        <f t="shared" si="75"/>
        <v>0.17508976773034352</v>
      </c>
      <c r="AE35" s="21">
        <f t="shared" si="75"/>
        <v>0.14392667650796112</v>
      </c>
      <c r="AF35" s="21">
        <f t="shared" si="75"/>
        <v>0.17573822742897519</v>
      </c>
      <c r="AG35" s="21">
        <f t="shared" si="75"/>
        <v>0.15873546496230359</v>
      </c>
      <c r="AH35" s="21">
        <f t="shared" si="75"/>
        <v>0.14976397681872172</v>
      </c>
      <c r="AI35" s="21">
        <f t="shared" ref="AI35:AJ35" si="76">AI34/AI$15</f>
        <v>3.9169122446427576E-2</v>
      </c>
      <c r="AJ35" s="21">
        <f t="shared" si="76"/>
        <v>1.6499174426043196E-2</v>
      </c>
      <c r="AK35" s="30"/>
      <c r="AL35" s="30"/>
    </row>
    <row r="36" spans="1:38" s="92" customFormat="1" ht="18" x14ac:dyDescent="0.25">
      <c r="A36" s="81"/>
      <c r="B36" s="30"/>
      <c r="C36" s="30"/>
      <c r="D36" s="30"/>
      <c r="E36" s="30"/>
      <c r="F36" s="30"/>
      <c r="G36" s="30"/>
      <c r="H36" s="30"/>
      <c r="I36" s="30"/>
      <c r="J36" s="30"/>
      <c r="K36" s="30"/>
      <c r="L36" s="30"/>
      <c r="M36" s="30"/>
      <c r="N36" s="29"/>
      <c r="O36" s="30"/>
      <c r="P36" s="30"/>
      <c r="Q36" s="30"/>
      <c r="R36" s="30"/>
      <c r="S36" s="30"/>
      <c r="T36" s="30"/>
      <c r="U36" s="30"/>
      <c r="V36" s="30"/>
      <c r="W36" s="30"/>
      <c r="X36" s="30"/>
      <c r="Y36" s="30"/>
      <c r="Z36" s="30"/>
      <c r="AA36" s="30"/>
      <c r="AB36" s="30"/>
      <c r="AC36" s="30"/>
      <c r="AD36" s="30"/>
      <c r="AE36" s="30"/>
      <c r="AF36" s="30"/>
      <c r="AG36" s="30"/>
      <c r="AH36" s="30"/>
      <c r="AI36" s="30"/>
      <c r="AJ36" s="30"/>
      <c r="AK36" s="30"/>
      <c r="AL36" s="30"/>
    </row>
    <row r="37" spans="1:38" s="92" customFormat="1" ht="18" x14ac:dyDescent="0.25">
      <c r="A37" s="81"/>
      <c r="B37" s="55" t="s">
        <v>125</v>
      </c>
      <c r="C37" s="55" t="s">
        <v>181</v>
      </c>
      <c r="D37" s="56"/>
      <c r="E37" s="54">
        <f t="shared" ref="E37" si="77">E38+E39</f>
        <v>-3334</v>
      </c>
      <c r="F37" s="54">
        <f t="shared" ref="F37" si="78">F38+F39</f>
        <v>-5924</v>
      </c>
      <c r="G37" s="54">
        <f t="shared" ref="G37:K37" si="79">G38+G39</f>
        <v>-6946</v>
      </c>
      <c r="H37" s="54">
        <f t="shared" si="79"/>
        <v>-31524.774632087621</v>
      </c>
      <c r="I37" s="54">
        <f t="shared" si="79"/>
        <v>-19399</v>
      </c>
      <c r="J37" s="54">
        <f t="shared" si="79"/>
        <v>-35552</v>
      </c>
      <c r="K37" s="54">
        <f t="shared" si="79"/>
        <v>-50203.914000000004</v>
      </c>
      <c r="L37" s="10"/>
      <c r="M37" s="10"/>
      <c r="N37" s="29"/>
      <c r="O37" s="30"/>
      <c r="P37" s="54">
        <f t="shared" ref="P37:U37" si="80">P38+P39</f>
        <v>-1878</v>
      </c>
      <c r="Q37" s="54">
        <f t="shared" si="80"/>
        <v>-1787</v>
      </c>
      <c r="R37" s="54">
        <f t="shared" si="80"/>
        <v>-2386.8052000000002</v>
      </c>
      <c r="S37" s="54">
        <f t="shared" si="80"/>
        <v>-894.1947999999993</v>
      </c>
      <c r="T37" s="54">
        <f t="shared" si="80"/>
        <v>-4313</v>
      </c>
      <c r="U37" s="54">
        <f t="shared" si="80"/>
        <v>-6447</v>
      </c>
      <c r="V37" s="54">
        <f>V38+V39</f>
        <v>-7253</v>
      </c>
      <c r="W37" s="54">
        <f>W38+W39</f>
        <v>-13511.774632087621</v>
      </c>
      <c r="X37" s="54">
        <f>X38+X39</f>
        <v>-8852</v>
      </c>
      <c r="Y37" s="54">
        <v>-9709</v>
      </c>
      <c r="Z37" s="54">
        <f t="shared" ref="Z37:AI37" si="81">Z38+Z39</f>
        <v>-11840</v>
      </c>
      <c r="AA37" s="54">
        <f t="shared" si="81"/>
        <v>11002</v>
      </c>
      <c r="AB37" s="54">
        <f t="shared" si="81"/>
        <v>-4510</v>
      </c>
      <c r="AC37" s="54">
        <f t="shared" si="81"/>
        <v>-4290</v>
      </c>
      <c r="AD37" s="54">
        <f t="shared" si="81"/>
        <v>-15078</v>
      </c>
      <c r="AE37" s="54">
        <f t="shared" si="81"/>
        <v>-11674</v>
      </c>
      <c r="AF37" s="54">
        <f t="shared" si="81"/>
        <v>-15035</v>
      </c>
      <c r="AG37" s="54">
        <f t="shared" si="81"/>
        <v>-14322</v>
      </c>
      <c r="AH37" s="54">
        <f t="shared" si="81"/>
        <v>-13591.383000000002</v>
      </c>
      <c r="AI37" s="54">
        <f t="shared" si="81"/>
        <v>-7255.530999999999</v>
      </c>
      <c r="AJ37" s="54">
        <f t="shared" ref="AJ37" si="82">AJ38+AJ39</f>
        <v>5253.7420000000002</v>
      </c>
      <c r="AK37" s="10"/>
      <c r="AL37" s="36"/>
    </row>
    <row r="38" spans="1:38" s="93" customFormat="1" ht="18" x14ac:dyDescent="0.25">
      <c r="A38" s="91"/>
      <c r="B38" s="31" t="s">
        <v>126</v>
      </c>
      <c r="C38" s="31" t="s">
        <v>182</v>
      </c>
      <c r="D38" s="32"/>
      <c r="E38" s="49">
        <v>-3334</v>
      </c>
      <c r="F38" s="49">
        <v>-5818</v>
      </c>
      <c r="G38" s="49">
        <v>-6946</v>
      </c>
      <c r="H38" s="49">
        <v>-28024.774632087621</v>
      </c>
      <c r="I38" s="49">
        <v>-13319</v>
      </c>
      <c r="J38" s="35">
        <f>SUM(AB38:AE38)</f>
        <v>-35552</v>
      </c>
      <c r="K38" s="35">
        <f>SUM(AF38:AI38)</f>
        <v>-40341.502</v>
      </c>
      <c r="L38" s="32"/>
      <c r="M38" s="32"/>
      <c r="N38" s="34"/>
      <c r="O38" s="32"/>
      <c r="P38" s="49">
        <v>-1878</v>
      </c>
      <c r="Q38" s="49">
        <v>-1787</v>
      </c>
      <c r="R38" s="49">
        <v>-2386.8052000000002</v>
      </c>
      <c r="S38" s="49">
        <v>-894.1947999999993</v>
      </c>
      <c r="T38" s="49">
        <v>-4179</v>
      </c>
      <c r="U38" s="49">
        <v>-5966</v>
      </c>
      <c r="V38" s="49">
        <v>-7492</v>
      </c>
      <c r="W38" s="49">
        <v>-10387.774632087621</v>
      </c>
      <c r="X38" s="49">
        <v>-7052</v>
      </c>
      <c r="Y38" s="49">
        <v>-7961</v>
      </c>
      <c r="Z38" s="49">
        <v>-9308</v>
      </c>
      <c r="AA38" s="49">
        <v>11002</v>
      </c>
      <c r="AB38" s="49">
        <v>-4510</v>
      </c>
      <c r="AC38" s="49">
        <v>-4290</v>
      </c>
      <c r="AD38" s="49">
        <v>-15078</v>
      </c>
      <c r="AE38" s="49">
        <v>-11674</v>
      </c>
      <c r="AF38" s="49">
        <v>-15035</v>
      </c>
      <c r="AG38" s="49">
        <v>-14322</v>
      </c>
      <c r="AH38" s="49">
        <v>-9063.3470000000016</v>
      </c>
      <c r="AI38" s="49">
        <v>-1921.1549999999988</v>
      </c>
      <c r="AJ38" s="49">
        <v>5868</v>
      </c>
      <c r="AK38" s="32"/>
      <c r="AL38" s="32"/>
    </row>
    <row r="39" spans="1:38" s="93" customFormat="1" ht="18" x14ac:dyDescent="0.25">
      <c r="A39" s="91"/>
      <c r="B39" s="31" t="s">
        <v>127</v>
      </c>
      <c r="C39" s="31" t="s">
        <v>183</v>
      </c>
      <c r="D39" s="32"/>
      <c r="E39" s="49">
        <v>0</v>
      </c>
      <c r="F39" s="49">
        <v>-106</v>
      </c>
      <c r="G39" s="49">
        <v>0</v>
      </c>
      <c r="H39" s="49">
        <v>-3500</v>
      </c>
      <c r="I39" s="49">
        <v>-6080</v>
      </c>
      <c r="J39" s="35">
        <f>SUM(AB39:AE39)</f>
        <v>0</v>
      </c>
      <c r="K39" s="35">
        <f>SUM(AF39:AI39)</f>
        <v>-9862.4120000000003</v>
      </c>
      <c r="L39" s="32"/>
      <c r="M39" s="32"/>
      <c r="N39" s="34"/>
      <c r="O39" s="32"/>
      <c r="P39" s="49">
        <v>0</v>
      </c>
      <c r="Q39" s="49">
        <v>0</v>
      </c>
      <c r="R39" s="49">
        <v>0</v>
      </c>
      <c r="S39" s="49">
        <v>0</v>
      </c>
      <c r="T39" s="49">
        <v>-134</v>
      </c>
      <c r="U39" s="49">
        <v>-481</v>
      </c>
      <c r="V39" s="49">
        <v>239</v>
      </c>
      <c r="W39" s="49">
        <v>-3124</v>
      </c>
      <c r="X39" s="49">
        <v>-1800</v>
      </c>
      <c r="Y39" s="49">
        <v>-1748</v>
      </c>
      <c r="Z39" s="49">
        <v>-2532</v>
      </c>
      <c r="AA39" s="49">
        <v>0</v>
      </c>
      <c r="AB39" s="49">
        <v>0</v>
      </c>
      <c r="AC39" s="49">
        <v>0</v>
      </c>
      <c r="AD39" s="49">
        <v>0</v>
      </c>
      <c r="AE39" s="49">
        <v>0</v>
      </c>
      <c r="AF39" s="49">
        <v>0</v>
      </c>
      <c r="AG39" s="49">
        <v>0</v>
      </c>
      <c r="AH39" s="49">
        <v>-4528.0360000000001</v>
      </c>
      <c r="AI39" s="49">
        <v>-5334.3760000000002</v>
      </c>
      <c r="AJ39" s="49">
        <v>-614.25800000000004</v>
      </c>
      <c r="AK39" s="32"/>
      <c r="AL39" s="32"/>
    </row>
    <row r="40" spans="1:38" s="92" customFormat="1" ht="18" x14ac:dyDescent="0.25">
      <c r="A40" s="81"/>
      <c r="B40" s="30"/>
      <c r="C40" s="30"/>
      <c r="D40" s="30"/>
      <c r="E40" s="30"/>
      <c r="F40" s="30"/>
      <c r="G40" s="30"/>
      <c r="H40" s="30"/>
      <c r="I40" s="30"/>
      <c r="J40" s="30"/>
      <c r="K40" s="30"/>
      <c r="L40" s="30"/>
      <c r="M40" s="30"/>
      <c r="N40" s="29"/>
      <c r="O40" s="30"/>
      <c r="P40" s="30"/>
      <c r="Q40" s="30"/>
      <c r="R40" s="30"/>
      <c r="S40" s="30"/>
      <c r="T40" s="30"/>
      <c r="U40" s="30"/>
      <c r="V40" s="30"/>
      <c r="W40" s="30"/>
      <c r="X40" s="30"/>
      <c r="Y40" s="30"/>
      <c r="Z40" s="30"/>
      <c r="AA40" s="30"/>
      <c r="AB40" s="30"/>
      <c r="AC40" s="30"/>
      <c r="AD40" s="30"/>
      <c r="AE40" s="30"/>
      <c r="AF40" s="30"/>
      <c r="AG40" s="30"/>
      <c r="AH40" s="30"/>
      <c r="AI40" s="30"/>
      <c r="AJ40" s="30"/>
      <c r="AK40" s="30"/>
      <c r="AL40" s="30"/>
    </row>
    <row r="41" spans="1:38" s="92" customFormat="1" ht="18" x14ac:dyDescent="0.25">
      <c r="A41" s="81"/>
      <c r="B41" s="8" t="s">
        <v>128</v>
      </c>
      <c r="C41" s="8" t="s">
        <v>184</v>
      </c>
      <c r="D41" s="26"/>
      <c r="E41" s="27">
        <f t="shared" ref="E41:H41" si="83">E34+E37</f>
        <v>6319</v>
      </c>
      <c r="F41" s="27">
        <f t="shared" si="83"/>
        <v>9164</v>
      </c>
      <c r="G41" s="27">
        <f t="shared" si="83"/>
        <v>17533</v>
      </c>
      <c r="H41" s="27">
        <f t="shared" si="83"/>
        <v>58064.225367912382</v>
      </c>
      <c r="I41" s="27">
        <f t="shared" ref="I41:K41" si="84">I34+I37</f>
        <v>148592</v>
      </c>
      <c r="J41" s="27">
        <f t="shared" si="84"/>
        <v>163283.19999999995</v>
      </c>
      <c r="K41" s="27">
        <f t="shared" si="84"/>
        <v>175638.83733274904</v>
      </c>
      <c r="L41" s="28">
        <f>J41/I41-1</f>
        <v>9.8869387315602131E-2</v>
      </c>
      <c r="M41" s="28">
        <f>K41/J41-1</f>
        <v>7.5669985232706738E-2</v>
      </c>
      <c r="N41" s="29"/>
      <c r="O41" s="30"/>
      <c r="P41" s="27">
        <f t="shared" ref="P41:U41" si="85">P34+P37</f>
        <v>3048</v>
      </c>
      <c r="Q41" s="27">
        <f t="shared" si="85"/>
        <v>3422</v>
      </c>
      <c r="R41" s="27">
        <f t="shared" si="85"/>
        <v>3933.8117800000005</v>
      </c>
      <c r="S41" s="27">
        <f t="shared" si="85"/>
        <v>7129.1882200000036</v>
      </c>
      <c r="T41" s="27">
        <f t="shared" si="85"/>
        <v>7665</v>
      </c>
      <c r="U41" s="27">
        <f t="shared" si="85"/>
        <v>10804</v>
      </c>
      <c r="V41" s="27">
        <f>V34+V37</f>
        <v>13676</v>
      </c>
      <c r="W41" s="27">
        <f>W34+W37</f>
        <v>25919.225367912379</v>
      </c>
      <c r="X41" s="27">
        <f>X34+X37</f>
        <v>27965</v>
      </c>
      <c r="Y41" s="27">
        <v>30837</v>
      </c>
      <c r="Z41" s="27">
        <f t="shared" ref="Z41:AF41" si="86">Z34+Z37</f>
        <v>38835</v>
      </c>
      <c r="AA41" s="27">
        <f t="shared" si="86"/>
        <v>50955</v>
      </c>
      <c r="AB41" s="27">
        <f t="shared" si="86"/>
        <v>26222</v>
      </c>
      <c r="AC41" s="27">
        <f t="shared" si="86"/>
        <v>43435</v>
      </c>
      <c r="AD41" s="27">
        <f t="shared" si="86"/>
        <v>47873.599999999977</v>
      </c>
      <c r="AE41" s="27">
        <f t="shared" si="86"/>
        <v>45752.599999999977</v>
      </c>
      <c r="AF41" s="27">
        <f t="shared" si="86"/>
        <v>53114</v>
      </c>
      <c r="AG41" s="27">
        <f t="shared" ref="AG41:AI41" si="87">AG34+AG37</f>
        <v>50394.917447484229</v>
      </c>
      <c r="AH41" s="27">
        <f t="shared" si="87"/>
        <v>60839.093936685531</v>
      </c>
      <c r="AI41" s="27">
        <f t="shared" si="87"/>
        <v>11290.825948579546</v>
      </c>
      <c r="AJ41" s="27">
        <f t="shared" ref="AJ41" si="88">AJ34+AJ37</f>
        <v>12512.005410000091</v>
      </c>
      <c r="AK41" s="28">
        <f>AJ41/AF41-1</f>
        <v>-0.76443112154987214</v>
      </c>
      <c r="AL41" s="28">
        <f>AJ41/AI41-1</f>
        <v>0.10815678737605339</v>
      </c>
    </row>
    <row r="42" spans="1:38" s="92" customFormat="1" ht="18" x14ac:dyDescent="0.25">
      <c r="A42" s="81"/>
      <c r="B42" s="7" t="s">
        <v>4</v>
      </c>
      <c r="C42" s="7" t="s">
        <v>174</v>
      </c>
      <c r="D42" s="30"/>
      <c r="E42" s="21">
        <f t="shared" ref="E42" si="89">E41/E$15</f>
        <v>0.14785436847770134</v>
      </c>
      <c r="F42" s="21">
        <f t="shared" ref="F42" si="90">F41/F$15</f>
        <v>0.14931404177664809</v>
      </c>
      <c r="G42" s="21">
        <f t="shared" ref="G42:H42" si="91">G41/G$15</f>
        <v>0.15753769295739214</v>
      </c>
      <c r="H42" s="21">
        <f t="shared" si="91"/>
        <v>0.14897659900324919</v>
      </c>
      <c r="I42" s="21">
        <f t="shared" ref="I42:K42" si="92">I41/I$15</f>
        <v>0.15612437667716658</v>
      </c>
      <c r="J42" s="21">
        <f t="shared" si="92"/>
        <v>0.11997587009824628</v>
      </c>
      <c r="K42" s="21">
        <f t="shared" si="92"/>
        <v>9.9457460837520675E-2</v>
      </c>
      <c r="L42" s="30"/>
      <c r="M42" s="30"/>
      <c r="N42" s="29"/>
      <c r="O42" s="30"/>
      <c r="P42" s="21">
        <f t="shared" ref="P42:U42" si="93">P41/P$15</f>
        <v>0.15372976244515055</v>
      </c>
      <c r="Q42" s="21">
        <f t="shared" si="93"/>
        <v>0.15648436070971283</v>
      </c>
      <c r="R42" s="21">
        <f t="shared" si="93"/>
        <v>0.13405847123773174</v>
      </c>
      <c r="S42" s="21">
        <f t="shared" si="93"/>
        <v>0.17710068861011063</v>
      </c>
      <c r="T42" s="21">
        <f t="shared" si="93"/>
        <v>0.14810163269249349</v>
      </c>
      <c r="U42" s="21">
        <f t="shared" si="93"/>
        <v>0.15091282423768351</v>
      </c>
      <c r="V42" s="21">
        <f>V41/V$15</f>
        <v>0.13766029835121696</v>
      </c>
      <c r="W42" s="21">
        <f>W41/W$15</f>
        <v>0.15514734271056482</v>
      </c>
      <c r="X42" s="21">
        <f>X41/X$15</f>
        <v>0.14310496581651452</v>
      </c>
      <c r="Y42" s="21">
        <v>0.13652966621358967</v>
      </c>
      <c r="Z42" s="21">
        <f t="shared" ref="Z42:AF42" si="94">Z41/Z$15</f>
        <v>0.15496993180285479</v>
      </c>
      <c r="AA42" s="21">
        <f t="shared" si="94"/>
        <v>0.18206146964034328</v>
      </c>
      <c r="AB42" s="21">
        <f t="shared" si="94"/>
        <v>8.9958180527014556E-2</v>
      </c>
      <c r="AC42" s="21">
        <f t="shared" si="94"/>
        <v>0.13969022763380481</v>
      </c>
      <c r="AD42" s="21">
        <f t="shared" si="94"/>
        <v>0.13315273169252842</v>
      </c>
      <c r="AE42" s="21">
        <f t="shared" si="94"/>
        <v>0.11466845781568369</v>
      </c>
      <c r="AF42" s="21">
        <f t="shared" si="94"/>
        <v>0.13696694319304153</v>
      </c>
      <c r="AG42" s="21">
        <f t="shared" ref="AG42:AI42" si="95">AG41/AG$15</f>
        <v>0.12360694804808386</v>
      </c>
      <c r="AH42" s="21">
        <f t="shared" si="95"/>
        <v>0.12241631424391555</v>
      </c>
      <c r="AI42" s="21">
        <f t="shared" si="95"/>
        <v>2.3845747460127791E-2</v>
      </c>
      <c r="AJ42" s="21">
        <f t="shared" ref="AJ42" si="96">AJ41/AJ$15</f>
        <v>2.8441756384146581E-2</v>
      </c>
      <c r="AK42" s="30"/>
      <c r="AL42" s="30"/>
    </row>
    <row r="43" spans="1:38" s="39" customFormat="1" x14ac:dyDescent="0.25">
      <c r="B43" s="92"/>
      <c r="S43" s="94"/>
    </row>
    <row r="44" spans="1:38" ht="6" customHeight="1" x14ac:dyDescent="0.25"/>
    <row r="56" ht="6" customHeight="1" x14ac:dyDescent="0.25"/>
  </sheetData>
  <phoneticPr fontId="12" type="noConversion"/>
  <pageMargins left="0.7" right="0.7" top="0.75" bottom="0.75" header="0.3" footer="0.3"/>
  <pageSetup paperSize="9" orientation="portrait" r:id="rId1"/>
  <ignoredErrors>
    <ignoredError sqref="J7:J8 J11:J13 J20:J39 K7:K8 K11:K13 I19:K19 K25 K38:K3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4875E-6E5D-4BF9-8E8B-A2AD202E752F}">
  <sheetPr>
    <tabColor theme="4" tint="-0.249977111117893"/>
  </sheetPr>
  <dimension ref="A1:AT62"/>
  <sheetViews>
    <sheetView showGridLines="0" zoomScale="70" zoomScaleNormal="70" workbookViewId="0">
      <pane xSplit="3" ySplit="4" topLeftCell="D5" activePane="bottomRight" state="frozen"/>
      <selection pane="topRight" activeCell="D1" sqref="D1"/>
      <selection pane="bottomLeft" activeCell="A5" sqref="A5"/>
      <selection pane="bottomRight" activeCell="AI6" sqref="AI6"/>
    </sheetView>
  </sheetViews>
  <sheetFormatPr defaultRowHeight="15" outlineLevelCol="1" x14ac:dyDescent="0.25"/>
  <cols>
    <col min="1" max="1" width="2.7109375" customWidth="1"/>
    <col min="2" max="2" width="37" bestFit="1" customWidth="1"/>
    <col min="3" max="3" width="39.7109375" hidden="1" customWidth="1" outlineLevel="1"/>
    <col min="4" max="4" width="8" customWidth="1" collapsed="1"/>
    <col min="5" max="13" width="10.7109375" customWidth="1" outlineLevel="1"/>
    <col min="14" max="14" width="2.7109375" customWidth="1" outlineLevel="1"/>
    <col min="15" max="15" width="2.7109375" customWidth="1"/>
    <col min="16" max="18" width="10.7109375" hidden="1" customWidth="1"/>
    <col min="19" max="19" width="11.7109375" hidden="1" customWidth="1"/>
    <col min="20" max="29" width="10.7109375" hidden="1" customWidth="1"/>
    <col min="30" max="38" width="10.7109375" customWidth="1"/>
    <col min="45" max="45" width="13.85546875" bestFit="1" customWidth="1"/>
    <col min="46" max="46" width="10.5703125" bestFit="1" customWidth="1"/>
  </cols>
  <sheetData>
    <row r="1" spans="1:46" ht="12" customHeight="1" x14ac:dyDescent="0.25"/>
    <row r="2" spans="1:46" ht="21" x14ac:dyDescent="0.25">
      <c r="B2" s="14" t="s">
        <v>15</v>
      </c>
      <c r="C2" s="14" t="s">
        <v>187</v>
      </c>
      <c r="D2" s="14"/>
      <c r="E2" s="13"/>
      <c r="F2" s="14"/>
      <c r="G2" s="13"/>
      <c r="H2" s="13"/>
      <c r="I2" s="13"/>
      <c r="J2" s="13"/>
      <c r="K2" s="13"/>
      <c r="L2" s="14"/>
      <c r="M2" s="13"/>
      <c r="N2" s="14"/>
      <c r="O2" s="13"/>
      <c r="P2" s="13"/>
      <c r="Q2" s="13"/>
      <c r="R2" s="13"/>
      <c r="S2" s="13"/>
      <c r="T2" s="14"/>
      <c r="U2" s="13"/>
      <c r="V2" s="13"/>
      <c r="W2" s="13"/>
      <c r="X2" s="13"/>
      <c r="Y2" s="13"/>
      <c r="Z2" s="13"/>
      <c r="AA2" s="13"/>
      <c r="AB2" s="13"/>
      <c r="AC2" s="13"/>
      <c r="AD2" s="13"/>
      <c r="AE2" s="13"/>
      <c r="AF2" s="13"/>
      <c r="AG2" s="13"/>
      <c r="AH2" s="13"/>
      <c r="AI2" s="13"/>
      <c r="AJ2" s="13"/>
      <c r="AK2" s="13"/>
      <c r="AL2" s="14"/>
    </row>
    <row r="3" spans="1:46" ht="12" customHeight="1" x14ac:dyDescent="0.25">
      <c r="P3" s="19" t="s">
        <v>306</v>
      </c>
      <c r="Q3" s="19" t="s">
        <v>307</v>
      </c>
      <c r="R3" s="19" t="s">
        <v>308</v>
      </c>
      <c r="S3" s="19" t="s">
        <v>309</v>
      </c>
      <c r="T3" s="19" t="s">
        <v>310</v>
      </c>
      <c r="U3" s="19" t="s">
        <v>311</v>
      </c>
      <c r="V3" s="19" t="s">
        <v>312</v>
      </c>
      <c r="W3" s="19" t="s">
        <v>313</v>
      </c>
      <c r="X3" s="19" t="s">
        <v>314</v>
      </c>
      <c r="Y3" s="19" t="s">
        <v>315</v>
      </c>
      <c r="Z3" s="19" t="s">
        <v>316</v>
      </c>
      <c r="AA3" s="19" t="s">
        <v>318</v>
      </c>
      <c r="AB3" s="19" t="s">
        <v>345</v>
      </c>
      <c r="AC3" s="19" t="s">
        <v>361</v>
      </c>
      <c r="AD3" s="19" t="s">
        <v>367</v>
      </c>
      <c r="AE3" s="19" t="s">
        <v>375</v>
      </c>
      <c r="AF3" s="19" t="s">
        <v>389</v>
      </c>
      <c r="AG3" s="19" t="s">
        <v>405</v>
      </c>
      <c r="AH3" s="19" t="s">
        <v>407</v>
      </c>
      <c r="AI3" s="19" t="s">
        <v>418</v>
      </c>
      <c r="AJ3" s="19" t="s">
        <v>428</v>
      </c>
    </row>
    <row r="4" spans="1:46" x14ac:dyDescent="0.25">
      <c r="B4" s="2" t="s">
        <v>0</v>
      </c>
      <c r="C4" s="2" t="s">
        <v>165</v>
      </c>
      <c r="D4" s="3"/>
      <c r="E4" s="18">
        <v>2018</v>
      </c>
      <c r="F4" s="18">
        <v>2019</v>
      </c>
      <c r="G4" s="18">
        <v>2020</v>
      </c>
      <c r="H4" s="18">
        <v>2021</v>
      </c>
      <c r="I4" s="18">
        <v>2022</v>
      </c>
      <c r="J4" s="18">
        <v>2023</v>
      </c>
      <c r="K4" s="18">
        <v>2024</v>
      </c>
      <c r="L4" s="19" t="s">
        <v>317</v>
      </c>
      <c r="M4" s="19" t="s">
        <v>374</v>
      </c>
      <c r="N4" s="20"/>
      <c r="O4" s="6"/>
      <c r="P4" s="19" t="s">
        <v>86</v>
      </c>
      <c r="Q4" s="19" t="s">
        <v>87</v>
      </c>
      <c r="R4" s="19" t="s">
        <v>95</v>
      </c>
      <c r="S4" s="19" t="s">
        <v>96</v>
      </c>
      <c r="T4" s="19" t="s">
        <v>1</v>
      </c>
      <c r="U4" s="19" t="s">
        <v>2</v>
      </c>
      <c r="V4" s="19" t="s">
        <v>97</v>
      </c>
      <c r="W4" s="19" t="s">
        <v>143</v>
      </c>
      <c r="X4" s="19" t="s">
        <v>158</v>
      </c>
      <c r="Y4" s="19" t="s">
        <v>185</v>
      </c>
      <c r="Z4" s="19" t="s">
        <v>305</v>
      </c>
      <c r="AA4" s="19" t="s">
        <v>319</v>
      </c>
      <c r="AB4" s="19" t="s">
        <v>346</v>
      </c>
      <c r="AC4" s="19" t="s">
        <v>362</v>
      </c>
      <c r="AD4" s="19" t="s">
        <v>368</v>
      </c>
      <c r="AE4" s="19" t="s">
        <v>376</v>
      </c>
      <c r="AF4" s="19" t="s">
        <v>390</v>
      </c>
      <c r="AG4" s="19" t="s">
        <v>406</v>
      </c>
      <c r="AH4" s="19" t="s">
        <v>408</v>
      </c>
      <c r="AI4" s="19" t="s">
        <v>419</v>
      </c>
      <c r="AJ4" s="19" t="s">
        <v>429</v>
      </c>
      <c r="AK4" s="19" t="s">
        <v>105</v>
      </c>
      <c r="AL4" s="19" t="s">
        <v>106</v>
      </c>
    </row>
    <row r="5" spans="1:46" ht="6" customHeight="1" x14ac:dyDescent="0.25">
      <c r="N5" s="4"/>
    </row>
    <row r="6" spans="1:46" s="39" customFormat="1" ht="18" x14ac:dyDescent="0.25">
      <c r="A6" s="81"/>
      <c r="B6" s="7" t="s">
        <v>16</v>
      </c>
      <c r="C6" s="7" t="s">
        <v>188</v>
      </c>
      <c r="E6" s="35">
        <v>2460</v>
      </c>
      <c r="F6" s="35">
        <v>6793</v>
      </c>
      <c r="G6" s="35">
        <v>84767</v>
      </c>
      <c r="H6" s="35">
        <v>1668121</v>
      </c>
      <c r="I6" s="35">
        <v>938358</v>
      </c>
      <c r="J6" s="35">
        <v>254404.55469271995</v>
      </c>
      <c r="K6" s="35">
        <f>AI6</f>
        <v>210911.77954999998</v>
      </c>
      <c r="L6" s="40"/>
      <c r="M6" s="10"/>
      <c r="N6" s="41"/>
      <c r="P6" s="35">
        <v>4405</v>
      </c>
      <c r="Q6" s="35">
        <v>13372</v>
      </c>
      <c r="R6" s="35">
        <v>49038.092210000003</v>
      </c>
      <c r="S6" s="35">
        <v>84767</v>
      </c>
      <c r="T6" s="35">
        <v>108963</v>
      </c>
      <c r="U6" s="35">
        <v>134925</v>
      </c>
      <c r="V6" s="35">
        <v>892411.2876618756</v>
      </c>
      <c r="W6" s="35">
        <v>3442</v>
      </c>
      <c r="X6" s="35">
        <v>1842</v>
      </c>
      <c r="Y6" s="35">
        <v>4363</v>
      </c>
      <c r="Z6" s="35">
        <v>320</v>
      </c>
      <c r="AA6" s="35">
        <v>938358</v>
      </c>
      <c r="AB6" s="35">
        <v>869390</v>
      </c>
      <c r="AC6" s="35">
        <v>762979</v>
      </c>
      <c r="AD6" s="35">
        <v>379438</v>
      </c>
      <c r="AE6" s="35">
        <v>254404.55469271995</v>
      </c>
      <c r="AF6" s="35">
        <v>264628.96709999995</v>
      </c>
      <c r="AG6" s="35">
        <v>242994.85837999999</v>
      </c>
      <c r="AH6" s="35">
        <v>385200.01533916825</v>
      </c>
      <c r="AI6" s="35">
        <v>210911.77954999998</v>
      </c>
      <c r="AJ6" s="35">
        <v>470639.58220134338</v>
      </c>
      <c r="AK6" s="35"/>
      <c r="AL6" s="10"/>
    </row>
    <row r="7" spans="1:46" s="39" customFormat="1" ht="18" x14ac:dyDescent="0.25">
      <c r="A7" s="81"/>
      <c r="B7" s="7" t="s">
        <v>369</v>
      </c>
      <c r="C7" s="7" t="s">
        <v>370</v>
      </c>
      <c r="E7" s="35">
        <v>0</v>
      </c>
      <c r="F7" s="35">
        <v>0</v>
      </c>
      <c r="G7" s="35">
        <v>0</v>
      </c>
      <c r="H7" s="35">
        <v>0</v>
      </c>
      <c r="I7" s="35">
        <v>0</v>
      </c>
      <c r="J7" s="35">
        <v>475190.44530728005</v>
      </c>
      <c r="K7" s="35">
        <f t="shared" ref="K7:K12" si="0">AI7</f>
        <v>430574.88144999999</v>
      </c>
      <c r="L7" s="40"/>
      <c r="M7" s="10"/>
      <c r="N7" s="41"/>
      <c r="P7" s="35">
        <v>0</v>
      </c>
      <c r="Q7" s="35">
        <v>0</v>
      </c>
      <c r="R7" s="35">
        <v>0</v>
      </c>
      <c r="S7" s="35">
        <v>0</v>
      </c>
      <c r="T7" s="35">
        <v>0</v>
      </c>
      <c r="U7" s="35">
        <v>0</v>
      </c>
      <c r="V7" s="35">
        <v>0</v>
      </c>
      <c r="W7" s="35">
        <v>1664679</v>
      </c>
      <c r="X7" s="35">
        <v>1351137</v>
      </c>
      <c r="Y7" s="35">
        <v>879595</v>
      </c>
      <c r="Z7" s="35">
        <v>859034</v>
      </c>
      <c r="AA7" s="35">
        <v>0</v>
      </c>
      <c r="AB7" s="35">
        <v>0</v>
      </c>
      <c r="AC7" s="35">
        <v>0</v>
      </c>
      <c r="AD7" s="35">
        <v>407606</v>
      </c>
      <c r="AE7" s="35">
        <v>475190.44530728005</v>
      </c>
      <c r="AF7" s="35">
        <v>1080342.0329</v>
      </c>
      <c r="AG7" s="35">
        <v>932708.91462000005</v>
      </c>
      <c r="AH7" s="35">
        <v>737761.84466083173</v>
      </c>
      <c r="AI7" s="35">
        <v>430574.88144999999</v>
      </c>
      <c r="AJ7" s="35">
        <v>250934.7127986566</v>
      </c>
      <c r="AK7" s="35"/>
      <c r="AL7" s="10"/>
    </row>
    <row r="8" spans="1:46" s="39" customFormat="1" ht="18" x14ac:dyDescent="0.25">
      <c r="A8" s="81"/>
      <c r="B8" s="7" t="s">
        <v>17</v>
      </c>
      <c r="C8" s="7" t="s">
        <v>327</v>
      </c>
      <c r="E8" s="35">
        <v>5611</v>
      </c>
      <c r="F8" s="35">
        <v>8468</v>
      </c>
      <c r="G8" s="35">
        <v>23866</v>
      </c>
      <c r="H8" s="35">
        <v>170499</v>
      </c>
      <c r="I8" s="35">
        <v>237500</v>
      </c>
      <c r="J8" s="35">
        <v>325596</v>
      </c>
      <c r="K8" s="35">
        <f t="shared" si="0"/>
        <v>562227.19200000004</v>
      </c>
      <c r="L8" s="40"/>
      <c r="M8" s="10"/>
      <c r="N8" s="41"/>
      <c r="P8" s="35">
        <v>12303</v>
      </c>
      <c r="Q8" s="35">
        <v>10821</v>
      </c>
      <c r="R8" s="35">
        <v>16820</v>
      </c>
      <c r="S8" s="35">
        <v>23866</v>
      </c>
      <c r="T8" s="35">
        <v>38497</v>
      </c>
      <c r="U8" s="35">
        <v>63331</v>
      </c>
      <c r="V8" s="35">
        <v>96325</v>
      </c>
      <c r="W8" s="35">
        <f t="shared" ref="W8:W11" si="1">H8</f>
        <v>170499</v>
      </c>
      <c r="X8" s="35">
        <v>222996</v>
      </c>
      <c r="Y8" s="35">
        <v>250781</v>
      </c>
      <c r="Z8" s="35">
        <v>245392</v>
      </c>
      <c r="AA8" s="35">
        <v>237500</v>
      </c>
      <c r="AB8" s="35">
        <v>251542</v>
      </c>
      <c r="AC8" s="35">
        <v>265547</v>
      </c>
      <c r="AD8" s="35">
        <v>311946</v>
      </c>
      <c r="AE8" s="35">
        <v>325596</v>
      </c>
      <c r="AF8" s="35">
        <v>403695</v>
      </c>
      <c r="AG8" s="35">
        <v>452351.18199999997</v>
      </c>
      <c r="AH8" s="35">
        <v>503281.54800000001</v>
      </c>
      <c r="AI8" s="35">
        <v>562227.19200000004</v>
      </c>
      <c r="AJ8" s="35">
        <v>378741.54200000002</v>
      </c>
      <c r="AK8" s="35"/>
      <c r="AL8" s="10"/>
    </row>
    <row r="9" spans="1:46" s="39" customFormat="1" ht="18" x14ac:dyDescent="0.25">
      <c r="A9" s="81"/>
      <c r="B9" s="7" t="s">
        <v>18</v>
      </c>
      <c r="C9" s="7" t="s">
        <v>189</v>
      </c>
      <c r="E9" s="35">
        <v>0</v>
      </c>
      <c r="F9" s="35">
        <v>0</v>
      </c>
      <c r="G9" s="35">
        <v>1985</v>
      </c>
      <c r="H9" s="35">
        <v>17299</v>
      </c>
      <c r="I9" s="35">
        <v>34811</v>
      </c>
      <c r="J9" s="35">
        <v>56525</v>
      </c>
      <c r="K9" s="35">
        <f t="shared" si="0"/>
        <v>76059.620999999999</v>
      </c>
      <c r="L9" s="9"/>
      <c r="M9" s="10"/>
      <c r="N9" s="41"/>
      <c r="P9" s="35">
        <v>4.9133999999999993</v>
      </c>
      <c r="Q9" s="35">
        <v>0</v>
      </c>
      <c r="R9" s="35">
        <v>1060</v>
      </c>
      <c r="S9" s="35">
        <v>1985</v>
      </c>
      <c r="T9" s="35">
        <v>2807</v>
      </c>
      <c r="U9" s="35">
        <v>4721</v>
      </c>
      <c r="V9" s="35">
        <v>7784</v>
      </c>
      <c r="W9" s="35">
        <f t="shared" si="1"/>
        <v>17299</v>
      </c>
      <c r="X9" s="35">
        <v>20824</v>
      </c>
      <c r="Y9" s="35">
        <v>25994</v>
      </c>
      <c r="Z9" s="35">
        <v>30874</v>
      </c>
      <c r="AA9" s="35">
        <v>34811</v>
      </c>
      <c r="AB9" s="35">
        <v>44637</v>
      </c>
      <c r="AC9" s="35">
        <v>52036</v>
      </c>
      <c r="AD9" s="35">
        <v>54253</v>
      </c>
      <c r="AE9" s="35">
        <v>56525</v>
      </c>
      <c r="AF9" s="35">
        <v>55505</v>
      </c>
      <c r="AG9" s="35">
        <v>62434.464</v>
      </c>
      <c r="AH9" s="35">
        <v>71130.613000000012</v>
      </c>
      <c r="AI9" s="35">
        <v>76059.620999999999</v>
      </c>
      <c r="AJ9" s="35">
        <v>78320.293000000005</v>
      </c>
      <c r="AK9" s="35"/>
      <c r="AL9" s="10"/>
    </row>
    <row r="10" spans="1:46" s="39" customFormat="1" ht="18" x14ac:dyDescent="0.25">
      <c r="A10" s="81"/>
      <c r="B10" s="7" t="s">
        <v>19</v>
      </c>
      <c r="C10" s="7" t="s">
        <v>190</v>
      </c>
      <c r="E10" s="35">
        <v>2361</v>
      </c>
      <c r="F10" s="35">
        <v>1809</v>
      </c>
      <c r="G10" s="35">
        <v>9649</v>
      </c>
      <c r="H10" s="35">
        <v>33061</v>
      </c>
      <c r="I10" s="35">
        <v>68330</v>
      </c>
      <c r="J10" s="35">
        <v>33322</v>
      </c>
      <c r="K10" s="35">
        <f t="shared" si="0"/>
        <v>34155.723000000005</v>
      </c>
      <c r="L10" s="40"/>
      <c r="M10" s="10"/>
      <c r="N10" s="41"/>
      <c r="P10" s="35">
        <v>2605.25632</v>
      </c>
      <c r="Q10" s="35">
        <v>3935</v>
      </c>
      <c r="R10" s="35">
        <v>8234</v>
      </c>
      <c r="S10" s="35">
        <v>9649</v>
      </c>
      <c r="T10" s="35">
        <v>13637</v>
      </c>
      <c r="U10" s="35">
        <v>23986</v>
      </c>
      <c r="V10" s="35">
        <v>36376</v>
      </c>
      <c r="W10" s="35">
        <f t="shared" si="1"/>
        <v>33061</v>
      </c>
      <c r="X10" s="35">
        <v>38041</v>
      </c>
      <c r="Y10" s="35">
        <v>33942</v>
      </c>
      <c r="Z10" s="35">
        <v>45278</v>
      </c>
      <c r="AA10" s="35">
        <v>68330</v>
      </c>
      <c r="AB10" s="35">
        <v>59467</v>
      </c>
      <c r="AC10" s="35">
        <v>44817</v>
      </c>
      <c r="AD10" s="35">
        <v>29834</v>
      </c>
      <c r="AE10" s="35">
        <v>33322</v>
      </c>
      <c r="AF10" s="35">
        <v>28805</v>
      </c>
      <c r="AG10" s="35">
        <v>34340.072999999997</v>
      </c>
      <c r="AH10" s="35">
        <v>35579.993999999999</v>
      </c>
      <c r="AI10" s="35">
        <v>34155.723000000005</v>
      </c>
      <c r="AJ10" s="35">
        <v>46923.731999999996</v>
      </c>
      <c r="AK10" s="35"/>
      <c r="AL10" s="10"/>
      <c r="AS10" s="95"/>
    </row>
    <row r="11" spans="1:46" s="39" customFormat="1" ht="18" x14ac:dyDescent="0.25">
      <c r="A11" s="81"/>
      <c r="B11" s="7" t="s">
        <v>20</v>
      </c>
      <c r="C11" s="7" t="s">
        <v>191</v>
      </c>
      <c r="E11" s="35">
        <v>231</v>
      </c>
      <c r="F11" s="35">
        <v>569</v>
      </c>
      <c r="G11" s="35">
        <v>1970</v>
      </c>
      <c r="H11" s="35">
        <v>8393</v>
      </c>
      <c r="I11" s="35">
        <v>11610</v>
      </c>
      <c r="J11" s="35">
        <v>42898</v>
      </c>
      <c r="K11" s="35">
        <f t="shared" si="0"/>
        <v>50802.406999999999</v>
      </c>
      <c r="L11" s="40"/>
      <c r="M11" s="10"/>
      <c r="P11" s="35">
        <v>1161</v>
      </c>
      <c r="Q11" s="35">
        <v>1476</v>
      </c>
      <c r="R11" s="35">
        <v>2388</v>
      </c>
      <c r="S11" s="35">
        <v>1970</v>
      </c>
      <c r="T11" s="35">
        <v>4575</v>
      </c>
      <c r="U11" s="35">
        <v>5132</v>
      </c>
      <c r="V11" s="35">
        <v>6098</v>
      </c>
      <c r="W11" s="35">
        <f t="shared" si="1"/>
        <v>8393</v>
      </c>
      <c r="X11" s="35">
        <v>7227.3923700000014</v>
      </c>
      <c r="Y11" s="35">
        <v>16486</v>
      </c>
      <c r="Z11" s="35">
        <v>11140</v>
      </c>
      <c r="AA11" s="35">
        <v>11610</v>
      </c>
      <c r="AB11" s="35">
        <v>30454</v>
      </c>
      <c r="AC11" s="35">
        <v>43377</v>
      </c>
      <c r="AD11" s="35">
        <v>45713</v>
      </c>
      <c r="AE11" s="35">
        <v>42898</v>
      </c>
      <c r="AF11" s="35">
        <v>59483</v>
      </c>
      <c r="AG11" s="35">
        <v>64310.325000000004</v>
      </c>
      <c r="AH11" s="35">
        <v>59417.786</v>
      </c>
      <c r="AI11" s="35">
        <v>50802.406999999999</v>
      </c>
      <c r="AJ11" s="35">
        <v>58541.553999999996</v>
      </c>
      <c r="AK11" s="35"/>
      <c r="AL11" s="10"/>
      <c r="AS11" s="95"/>
    </row>
    <row r="12" spans="1:46" s="39" customFormat="1" ht="18" x14ac:dyDescent="0.25">
      <c r="A12" s="81"/>
      <c r="B12" s="11" t="s">
        <v>430</v>
      </c>
      <c r="C12" s="11"/>
      <c r="D12" s="42"/>
      <c r="E12" s="43"/>
      <c r="F12" s="43"/>
      <c r="G12" s="43"/>
      <c r="H12" s="43"/>
      <c r="I12" s="43"/>
      <c r="J12" s="43"/>
      <c r="K12" s="43">
        <f t="shared" si="0"/>
        <v>0</v>
      </c>
      <c r="L12" s="44"/>
      <c r="M12" s="45"/>
      <c r="N12" s="41"/>
      <c r="P12" s="43"/>
      <c r="Q12" s="43"/>
      <c r="R12" s="43"/>
      <c r="S12" s="43"/>
      <c r="T12" s="43"/>
      <c r="U12" s="43"/>
      <c r="V12" s="43"/>
      <c r="W12" s="43"/>
      <c r="X12" s="43"/>
      <c r="Y12" s="43"/>
      <c r="Z12" s="43"/>
      <c r="AA12" s="43"/>
      <c r="AB12" s="43"/>
      <c r="AC12" s="43"/>
      <c r="AD12" s="43">
        <v>0</v>
      </c>
      <c r="AE12" s="43">
        <v>0</v>
      </c>
      <c r="AF12" s="43">
        <v>0</v>
      </c>
      <c r="AG12" s="43">
        <v>0</v>
      </c>
      <c r="AH12" s="43">
        <v>0</v>
      </c>
      <c r="AI12" s="43">
        <v>0</v>
      </c>
      <c r="AJ12" s="43">
        <v>107447</v>
      </c>
      <c r="AK12" s="43"/>
      <c r="AL12" s="45"/>
      <c r="AS12" s="95"/>
    </row>
    <row r="13" spans="1:46" s="39" customFormat="1" ht="18" x14ac:dyDescent="0.25">
      <c r="A13" s="81"/>
      <c r="B13" s="5" t="s">
        <v>21</v>
      </c>
      <c r="C13" s="5" t="s">
        <v>192</v>
      </c>
      <c r="D13" s="46"/>
      <c r="E13" s="37">
        <f>SUM(E6:E12)</f>
        <v>10663</v>
      </c>
      <c r="F13" s="37">
        <f t="shared" ref="F13:K13" si="2">SUM(F6:F12)</f>
        <v>17639</v>
      </c>
      <c r="G13" s="37">
        <f t="shared" si="2"/>
        <v>122237</v>
      </c>
      <c r="H13" s="37">
        <f t="shared" si="2"/>
        <v>1897373</v>
      </c>
      <c r="I13" s="37">
        <f t="shared" si="2"/>
        <v>1290609</v>
      </c>
      <c r="J13" s="37">
        <f t="shared" si="2"/>
        <v>1187936</v>
      </c>
      <c r="K13" s="37">
        <f t="shared" si="2"/>
        <v>1364731.6040000001</v>
      </c>
      <c r="L13" s="36">
        <f>J13/I13-1</f>
        <v>-7.9553916019491577E-2</v>
      </c>
      <c r="M13" s="36">
        <f>K13/J13-1</f>
        <v>0.14882586603992132</v>
      </c>
      <c r="N13" s="41"/>
      <c r="P13" s="37">
        <f t="shared" ref="P13:AC13" si="3">SUM(P6:P11)</f>
        <v>20479.169720000002</v>
      </c>
      <c r="Q13" s="37">
        <f t="shared" si="3"/>
        <v>29604</v>
      </c>
      <c r="R13" s="37">
        <f t="shared" si="3"/>
        <v>77540.092210000003</v>
      </c>
      <c r="S13" s="37">
        <f t="shared" si="3"/>
        <v>122237</v>
      </c>
      <c r="T13" s="37">
        <f t="shared" si="3"/>
        <v>168479</v>
      </c>
      <c r="U13" s="37">
        <f t="shared" si="3"/>
        <v>232095</v>
      </c>
      <c r="V13" s="37">
        <f t="shared" si="3"/>
        <v>1038994.2876618756</v>
      </c>
      <c r="W13" s="37">
        <f t="shared" si="3"/>
        <v>1897373</v>
      </c>
      <c r="X13" s="37">
        <f t="shared" si="3"/>
        <v>1642067.39237</v>
      </c>
      <c r="Y13" s="37">
        <f t="shared" si="3"/>
        <v>1211161</v>
      </c>
      <c r="Z13" s="37">
        <f t="shared" si="3"/>
        <v>1192038</v>
      </c>
      <c r="AA13" s="37">
        <f t="shared" si="3"/>
        <v>1290609</v>
      </c>
      <c r="AB13" s="37">
        <f t="shared" si="3"/>
        <v>1255490</v>
      </c>
      <c r="AC13" s="37">
        <f t="shared" si="3"/>
        <v>1168756</v>
      </c>
      <c r="AD13" s="37">
        <f t="shared" ref="AD13:AJ13" si="4">SUM(AD6:AD12)</f>
        <v>1228790</v>
      </c>
      <c r="AE13" s="37">
        <f t="shared" si="4"/>
        <v>1187936</v>
      </c>
      <c r="AF13" s="37">
        <f t="shared" si="4"/>
        <v>1892459</v>
      </c>
      <c r="AG13" s="37">
        <f t="shared" si="4"/>
        <v>1789139.817</v>
      </c>
      <c r="AH13" s="37">
        <f t="shared" si="4"/>
        <v>1792371.8009999997</v>
      </c>
      <c r="AI13" s="37">
        <f t="shared" si="4"/>
        <v>1364731.6040000001</v>
      </c>
      <c r="AJ13" s="37">
        <f t="shared" si="4"/>
        <v>1391548.416</v>
      </c>
      <c r="AK13" s="36">
        <f>AJ13/AF13-1</f>
        <v>-0.26468768094843798</v>
      </c>
      <c r="AL13" s="36">
        <f>AJ13/AI13-1</f>
        <v>1.9649879816222127E-2</v>
      </c>
      <c r="AS13" s="95"/>
    </row>
    <row r="14" spans="1:46" s="39" customFormat="1" ht="18" x14ac:dyDescent="0.25">
      <c r="A14" s="81"/>
      <c r="N14" s="41"/>
      <c r="AS14" s="95"/>
      <c r="AT14" s="113"/>
    </row>
    <row r="15" spans="1:46" s="39" customFormat="1" ht="18" x14ac:dyDescent="0.25">
      <c r="A15" s="81"/>
      <c r="B15" s="7" t="s">
        <v>19</v>
      </c>
      <c r="C15" s="7" t="s">
        <v>190</v>
      </c>
      <c r="E15" s="35">
        <v>0</v>
      </c>
      <c r="F15" s="35">
        <v>0</v>
      </c>
      <c r="G15" s="35">
        <v>318</v>
      </c>
      <c r="H15" s="35">
        <v>0</v>
      </c>
      <c r="I15" s="35">
        <v>0</v>
      </c>
      <c r="J15" s="35">
        <v>0</v>
      </c>
      <c r="K15" s="35">
        <f t="shared" ref="K15:K20" si="5">AI15</f>
        <v>0</v>
      </c>
      <c r="L15" s="9"/>
      <c r="M15" s="10"/>
      <c r="N15" s="41"/>
      <c r="P15" s="35">
        <v>300</v>
      </c>
      <c r="Q15" s="35">
        <v>316</v>
      </c>
      <c r="R15" s="35">
        <v>342</v>
      </c>
      <c r="S15" s="35">
        <v>318</v>
      </c>
      <c r="T15" s="35">
        <v>295</v>
      </c>
      <c r="U15" s="35">
        <v>272</v>
      </c>
      <c r="V15" s="35">
        <v>248</v>
      </c>
      <c r="W15" s="35">
        <f t="shared" ref="W15:W20" si="6">H15</f>
        <v>0</v>
      </c>
      <c r="X15" s="35">
        <v>202</v>
      </c>
      <c r="Y15" s="35">
        <v>10531</v>
      </c>
      <c r="Z15" s="35">
        <v>18593</v>
      </c>
      <c r="AA15" s="35">
        <v>0</v>
      </c>
      <c r="AB15" s="35">
        <v>0</v>
      </c>
      <c r="AC15" s="35">
        <v>0</v>
      </c>
      <c r="AD15" s="35">
        <v>0</v>
      </c>
      <c r="AE15" s="35">
        <v>0</v>
      </c>
      <c r="AF15" s="35">
        <v>0</v>
      </c>
      <c r="AG15" s="35">
        <v>0</v>
      </c>
      <c r="AH15" s="35">
        <v>0</v>
      </c>
      <c r="AI15" s="35">
        <v>0</v>
      </c>
      <c r="AJ15" s="35">
        <v>0</v>
      </c>
      <c r="AK15" s="35"/>
      <c r="AL15" s="10"/>
    </row>
    <row r="16" spans="1:46" s="39" customFormat="1" ht="18" x14ac:dyDescent="0.25">
      <c r="A16" s="81"/>
      <c r="B16" s="7" t="s">
        <v>359</v>
      </c>
      <c r="C16" s="7" t="s">
        <v>360</v>
      </c>
      <c r="E16" s="35"/>
      <c r="F16" s="35"/>
      <c r="G16" s="35"/>
      <c r="H16" s="35"/>
      <c r="I16" s="35"/>
      <c r="J16" s="35">
        <v>1855</v>
      </c>
      <c r="K16" s="35">
        <f t="shared" si="5"/>
        <v>1534.588</v>
      </c>
      <c r="L16" s="9"/>
      <c r="M16" s="10"/>
      <c r="N16" s="41"/>
      <c r="P16" s="35"/>
      <c r="Q16" s="35"/>
      <c r="R16" s="35"/>
      <c r="S16" s="35"/>
      <c r="T16" s="35"/>
      <c r="U16" s="35"/>
      <c r="V16" s="35"/>
      <c r="W16" s="35"/>
      <c r="X16" s="35">
        <v>0</v>
      </c>
      <c r="Y16" s="35">
        <v>0</v>
      </c>
      <c r="Z16" s="35">
        <v>0</v>
      </c>
      <c r="AA16" s="35">
        <v>0</v>
      </c>
      <c r="AB16" s="35">
        <v>1635</v>
      </c>
      <c r="AC16" s="35">
        <v>1638</v>
      </c>
      <c r="AD16" s="35">
        <v>1556</v>
      </c>
      <c r="AE16" s="35">
        <v>1855</v>
      </c>
      <c r="AF16" s="35">
        <v>1960</v>
      </c>
      <c r="AG16" s="35">
        <v>2184</v>
      </c>
      <c r="AH16" s="35">
        <v>2199.422</v>
      </c>
      <c r="AI16" s="35">
        <v>1534.588</v>
      </c>
      <c r="AJ16" s="35">
        <v>1886.2950000000001</v>
      </c>
      <c r="AK16" s="35"/>
      <c r="AL16" s="10"/>
    </row>
    <row r="17" spans="1:38" s="39" customFormat="1" ht="18" x14ac:dyDescent="0.25">
      <c r="A17" s="81"/>
      <c r="B17" s="7" t="s">
        <v>20</v>
      </c>
      <c r="C17" s="7" t="s">
        <v>191</v>
      </c>
      <c r="E17" s="35">
        <v>203</v>
      </c>
      <c r="F17" s="35">
        <v>229</v>
      </c>
      <c r="G17" s="35">
        <v>715</v>
      </c>
      <c r="H17" s="35">
        <v>839</v>
      </c>
      <c r="I17" s="35">
        <v>2104</v>
      </c>
      <c r="J17" s="35">
        <v>28040</v>
      </c>
      <c r="K17" s="35">
        <f t="shared" si="5"/>
        <v>40803.47911</v>
      </c>
      <c r="L17" s="40"/>
      <c r="M17" s="10"/>
      <c r="N17" s="41"/>
      <c r="P17" s="35">
        <v>333</v>
      </c>
      <c r="Q17" s="35">
        <v>191</v>
      </c>
      <c r="R17" s="35">
        <v>663</v>
      </c>
      <c r="S17" s="35">
        <v>715</v>
      </c>
      <c r="T17" s="35">
        <v>488</v>
      </c>
      <c r="U17" s="35">
        <v>570</v>
      </c>
      <c r="V17" s="35">
        <v>410</v>
      </c>
      <c r="W17" s="35">
        <f t="shared" si="6"/>
        <v>839</v>
      </c>
      <c r="X17" s="35">
        <v>1145</v>
      </c>
      <c r="Y17" s="35">
        <v>1138</v>
      </c>
      <c r="Z17" s="35">
        <v>2059</v>
      </c>
      <c r="AA17" s="35">
        <v>2104</v>
      </c>
      <c r="AB17" s="35">
        <v>2637</v>
      </c>
      <c r="AC17" s="35">
        <v>3134</v>
      </c>
      <c r="AD17" s="35">
        <v>13288</v>
      </c>
      <c r="AE17" s="35">
        <v>28040</v>
      </c>
      <c r="AF17" s="35">
        <v>30153</v>
      </c>
      <c r="AG17" s="35">
        <v>38234.663</v>
      </c>
      <c r="AH17" s="35">
        <v>42745.030000000006</v>
      </c>
      <c r="AI17" s="35">
        <v>40803.47911</v>
      </c>
      <c r="AJ17" s="35">
        <v>36451.199999999997</v>
      </c>
      <c r="AK17" s="35"/>
      <c r="AL17" s="10"/>
    </row>
    <row r="18" spans="1:38" s="39" customFormat="1" ht="18" x14ac:dyDescent="0.25">
      <c r="A18" s="81"/>
      <c r="B18" s="7" t="s">
        <v>22</v>
      </c>
      <c r="C18" s="7" t="s">
        <v>193</v>
      </c>
      <c r="E18" s="35">
        <v>64345</v>
      </c>
      <c r="F18" s="35">
        <v>98431</v>
      </c>
      <c r="G18" s="35">
        <v>306305</v>
      </c>
      <c r="H18" s="35">
        <v>1251287</v>
      </c>
      <c r="I18" s="35">
        <v>2313223</v>
      </c>
      <c r="J18" s="35">
        <v>2639478</v>
      </c>
      <c r="K18" s="35">
        <f t="shared" si="5"/>
        <v>3011348.7573700007</v>
      </c>
      <c r="L18" s="40"/>
      <c r="M18" s="10"/>
      <c r="N18" s="41"/>
      <c r="P18" s="35">
        <v>122397</v>
      </c>
      <c r="Q18" s="35">
        <v>151463</v>
      </c>
      <c r="R18" s="35">
        <v>238215</v>
      </c>
      <c r="S18" s="35">
        <v>306305</v>
      </c>
      <c r="T18" s="35">
        <v>429219</v>
      </c>
      <c r="U18" s="35">
        <v>613945</v>
      </c>
      <c r="V18" s="35">
        <v>902750</v>
      </c>
      <c r="W18" s="35">
        <f t="shared" si="6"/>
        <v>1251287</v>
      </c>
      <c r="X18" s="35">
        <v>1437500</v>
      </c>
      <c r="Y18" s="35">
        <v>1632763</v>
      </c>
      <c r="Z18" s="35">
        <v>2132161</v>
      </c>
      <c r="AA18" s="35">
        <v>2313223</v>
      </c>
      <c r="AB18" s="35">
        <v>2373128</v>
      </c>
      <c r="AC18" s="35">
        <v>2453478</v>
      </c>
      <c r="AD18" s="35">
        <v>2588697</v>
      </c>
      <c r="AE18" s="35">
        <v>2639478</v>
      </c>
      <c r="AF18" s="35">
        <v>2673707</v>
      </c>
      <c r="AG18" s="35">
        <v>2948959.4180000001</v>
      </c>
      <c r="AH18" s="35">
        <v>3050996.4610000001</v>
      </c>
      <c r="AI18" s="35">
        <v>3011348.7573700007</v>
      </c>
      <c r="AJ18" s="35">
        <v>2931651.1478900001</v>
      </c>
      <c r="AK18" s="35"/>
      <c r="AL18" s="10"/>
    </row>
    <row r="19" spans="1:38" s="39" customFormat="1" ht="18" x14ac:dyDescent="0.25">
      <c r="A19" s="81"/>
      <c r="B19" s="7" t="s">
        <v>23</v>
      </c>
      <c r="C19" s="7" t="s">
        <v>194</v>
      </c>
      <c r="E19" s="35">
        <v>110</v>
      </c>
      <c r="F19" s="35">
        <v>79</v>
      </c>
      <c r="G19" s="35">
        <v>453</v>
      </c>
      <c r="H19" s="35">
        <v>131988</v>
      </c>
      <c r="I19" s="35">
        <v>125039</v>
      </c>
      <c r="J19" s="35">
        <v>125418</v>
      </c>
      <c r="K19" s="35">
        <f t="shared" si="5"/>
        <v>201068.09357</v>
      </c>
      <c r="L19" s="40"/>
      <c r="M19" s="10"/>
      <c r="N19" s="41"/>
      <c r="P19" s="35">
        <v>90</v>
      </c>
      <c r="Q19" s="35">
        <v>75</v>
      </c>
      <c r="R19" s="35">
        <v>235</v>
      </c>
      <c r="S19" s="35">
        <v>453</v>
      </c>
      <c r="T19" s="35">
        <v>520</v>
      </c>
      <c r="U19" s="35">
        <v>608</v>
      </c>
      <c r="V19" s="35">
        <v>16580</v>
      </c>
      <c r="W19" s="35">
        <f t="shared" si="6"/>
        <v>131988</v>
      </c>
      <c r="X19" s="35">
        <v>126672</v>
      </c>
      <c r="Y19" s="35">
        <v>125134</v>
      </c>
      <c r="Z19" s="35">
        <v>123927</v>
      </c>
      <c r="AA19" s="35">
        <v>125039</v>
      </c>
      <c r="AB19" s="35">
        <v>127661</v>
      </c>
      <c r="AC19" s="35">
        <v>130746</v>
      </c>
      <c r="AD19" s="35">
        <v>132126</v>
      </c>
      <c r="AE19" s="35">
        <v>125418</v>
      </c>
      <c r="AF19" s="35">
        <v>122072</v>
      </c>
      <c r="AG19" s="35">
        <v>119989</v>
      </c>
      <c r="AH19" s="35">
        <v>206182.245</v>
      </c>
      <c r="AI19" s="35">
        <v>201068.09357</v>
      </c>
      <c r="AJ19" s="35">
        <v>195716.12907</v>
      </c>
      <c r="AK19" s="35"/>
      <c r="AL19" s="10"/>
    </row>
    <row r="20" spans="1:38" s="39" customFormat="1" ht="18" x14ac:dyDescent="0.25">
      <c r="A20" s="81"/>
      <c r="B20" s="11" t="s">
        <v>409</v>
      </c>
      <c r="C20" s="11" t="s">
        <v>410</v>
      </c>
      <c r="D20" s="42"/>
      <c r="E20" s="43">
        <v>0</v>
      </c>
      <c r="F20" s="43">
        <v>0</v>
      </c>
      <c r="G20" s="43">
        <v>0</v>
      </c>
      <c r="H20" s="43">
        <v>0</v>
      </c>
      <c r="I20" s="43">
        <v>0</v>
      </c>
      <c r="J20" s="43">
        <v>0</v>
      </c>
      <c r="K20" s="43">
        <f t="shared" si="5"/>
        <v>17866</v>
      </c>
      <c r="L20" s="44"/>
      <c r="M20" s="45"/>
      <c r="N20" s="41"/>
      <c r="P20" s="43"/>
      <c r="Q20" s="43"/>
      <c r="R20" s="43"/>
      <c r="S20" s="43"/>
      <c r="T20" s="43"/>
      <c r="U20" s="43"/>
      <c r="V20" s="43"/>
      <c r="W20" s="43">
        <f t="shared" si="6"/>
        <v>0</v>
      </c>
      <c r="X20" s="43"/>
      <c r="Y20" s="43"/>
      <c r="Z20" s="43"/>
      <c r="AA20" s="43"/>
      <c r="AB20" s="43"/>
      <c r="AC20" s="43"/>
      <c r="AD20" s="43">
        <v>0</v>
      </c>
      <c r="AE20" s="43">
        <v>0</v>
      </c>
      <c r="AF20" s="43">
        <v>0</v>
      </c>
      <c r="AG20" s="43">
        <v>0</v>
      </c>
      <c r="AH20" s="43">
        <v>8116</v>
      </c>
      <c r="AI20" s="43">
        <v>17866</v>
      </c>
      <c r="AJ20" s="43">
        <v>18463</v>
      </c>
      <c r="AK20" s="43"/>
      <c r="AL20" s="45"/>
    </row>
    <row r="21" spans="1:38" s="39" customFormat="1" ht="18" x14ac:dyDescent="0.25">
      <c r="A21" s="81"/>
      <c r="B21" s="5" t="s">
        <v>24</v>
      </c>
      <c r="C21" s="5" t="s">
        <v>195</v>
      </c>
      <c r="D21" s="46"/>
      <c r="E21" s="37">
        <f>SUM(E15:E20)</f>
        <v>64658</v>
      </c>
      <c r="F21" s="37">
        <f t="shared" ref="F21:K21" si="7">SUM(F15:F20)</f>
        <v>98739</v>
      </c>
      <c r="G21" s="37">
        <f t="shared" si="7"/>
        <v>307791</v>
      </c>
      <c r="H21" s="37">
        <f t="shared" si="7"/>
        <v>1384114</v>
      </c>
      <c r="I21" s="37">
        <f t="shared" si="7"/>
        <v>2440366</v>
      </c>
      <c r="J21" s="37">
        <f t="shared" si="7"/>
        <v>2794791</v>
      </c>
      <c r="K21" s="37">
        <f t="shared" si="7"/>
        <v>3272620.9180500009</v>
      </c>
      <c r="L21" s="36">
        <f>J21/I21-1</f>
        <v>0.14523436238662568</v>
      </c>
      <c r="M21" s="36">
        <f>K21/J21-1</f>
        <v>0.1709716104173804</v>
      </c>
      <c r="N21" s="41"/>
      <c r="P21" s="37">
        <f t="shared" ref="P21" si="8">SUM(P15:P20)</f>
        <v>123120</v>
      </c>
      <c r="Q21" s="37">
        <f t="shared" ref="Q21" si="9">SUM(Q15:Q20)</f>
        <v>152045</v>
      </c>
      <c r="R21" s="37">
        <f t="shared" ref="R21" si="10">SUM(R15:R20)</f>
        <v>239455</v>
      </c>
      <c r="S21" s="37">
        <f t="shared" ref="S21" si="11">SUM(S15:S20)</f>
        <v>307791</v>
      </c>
      <c r="T21" s="37">
        <f t="shared" ref="T21" si="12">SUM(T15:T20)</f>
        <v>430522</v>
      </c>
      <c r="U21" s="37">
        <f t="shared" ref="U21" si="13">SUM(U15:U20)</f>
        <v>615395</v>
      </c>
      <c r="V21" s="37">
        <f t="shared" ref="V21" si="14">SUM(V15:V20)</f>
        <v>919988</v>
      </c>
      <c r="W21" s="37">
        <f t="shared" ref="W21" si="15">SUM(W15:W20)</f>
        <v>1384114</v>
      </c>
      <c r="X21" s="37">
        <f t="shared" ref="X21" si="16">SUM(X15:X20)</f>
        <v>1565519</v>
      </c>
      <c r="Y21" s="37">
        <f t="shared" ref="Y21" si="17">SUM(Y15:Y20)</f>
        <v>1769566</v>
      </c>
      <c r="Z21" s="37">
        <f t="shared" ref="Z21" si="18">SUM(Z15:Z20)</f>
        <v>2276740</v>
      </c>
      <c r="AA21" s="37">
        <f t="shared" ref="AA21" si="19">SUM(AA15:AA20)</f>
        <v>2440366</v>
      </c>
      <c r="AB21" s="37">
        <f t="shared" ref="AB21" si="20">SUM(AB15:AB20)</f>
        <v>2505061</v>
      </c>
      <c r="AC21" s="37">
        <f t="shared" ref="AC21" si="21">SUM(AC15:AC20)</f>
        <v>2588996</v>
      </c>
      <c r="AD21" s="37">
        <f t="shared" ref="AD21" si="22">SUM(AD15:AD20)</f>
        <v>2735667</v>
      </c>
      <c r="AE21" s="37">
        <f t="shared" ref="AE21" si="23">SUM(AE15:AE20)</f>
        <v>2794791</v>
      </c>
      <c r="AF21" s="37">
        <f t="shared" ref="AF21" si="24">SUM(AF15:AF20)</f>
        <v>2827892</v>
      </c>
      <c r="AG21" s="37">
        <f t="shared" ref="AG21" si="25">SUM(AG15:AG20)</f>
        <v>3109367.0810000002</v>
      </c>
      <c r="AH21" s="37">
        <f t="shared" ref="AH21:AI21" si="26">SUM(AH15:AH20)</f>
        <v>3310239.1580000003</v>
      </c>
      <c r="AI21" s="37">
        <f t="shared" si="26"/>
        <v>3272620.9180500009</v>
      </c>
      <c r="AJ21" s="37">
        <f t="shared" ref="AJ21" si="27">SUM(AJ15:AJ20)</f>
        <v>3184167.77196</v>
      </c>
      <c r="AK21" s="36">
        <f>AJ21/AF21-1</f>
        <v>0.12598634317010693</v>
      </c>
      <c r="AL21" s="36">
        <f>AJ21/AI21-1</f>
        <v>-2.702822853760467E-2</v>
      </c>
    </row>
    <row r="22" spans="1:38" s="39" customFormat="1" ht="18" x14ac:dyDescent="0.25">
      <c r="A22" s="81"/>
      <c r="N22" s="41"/>
      <c r="S22" s="39" t="s">
        <v>85</v>
      </c>
    </row>
    <row r="23" spans="1:38" s="39" customFormat="1" ht="18" x14ac:dyDescent="0.25">
      <c r="A23" s="81"/>
      <c r="B23" s="8" t="s">
        <v>25</v>
      </c>
      <c r="C23" s="8" t="s">
        <v>196</v>
      </c>
      <c r="D23" s="47"/>
      <c r="E23" s="27">
        <f t="shared" ref="E23:K23" si="28">E21+E13</f>
        <v>75321</v>
      </c>
      <c r="F23" s="27">
        <f t="shared" si="28"/>
        <v>116378</v>
      </c>
      <c r="G23" s="27">
        <f t="shared" si="28"/>
        <v>430028</v>
      </c>
      <c r="H23" s="27">
        <f t="shared" si="28"/>
        <v>3281487</v>
      </c>
      <c r="I23" s="27">
        <f t="shared" si="28"/>
        <v>3730975</v>
      </c>
      <c r="J23" s="27">
        <f t="shared" si="28"/>
        <v>3982727</v>
      </c>
      <c r="K23" s="27">
        <f t="shared" si="28"/>
        <v>4637352.5220500007</v>
      </c>
      <c r="L23" s="28">
        <f>J23/I23-1</f>
        <v>6.7476195900535441E-2</v>
      </c>
      <c r="M23" s="28">
        <f>K23/J23-1</f>
        <v>0.16436615465986004</v>
      </c>
      <c r="N23" s="41"/>
      <c r="P23" s="27">
        <f t="shared" ref="P23:X23" si="29">P21+P13</f>
        <v>143599.16972000001</v>
      </c>
      <c r="Q23" s="27">
        <f t="shared" si="29"/>
        <v>181649</v>
      </c>
      <c r="R23" s="27">
        <f t="shared" si="29"/>
        <v>316995.09221000003</v>
      </c>
      <c r="S23" s="27">
        <f t="shared" si="29"/>
        <v>430028</v>
      </c>
      <c r="T23" s="27">
        <f t="shared" si="29"/>
        <v>599001</v>
      </c>
      <c r="U23" s="27">
        <f t="shared" si="29"/>
        <v>847490</v>
      </c>
      <c r="V23" s="27">
        <f t="shared" si="29"/>
        <v>1958982.2876618756</v>
      </c>
      <c r="W23" s="27">
        <f t="shared" si="29"/>
        <v>3281487</v>
      </c>
      <c r="X23" s="27">
        <f t="shared" si="29"/>
        <v>3207586.39237</v>
      </c>
      <c r="Y23" s="27">
        <v>2980727</v>
      </c>
      <c r="Z23" s="27">
        <f t="shared" ref="Z23:AI23" si="30">Z21+Z13</f>
        <v>3468778</v>
      </c>
      <c r="AA23" s="27">
        <f t="shared" si="30"/>
        <v>3730975</v>
      </c>
      <c r="AB23" s="27">
        <f t="shared" si="30"/>
        <v>3760551</v>
      </c>
      <c r="AC23" s="27">
        <f t="shared" si="30"/>
        <v>3757752</v>
      </c>
      <c r="AD23" s="27">
        <f t="shared" si="30"/>
        <v>3964457</v>
      </c>
      <c r="AE23" s="27">
        <f t="shared" si="30"/>
        <v>3982727</v>
      </c>
      <c r="AF23" s="27">
        <f t="shared" si="30"/>
        <v>4720351</v>
      </c>
      <c r="AG23" s="27">
        <f t="shared" si="30"/>
        <v>4898506.898</v>
      </c>
      <c r="AH23" s="27">
        <f t="shared" si="30"/>
        <v>5102610.9589999998</v>
      </c>
      <c r="AI23" s="27">
        <f t="shared" si="30"/>
        <v>4637352.5220500007</v>
      </c>
      <c r="AJ23" s="27">
        <f t="shared" ref="AJ23" si="31">AJ21+AJ13</f>
        <v>4575716.1879599998</v>
      </c>
      <c r="AK23" s="28">
        <f>AJ23/AF23-1</f>
        <v>-3.0640690075801613E-2</v>
      </c>
      <c r="AL23" s="28">
        <f>AJ23/AI23-1</f>
        <v>-1.329127639033878E-2</v>
      </c>
    </row>
    <row r="24" spans="1:38" s="39" customFormat="1" ht="18" x14ac:dyDescent="0.25">
      <c r="A24" s="81"/>
      <c r="N24" s="41"/>
    </row>
    <row r="25" spans="1:38" s="39" customFormat="1" ht="18" x14ac:dyDescent="0.25">
      <c r="A25" s="81"/>
      <c r="B25" s="7" t="s">
        <v>26</v>
      </c>
      <c r="C25" s="7" t="s">
        <v>197</v>
      </c>
      <c r="E25" s="35">
        <v>2138</v>
      </c>
      <c r="F25" s="35">
        <v>6729</v>
      </c>
      <c r="G25" s="35">
        <v>12781</v>
      </c>
      <c r="H25" s="35">
        <v>49583</v>
      </c>
      <c r="I25" s="35">
        <v>116768</v>
      </c>
      <c r="J25" s="35">
        <v>36175.975144991418</v>
      </c>
      <c r="K25" s="35">
        <f t="shared" ref="K25:K36" si="32">AI25</f>
        <v>36090.789075037261</v>
      </c>
      <c r="L25" s="40"/>
      <c r="M25" s="10"/>
      <c r="N25" s="41"/>
      <c r="P25" s="35">
        <v>5344</v>
      </c>
      <c r="Q25" s="35">
        <v>15905</v>
      </c>
      <c r="R25" s="35">
        <v>15353</v>
      </c>
      <c r="S25" s="35">
        <v>12781</v>
      </c>
      <c r="T25" s="35">
        <v>10947</v>
      </c>
      <c r="U25" s="35">
        <v>29156</v>
      </c>
      <c r="V25" s="35">
        <v>61535</v>
      </c>
      <c r="W25" s="35">
        <f t="shared" ref="W25:W36" si="33">H25</f>
        <v>49583</v>
      </c>
      <c r="X25" s="35">
        <v>107902</v>
      </c>
      <c r="Y25" s="35">
        <v>95080</v>
      </c>
      <c r="Z25" s="35">
        <v>284313</v>
      </c>
      <c r="AA25" s="35">
        <v>116768</v>
      </c>
      <c r="AB25" s="35">
        <v>83735</v>
      </c>
      <c r="AC25" s="35">
        <v>48670.691239999986</v>
      </c>
      <c r="AD25" s="35">
        <v>59840.2686829546</v>
      </c>
      <c r="AE25" s="35">
        <v>36175.975144991418</v>
      </c>
      <c r="AF25" s="35">
        <v>34891</v>
      </c>
      <c r="AG25" s="35">
        <v>53751.479353010647</v>
      </c>
      <c r="AH25" s="35">
        <v>50045.292167928797</v>
      </c>
      <c r="AI25" s="35">
        <v>36090.789075037261</v>
      </c>
      <c r="AJ25" s="35">
        <v>92691</v>
      </c>
      <c r="AK25" s="35"/>
      <c r="AL25" s="10"/>
    </row>
    <row r="26" spans="1:38" s="39" customFormat="1" ht="18" x14ac:dyDescent="0.25">
      <c r="A26" s="81"/>
      <c r="B26" s="7" t="s">
        <v>320</v>
      </c>
      <c r="C26" s="7" t="s">
        <v>326</v>
      </c>
      <c r="E26" s="35">
        <v>0</v>
      </c>
      <c r="F26" s="35">
        <v>0</v>
      </c>
      <c r="G26" s="35">
        <v>0</v>
      </c>
      <c r="H26" s="35">
        <v>0</v>
      </c>
      <c r="I26" s="35">
        <v>167472</v>
      </c>
      <c r="J26" s="35">
        <v>360128.02485500858</v>
      </c>
      <c r="K26" s="35">
        <f t="shared" si="32"/>
        <v>398261.21222776273</v>
      </c>
      <c r="L26" s="40"/>
      <c r="M26" s="10"/>
      <c r="N26" s="41"/>
      <c r="P26" s="35">
        <v>0</v>
      </c>
      <c r="Q26" s="35">
        <v>0</v>
      </c>
      <c r="R26" s="35">
        <v>0</v>
      </c>
      <c r="S26" s="35">
        <v>0</v>
      </c>
      <c r="T26" s="35">
        <v>0</v>
      </c>
      <c r="U26" s="35">
        <v>0</v>
      </c>
      <c r="V26" s="35">
        <v>0</v>
      </c>
      <c r="W26" s="35">
        <v>0</v>
      </c>
      <c r="X26" s="35">
        <v>0</v>
      </c>
      <c r="Y26" s="35">
        <v>0</v>
      </c>
      <c r="Z26" s="35">
        <v>0</v>
      </c>
      <c r="AA26" s="35">
        <v>167472</v>
      </c>
      <c r="AB26" s="35">
        <v>155376</v>
      </c>
      <c r="AC26" s="35">
        <v>210871.30876000001</v>
      </c>
      <c r="AD26" s="35">
        <v>253457.73131704499</v>
      </c>
      <c r="AE26" s="35">
        <v>360128.02485500858</v>
      </c>
      <c r="AF26" s="35">
        <v>256415</v>
      </c>
      <c r="AG26" s="35">
        <v>408885.40564698935</v>
      </c>
      <c r="AH26" s="35">
        <v>421302.07983207121</v>
      </c>
      <c r="AI26" s="35">
        <v>398261.21222776273</v>
      </c>
      <c r="AJ26" s="35">
        <v>271398</v>
      </c>
      <c r="AK26" s="35"/>
      <c r="AL26" s="10"/>
    </row>
    <row r="27" spans="1:38" s="39" customFormat="1" ht="18" x14ac:dyDescent="0.25">
      <c r="A27" s="81"/>
      <c r="B27" s="7" t="s">
        <v>27</v>
      </c>
      <c r="C27" s="7" t="s">
        <v>198</v>
      </c>
      <c r="E27" s="35">
        <v>15247</v>
      </c>
      <c r="F27" s="35">
        <v>27070</v>
      </c>
      <c r="G27" s="35">
        <v>64963</v>
      </c>
      <c r="H27" s="35">
        <v>163742</v>
      </c>
      <c r="I27" s="35">
        <v>56580</v>
      </c>
      <c r="J27" s="35">
        <v>261370</v>
      </c>
      <c r="K27" s="35">
        <f t="shared" si="32"/>
        <v>73555.362999999998</v>
      </c>
      <c r="L27" s="40"/>
      <c r="M27" s="10"/>
      <c r="N27" s="41"/>
      <c r="P27" s="35">
        <v>27221</v>
      </c>
      <c r="Q27" s="35">
        <v>27029</v>
      </c>
      <c r="R27" s="35">
        <v>41489</v>
      </c>
      <c r="S27" s="35">
        <v>64963</v>
      </c>
      <c r="T27" s="35">
        <v>78358</v>
      </c>
      <c r="U27" s="35">
        <v>83984</v>
      </c>
      <c r="V27" s="35">
        <v>124893</v>
      </c>
      <c r="W27" s="35">
        <f t="shared" si="33"/>
        <v>163742</v>
      </c>
      <c r="X27" s="35">
        <v>190376</v>
      </c>
      <c r="Y27" s="35">
        <v>124856</v>
      </c>
      <c r="Z27" s="35">
        <v>95102</v>
      </c>
      <c r="AA27" s="35">
        <v>56580</v>
      </c>
      <c r="AB27" s="35">
        <v>126671</v>
      </c>
      <c r="AC27" s="35">
        <v>64454</v>
      </c>
      <c r="AD27" s="35">
        <v>126640</v>
      </c>
      <c r="AE27" s="35">
        <v>261370</v>
      </c>
      <c r="AF27" s="35">
        <v>366950</v>
      </c>
      <c r="AG27" s="35">
        <v>343902</v>
      </c>
      <c r="AH27" s="35">
        <v>379004.86200000002</v>
      </c>
      <c r="AI27" s="35">
        <v>73555.362999999998</v>
      </c>
      <c r="AJ27" s="35">
        <v>50478.559000000001</v>
      </c>
      <c r="AK27" s="35"/>
      <c r="AL27" s="10"/>
    </row>
    <row r="28" spans="1:38" s="39" customFormat="1" ht="18" x14ac:dyDescent="0.25">
      <c r="A28" s="81"/>
      <c r="B28" s="7" t="s">
        <v>28</v>
      </c>
      <c r="C28" s="7" t="s">
        <v>199</v>
      </c>
      <c r="E28" s="35">
        <v>0</v>
      </c>
      <c r="F28" s="35">
        <v>0</v>
      </c>
      <c r="G28" s="35">
        <v>1156</v>
      </c>
      <c r="H28" s="35">
        <v>6882</v>
      </c>
      <c r="I28" s="35">
        <v>5138</v>
      </c>
      <c r="J28" s="35">
        <v>8505</v>
      </c>
      <c r="K28" s="35">
        <f t="shared" si="32"/>
        <v>8237.5419999999995</v>
      </c>
      <c r="L28" s="9"/>
      <c r="M28" s="10"/>
      <c r="N28" s="41"/>
      <c r="P28" s="35">
        <v>270</v>
      </c>
      <c r="Q28" s="35">
        <v>1323</v>
      </c>
      <c r="R28" s="35">
        <v>2366</v>
      </c>
      <c r="S28" s="35">
        <v>1156</v>
      </c>
      <c r="T28" s="35">
        <v>1203</v>
      </c>
      <c r="U28" s="35">
        <v>1303</v>
      </c>
      <c r="V28" s="35">
        <v>1612</v>
      </c>
      <c r="W28" s="35">
        <f t="shared" si="33"/>
        <v>6882</v>
      </c>
      <c r="X28" s="35">
        <v>7440</v>
      </c>
      <c r="Y28" s="35">
        <v>9611</v>
      </c>
      <c r="Z28" s="35">
        <v>4625</v>
      </c>
      <c r="AA28" s="35">
        <v>5138</v>
      </c>
      <c r="AB28" s="35">
        <v>4979</v>
      </c>
      <c r="AC28" s="35">
        <v>5105</v>
      </c>
      <c r="AD28" s="35">
        <v>7584</v>
      </c>
      <c r="AE28" s="35">
        <v>8505</v>
      </c>
      <c r="AF28" s="35">
        <v>6993</v>
      </c>
      <c r="AG28" s="35">
        <v>8451</v>
      </c>
      <c r="AH28" s="35">
        <v>9013.2010000000009</v>
      </c>
      <c r="AI28" s="35">
        <v>8237.5419999999995</v>
      </c>
      <c r="AJ28" s="35">
        <v>9621</v>
      </c>
      <c r="AK28" s="35"/>
      <c r="AL28" s="10"/>
    </row>
    <row r="29" spans="1:38" s="39" customFormat="1" ht="18" x14ac:dyDescent="0.25">
      <c r="A29" s="81"/>
      <c r="B29" s="7" t="s">
        <v>29</v>
      </c>
      <c r="C29" s="7" t="s">
        <v>200</v>
      </c>
      <c r="E29" s="35">
        <v>921</v>
      </c>
      <c r="F29" s="35">
        <v>1772</v>
      </c>
      <c r="G29" s="35">
        <v>4283</v>
      </c>
      <c r="H29" s="35">
        <v>20911</v>
      </c>
      <c r="I29" s="35">
        <v>35682</v>
      </c>
      <c r="J29" s="35">
        <v>54578</v>
      </c>
      <c r="K29" s="35">
        <f t="shared" si="32"/>
        <v>64850.740000000005</v>
      </c>
      <c r="L29" s="40"/>
      <c r="M29" s="10"/>
      <c r="N29" s="41"/>
      <c r="P29" s="35">
        <v>2436</v>
      </c>
      <c r="Q29" s="35">
        <v>3898</v>
      </c>
      <c r="R29" s="35">
        <v>4669</v>
      </c>
      <c r="S29" s="35">
        <v>4283</v>
      </c>
      <c r="T29" s="35">
        <v>5612</v>
      </c>
      <c r="U29" s="35">
        <v>8000</v>
      </c>
      <c r="V29" s="35">
        <v>13823</v>
      </c>
      <c r="W29" s="35">
        <f t="shared" si="33"/>
        <v>20911</v>
      </c>
      <c r="X29" s="35">
        <v>19930</v>
      </c>
      <c r="Y29" s="35">
        <v>27965</v>
      </c>
      <c r="Z29" s="35">
        <v>33950</v>
      </c>
      <c r="AA29" s="35">
        <v>35682</v>
      </c>
      <c r="AB29" s="35">
        <v>44745</v>
      </c>
      <c r="AC29" s="35">
        <v>44316</v>
      </c>
      <c r="AD29" s="35">
        <v>58876</v>
      </c>
      <c r="AE29" s="35">
        <v>54578</v>
      </c>
      <c r="AF29" s="35">
        <v>65838</v>
      </c>
      <c r="AG29" s="35">
        <v>65181.175000000003</v>
      </c>
      <c r="AH29" s="35">
        <v>84801.50499999999</v>
      </c>
      <c r="AI29" s="35">
        <v>64850.740000000005</v>
      </c>
      <c r="AJ29" s="35">
        <v>62294.875000000007</v>
      </c>
      <c r="AK29" s="35"/>
      <c r="AL29" s="10"/>
    </row>
    <row r="30" spans="1:38" s="39" customFormat="1" ht="18" x14ac:dyDescent="0.25">
      <c r="A30" s="81"/>
      <c r="B30" s="7" t="s">
        <v>30</v>
      </c>
      <c r="C30" s="7" t="s">
        <v>201</v>
      </c>
      <c r="E30" s="35">
        <v>21</v>
      </c>
      <c r="F30" s="35">
        <v>21</v>
      </c>
      <c r="G30" s="35">
        <v>250</v>
      </c>
      <c r="H30" s="35">
        <v>5398</v>
      </c>
      <c r="I30" s="35">
        <v>5822</v>
      </c>
      <c r="J30" s="35">
        <v>9313</v>
      </c>
      <c r="K30" s="35">
        <f t="shared" si="32"/>
        <v>19277.909</v>
      </c>
      <c r="L30" s="40"/>
      <c r="M30" s="10"/>
      <c r="N30" s="41"/>
      <c r="P30" s="35">
        <v>0</v>
      </c>
      <c r="Q30" s="35">
        <v>210</v>
      </c>
      <c r="R30" s="35">
        <v>6</v>
      </c>
      <c r="S30" s="35">
        <v>250</v>
      </c>
      <c r="T30" s="35">
        <v>406</v>
      </c>
      <c r="U30" s="35">
        <v>1553</v>
      </c>
      <c r="V30" s="35">
        <v>3603</v>
      </c>
      <c r="W30" s="35">
        <f t="shared" si="33"/>
        <v>5398</v>
      </c>
      <c r="X30" s="35">
        <v>8646</v>
      </c>
      <c r="Y30" s="35">
        <v>8181</v>
      </c>
      <c r="Z30" s="35">
        <v>8228</v>
      </c>
      <c r="AA30" s="35">
        <v>5822</v>
      </c>
      <c r="AB30" s="35">
        <v>7351</v>
      </c>
      <c r="AC30" s="35">
        <v>7138</v>
      </c>
      <c r="AD30" s="35">
        <v>14994</v>
      </c>
      <c r="AE30" s="35">
        <v>9313</v>
      </c>
      <c r="AF30" s="35">
        <v>28387</v>
      </c>
      <c r="AG30" s="35">
        <v>26321</v>
      </c>
      <c r="AH30" s="35">
        <v>30863.557999999997</v>
      </c>
      <c r="AI30" s="35">
        <v>19277.909</v>
      </c>
      <c r="AJ30" s="35">
        <v>23269.75</v>
      </c>
      <c r="AK30" s="35"/>
      <c r="AL30" s="10"/>
    </row>
    <row r="31" spans="1:38" s="39" customFormat="1" ht="18" x14ac:dyDescent="0.25">
      <c r="A31" s="81"/>
      <c r="B31" s="7" t="s">
        <v>34</v>
      </c>
      <c r="C31" s="7" t="s">
        <v>202</v>
      </c>
      <c r="E31" s="35">
        <v>62</v>
      </c>
      <c r="F31" s="35">
        <v>60</v>
      </c>
      <c r="G31" s="35">
        <v>130</v>
      </c>
      <c r="H31" s="35">
        <v>383</v>
      </c>
      <c r="I31" s="35">
        <v>154</v>
      </c>
      <c r="J31" s="35">
        <v>171</v>
      </c>
      <c r="K31" s="35">
        <f t="shared" si="32"/>
        <v>2379</v>
      </c>
      <c r="L31" s="40"/>
      <c r="M31" s="10"/>
      <c r="N31" s="41"/>
      <c r="P31" s="35">
        <v>55</v>
      </c>
      <c r="Q31" s="35">
        <v>122</v>
      </c>
      <c r="R31" s="35">
        <v>110</v>
      </c>
      <c r="S31" s="35">
        <v>0</v>
      </c>
      <c r="T31" s="35">
        <v>0</v>
      </c>
      <c r="U31" s="35">
        <v>0</v>
      </c>
      <c r="V31" s="35">
        <v>132</v>
      </c>
      <c r="W31" s="35">
        <f t="shared" si="33"/>
        <v>383</v>
      </c>
      <c r="X31" s="35">
        <v>127</v>
      </c>
      <c r="Y31" s="35">
        <v>143</v>
      </c>
      <c r="Z31" s="35">
        <v>153</v>
      </c>
      <c r="AA31" s="35">
        <v>154</v>
      </c>
      <c r="AB31" s="35">
        <v>157</v>
      </c>
      <c r="AC31" s="35">
        <v>159</v>
      </c>
      <c r="AD31" s="35">
        <v>166</v>
      </c>
      <c r="AE31" s="35">
        <v>171</v>
      </c>
      <c r="AF31" s="35">
        <v>147</v>
      </c>
      <c r="AG31" s="35">
        <v>2342</v>
      </c>
      <c r="AH31" s="35">
        <v>2348</v>
      </c>
      <c r="AI31" s="35">
        <v>2379</v>
      </c>
      <c r="AJ31" s="35">
        <v>2427</v>
      </c>
      <c r="AK31" s="35"/>
      <c r="AL31" s="10"/>
    </row>
    <row r="32" spans="1:38" s="39" customFormat="1" ht="18" x14ac:dyDescent="0.25">
      <c r="A32" s="81"/>
      <c r="B32" s="7" t="s">
        <v>31</v>
      </c>
      <c r="C32" s="7" t="s">
        <v>203</v>
      </c>
      <c r="E32" s="35">
        <v>0</v>
      </c>
      <c r="F32" s="35">
        <v>500</v>
      </c>
      <c r="G32" s="35">
        <v>5500</v>
      </c>
      <c r="H32" s="35">
        <v>0</v>
      </c>
      <c r="I32" s="35">
        <v>0</v>
      </c>
      <c r="J32" s="35">
        <v>0</v>
      </c>
      <c r="K32" s="35">
        <f t="shared" si="32"/>
        <v>0</v>
      </c>
      <c r="L32" s="9"/>
      <c r="M32" s="10"/>
      <c r="N32" s="41"/>
      <c r="P32" s="35">
        <v>16</v>
      </c>
      <c r="Q32" s="35">
        <v>0</v>
      </c>
      <c r="R32" s="35">
        <v>0</v>
      </c>
      <c r="S32" s="35">
        <v>5500</v>
      </c>
      <c r="T32" s="35">
        <v>0</v>
      </c>
      <c r="U32" s="35">
        <v>20428</v>
      </c>
      <c r="V32" s="35">
        <v>0</v>
      </c>
      <c r="W32" s="35">
        <f t="shared" si="33"/>
        <v>0</v>
      </c>
      <c r="X32" s="35">
        <v>0</v>
      </c>
      <c r="Y32" s="35">
        <v>0</v>
      </c>
      <c r="Z32" s="35">
        <v>0</v>
      </c>
      <c r="AA32" s="35">
        <v>0</v>
      </c>
      <c r="AB32" s="35">
        <v>0</v>
      </c>
      <c r="AC32" s="35">
        <v>0</v>
      </c>
      <c r="AD32" s="35">
        <v>0</v>
      </c>
      <c r="AE32" s="35">
        <v>0</v>
      </c>
      <c r="AF32" s="35">
        <v>0</v>
      </c>
      <c r="AG32" s="35">
        <v>0</v>
      </c>
      <c r="AH32" s="35">
        <v>0</v>
      </c>
      <c r="AI32" s="35"/>
      <c r="AJ32" s="35"/>
      <c r="AK32" s="35"/>
      <c r="AL32" s="10"/>
    </row>
    <row r="33" spans="1:41" s="39" customFormat="1" ht="18" x14ac:dyDescent="0.25">
      <c r="A33" s="81"/>
      <c r="B33" s="7" t="s">
        <v>159</v>
      </c>
      <c r="C33" s="7" t="s">
        <v>204</v>
      </c>
      <c r="E33" s="35">
        <v>0</v>
      </c>
      <c r="F33" s="35">
        <v>0</v>
      </c>
      <c r="G33" s="35">
        <v>0</v>
      </c>
      <c r="H33" s="35">
        <v>0</v>
      </c>
      <c r="I33" s="35">
        <v>0</v>
      </c>
      <c r="J33" s="35">
        <v>0</v>
      </c>
      <c r="K33" s="35">
        <f t="shared" si="32"/>
        <v>402.97600000000011</v>
      </c>
      <c r="L33" s="9"/>
      <c r="M33" s="10"/>
      <c r="N33" s="41"/>
      <c r="P33" s="35">
        <v>0</v>
      </c>
      <c r="Q33" s="35">
        <v>0</v>
      </c>
      <c r="R33" s="35">
        <v>0</v>
      </c>
      <c r="S33" s="35">
        <v>0</v>
      </c>
      <c r="T33" s="35">
        <v>0</v>
      </c>
      <c r="U33" s="35">
        <v>0</v>
      </c>
      <c r="V33" s="35">
        <v>0</v>
      </c>
      <c r="W33" s="35">
        <v>0</v>
      </c>
      <c r="X33" s="35">
        <v>6212</v>
      </c>
      <c r="Y33" s="35">
        <v>7709</v>
      </c>
      <c r="Z33" s="35">
        <v>0</v>
      </c>
      <c r="AA33" s="35">
        <v>0</v>
      </c>
      <c r="AB33" s="35">
        <v>6227.7250000000004</v>
      </c>
      <c r="AC33" s="35">
        <v>15957</v>
      </c>
      <c r="AD33" s="35">
        <v>27914</v>
      </c>
      <c r="AE33" s="35">
        <v>0</v>
      </c>
      <c r="AF33" s="35">
        <v>12615</v>
      </c>
      <c r="AG33" s="35">
        <v>583</v>
      </c>
      <c r="AH33" s="35">
        <v>0</v>
      </c>
      <c r="AI33" s="35">
        <v>402.97600000000011</v>
      </c>
      <c r="AJ33" s="35">
        <v>3257</v>
      </c>
      <c r="AK33" s="35"/>
      <c r="AL33" s="10"/>
    </row>
    <row r="34" spans="1:41" s="39" customFormat="1" ht="18" x14ac:dyDescent="0.25">
      <c r="A34" s="81"/>
      <c r="B34" s="7" t="s">
        <v>98</v>
      </c>
      <c r="C34" s="7" t="s">
        <v>205</v>
      </c>
      <c r="E34" s="35">
        <v>0</v>
      </c>
      <c r="F34" s="35">
        <v>0</v>
      </c>
      <c r="G34" s="35">
        <v>608</v>
      </c>
      <c r="H34" s="35">
        <v>0</v>
      </c>
      <c r="I34" s="35">
        <v>0</v>
      </c>
      <c r="J34" s="35">
        <v>0</v>
      </c>
      <c r="K34" s="35">
        <f t="shared" si="32"/>
        <v>0</v>
      </c>
      <c r="L34" s="9"/>
      <c r="M34" s="10"/>
      <c r="N34" s="41"/>
      <c r="P34" s="35">
        <v>0</v>
      </c>
      <c r="Q34" s="35">
        <v>0</v>
      </c>
      <c r="R34" s="35">
        <v>217</v>
      </c>
      <c r="S34" s="35">
        <v>0</v>
      </c>
      <c r="T34" s="35">
        <v>0</v>
      </c>
      <c r="U34" s="35">
        <v>0</v>
      </c>
      <c r="V34" s="35">
        <v>0</v>
      </c>
      <c r="W34" s="35">
        <f t="shared" si="33"/>
        <v>0</v>
      </c>
      <c r="X34" s="35">
        <v>0</v>
      </c>
      <c r="Y34" s="35">
        <v>0</v>
      </c>
      <c r="Z34" s="35">
        <v>0</v>
      </c>
      <c r="AA34" s="35">
        <v>0</v>
      </c>
      <c r="AB34" s="35">
        <v>0</v>
      </c>
      <c r="AC34" s="35">
        <v>0</v>
      </c>
      <c r="AD34" s="35">
        <v>0</v>
      </c>
      <c r="AE34" s="35">
        <v>0</v>
      </c>
      <c r="AF34" s="35">
        <v>0</v>
      </c>
      <c r="AG34" s="35">
        <v>0</v>
      </c>
      <c r="AH34" s="35">
        <v>0</v>
      </c>
      <c r="AI34" s="35">
        <v>0</v>
      </c>
      <c r="AJ34" s="35"/>
      <c r="AK34" s="35"/>
      <c r="AL34" s="10"/>
    </row>
    <row r="35" spans="1:41" s="39" customFormat="1" ht="18" x14ac:dyDescent="0.25">
      <c r="A35" s="81"/>
      <c r="B35" s="7" t="s">
        <v>144</v>
      </c>
      <c r="C35" s="7" t="s">
        <v>206</v>
      </c>
      <c r="E35" s="35">
        <v>0</v>
      </c>
      <c r="F35" s="35">
        <v>0</v>
      </c>
      <c r="G35" s="35">
        <v>0</v>
      </c>
      <c r="H35" s="35">
        <v>63539</v>
      </c>
      <c r="I35" s="35">
        <v>3519</v>
      </c>
      <c r="J35" s="35">
        <v>1959</v>
      </c>
      <c r="K35" s="35">
        <f t="shared" si="32"/>
        <v>18244</v>
      </c>
      <c r="L35" s="9"/>
      <c r="M35" s="10"/>
      <c r="N35" s="41"/>
      <c r="P35" s="35">
        <v>0</v>
      </c>
      <c r="Q35" s="35">
        <v>0</v>
      </c>
      <c r="R35" s="35">
        <v>0</v>
      </c>
      <c r="S35" s="35">
        <v>0</v>
      </c>
      <c r="T35" s="35">
        <v>0</v>
      </c>
      <c r="U35" s="35">
        <v>0</v>
      </c>
      <c r="V35" s="35">
        <v>0</v>
      </c>
      <c r="W35" s="35">
        <f t="shared" si="33"/>
        <v>63539</v>
      </c>
      <c r="X35" s="35">
        <v>0</v>
      </c>
      <c r="Y35" s="35">
        <v>0</v>
      </c>
      <c r="Z35" s="35">
        <v>0</v>
      </c>
      <c r="AA35" s="35">
        <v>3519</v>
      </c>
      <c r="AB35" s="35">
        <v>3569</v>
      </c>
      <c r="AC35" s="35">
        <v>3681</v>
      </c>
      <c r="AD35" s="35">
        <v>0</v>
      </c>
      <c r="AE35" s="35">
        <v>1959</v>
      </c>
      <c r="AF35" s="35">
        <v>2010</v>
      </c>
      <c r="AG35" s="35">
        <v>2062</v>
      </c>
      <c r="AH35" s="35">
        <v>19483</v>
      </c>
      <c r="AI35" s="35">
        <v>18244</v>
      </c>
      <c r="AJ35" s="35">
        <v>19002</v>
      </c>
      <c r="AK35" s="35"/>
      <c r="AL35" s="10"/>
    </row>
    <row r="36" spans="1:41" s="39" customFormat="1" ht="18" x14ac:dyDescent="0.25">
      <c r="A36" s="81"/>
      <c r="B36" s="11" t="s">
        <v>32</v>
      </c>
      <c r="C36" s="11" t="s">
        <v>207</v>
      </c>
      <c r="D36" s="42"/>
      <c r="E36" s="43">
        <v>110</v>
      </c>
      <c r="F36" s="43">
        <v>0</v>
      </c>
      <c r="G36" s="43">
        <v>169</v>
      </c>
      <c r="H36" s="43">
        <v>975.0579099310562</v>
      </c>
      <c r="I36" s="43">
        <v>1915</v>
      </c>
      <c r="J36" s="43">
        <v>15654</v>
      </c>
      <c r="K36" s="43">
        <f t="shared" si="32"/>
        <v>19155.062380000003</v>
      </c>
      <c r="L36" s="44"/>
      <c r="M36" s="45"/>
      <c r="N36" s="41"/>
      <c r="P36" s="43">
        <v>319</v>
      </c>
      <c r="Q36" s="43">
        <v>84</v>
      </c>
      <c r="R36" s="43">
        <v>239.49</v>
      </c>
      <c r="S36" s="43">
        <v>907</v>
      </c>
      <c r="T36" s="43">
        <v>1446</v>
      </c>
      <c r="U36" s="43">
        <v>656</v>
      </c>
      <c r="V36" s="43">
        <v>5183</v>
      </c>
      <c r="W36" s="43">
        <f t="shared" si="33"/>
        <v>975.0579099310562</v>
      </c>
      <c r="X36" s="43">
        <v>2774</v>
      </c>
      <c r="Y36" s="43">
        <v>5169</v>
      </c>
      <c r="Z36" s="43">
        <v>978</v>
      </c>
      <c r="AA36" s="43">
        <v>1915</v>
      </c>
      <c r="AB36" s="43">
        <v>8166</v>
      </c>
      <c r="AC36" s="43">
        <v>2731</v>
      </c>
      <c r="AD36" s="43">
        <v>4401</v>
      </c>
      <c r="AE36" s="43">
        <v>15654</v>
      </c>
      <c r="AF36" s="43">
        <v>13635</v>
      </c>
      <c r="AG36" s="43">
        <v>13416.692999999999</v>
      </c>
      <c r="AH36" s="43">
        <v>23048.870999999999</v>
      </c>
      <c r="AI36" s="43">
        <v>19155.062380000003</v>
      </c>
      <c r="AJ36" s="43">
        <v>41216</v>
      </c>
      <c r="AK36" s="43"/>
      <c r="AL36" s="45"/>
    </row>
    <row r="37" spans="1:41" s="39" customFormat="1" ht="18" x14ac:dyDescent="0.25">
      <c r="A37" s="81"/>
      <c r="B37" s="5" t="s">
        <v>33</v>
      </c>
      <c r="C37" s="5" t="s">
        <v>208</v>
      </c>
      <c r="D37" s="46"/>
      <c r="E37" s="37">
        <f t="shared" ref="E37:F37" si="34">SUM(E25:E36)</f>
        <v>18499</v>
      </c>
      <c r="F37" s="37">
        <f t="shared" si="34"/>
        <v>36152</v>
      </c>
      <c r="G37" s="37">
        <f>SUM(G25:G36)</f>
        <v>89840</v>
      </c>
      <c r="H37" s="37">
        <f>SUM(H25:H36)</f>
        <v>311413.05790993106</v>
      </c>
      <c r="I37" s="37">
        <f>SUM(I25:I36)</f>
        <v>393050</v>
      </c>
      <c r="J37" s="37">
        <f>SUM(J25:J36)</f>
        <v>747854</v>
      </c>
      <c r="K37" s="37">
        <f>SUM(K25:K36)</f>
        <v>640454.59368280007</v>
      </c>
      <c r="L37" s="36">
        <f>J37/I37-1</f>
        <v>0.90269431370054698</v>
      </c>
      <c r="M37" s="36">
        <f>K37/J37-1</f>
        <v>-0.14361012486019986</v>
      </c>
      <c r="N37" s="41"/>
      <c r="P37" s="37">
        <f t="shared" ref="P37:T37" si="35">SUM(P25:P36)</f>
        <v>35661</v>
      </c>
      <c r="Q37" s="37">
        <f t="shared" si="35"/>
        <v>48571</v>
      </c>
      <c r="R37" s="37">
        <f t="shared" si="35"/>
        <v>64449.49</v>
      </c>
      <c r="S37" s="37">
        <f t="shared" si="35"/>
        <v>89840</v>
      </c>
      <c r="T37" s="37">
        <f t="shared" si="35"/>
        <v>97972</v>
      </c>
      <c r="U37" s="37">
        <f>SUM(U25:U36)</f>
        <v>145080</v>
      </c>
      <c r="V37" s="37">
        <f>SUM(V25:V36)</f>
        <v>210781</v>
      </c>
      <c r="W37" s="37">
        <f>SUM(W25:W36)</f>
        <v>311413.05790993106</v>
      </c>
      <c r="X37" s="37">
        <f>SUM(X25:X36)</f>
        <v>343407</v>
      </c>
      <c r="Y37" s="37">
        <v>278714</v>
      </c>
      <c r="Z37" s="37">
        <f t="shared" ref="Z37:AI37" si="36">SUM(Z25:Z36)</f>
        <v>427349</v>
      </c>
      <c r="AA37" s="37">
        <f t="shared" si="36"/>
        <v>393050</v>
      </c>
      <c r="AB37" s="37">
        <f t="shared" si="36"/>
        <v>440976.72499999998</v>
      </c>
      <c r="AC37" s="37">
        <f t="shared" si="36"/>
        <v>403083</v>
      </c>
      <c r="AD37" s="37">
        <f t="shared" si="36"/>
        <v>553872.99999999953</v>
      </c>
      <c r="AE37" s="37">
        <f t="shared" si="36"/>
        <v>747854</v>
      </c>
      <c r="AF37" s="37">
        <f t="shared" si="36"/>
        <v>787881</v>
      </c>
      <c r="AG37" s="37">
        <f t="shared" si="36"/>
        <v>924895.75300000003</v>
      </c>
      <c r="AH37" s="37">
        <f t="shared" si="36"/>
        <v>1019910.3689999999</v>
      </c>
      <c r="AI37" s="37">
        <f t="shared" si="36"/>
        <v>640454.59368280007</v>
      </c>
      <c r="AJ37" s="37">
        <f t="shared" ref="AJ37" si="37">SUM(AJ25:AJ36)</f>
        <v>575655.18400000001</v>
      </c>
      <c r="AK37" s="36">
        <f>AJ37/AF37-1</f>
        <v>-0.26936277940450393</v>
      </c>
      <c r="AL37" s="36">
        <f>AJ37/AI37-1</f>
        <v>-0.10117721119023382</v>
      </c>
      <c r="AO37" s="62"/>
    </row>
    <row r="38" spans="1:41" s="39" customFormat="1" ht="18" x14ac:dyDescent="0.25">
      <c r="A38" s="81"/>
      <c r="N38" s="41"/>
      <c r="Z38" s="62"/>
      <c r="AA38" s="62"/>
      <c r="AB38" s="62"/>
      <c r="AC38" s="62"/>
      <c r="AD38" s="62"/>
      <c r="AE38" s="62"/>
      <c r="AF38" s="62"/>
      <c r="AG38" s="62"/>
      <c r="AH38" s="62"/>
      <c r="AI38" s="62"/>
      <c r="AJ38" s="62"/>
    </row>
    <row r="39" spans="1:41" s="39" customFormat="1" ht="18" x14ac:dyDescent="0.25">
      <c r="A39" s="81"/>
      <c r="B39" s="7" t="s">
        <v>26</v>
      </c>
      <c r="C39" s="7" t="s">
        <v>197</v>
      </c>
      <c r="E39" s="35">
        <v>991</v>
      </c>
      <c r="F39" s="35">
        <v>0</v>
      </c>
      <c r="G39" s="35">
        <v>0</v>
      </c>
      <c r="H39" s="35">
        <v>0</v>
      </c>
      <c r="I39" s="35">
        <v>0</v>
      </c>
      <c r="J39" s="35">
        <v>0</v>
      </c>
      <c r="K39" s="35">
        <f t="shared" ref="K39:K45" si="38">AI39</f>
        <v>0</v>
      </c>
      <c r="L39" s="40"/>
      <c r="M39" s="10"/>
      <c r="N39" s="41"/>
      <c r="P39" s="35">
        <v>0</v>
      </c>
      <c r="Q39" s="35">
        <v>0</v>
      </c>
      <c r="R39" s="35">
        <v>0</v>
      </c>
      <c r="S39" s="35">
        <v>0</v>
      </c>
      <c r="T39" s="35">
        <v>0</v>
      </c>
      <c r="U39" s="35">
        <v>0</v>
      </c>
      <c r="V39" s="35">
        <v>0</v>
      </c>
      <c r="W39" s="35">
        <v>0</v>
      </c>
      <c r="X39" s="35">
        <v>0</v>
      </c>
      <c r="Y39" s="35">
        <v>0</v>
      </c>
      <c r="Z39" s="35">
        <v>0</v>
      </c>
      <c r="AA39" s="35">
        <v>0</v>
      </c>
      <c r="AB39" s="35">
        <v>0</v>
      </c>
      <c r="AC39" s="35">
        <v>0</v>
      </c>
      <c r="AD39" s="35">
        <v>0</v>
      </c>
      <c r="AE39" s="35">
        <v>0</v>
      </c>
      <c r="AF39" s="35">
        <v>0</v>
      </c>
      <c r="AG39" s="35">
        <v>0</v>
      </c>
      <c r="AH39" s="35">
        <v>0</v>
      </c>
      <c r="AI39" s="35"/>
      <c r="AJ39" s="35"/>
      <c r="AK39" s="35"/>
      <c r="AL39" s="10"/>
    </row>
    <row r="40" spans="1:41" s="39" customFormat="1" ht="18" x14ac:dyDescent="0.25">
      <c r="A40" s="81"/>
      <c r="B40" s="7" t="s">
        <v>27</v>
      </c>
      <c r="C40" s="7" t="s">
        <v>198</v>
      </c>
      <c r="E40" s="35">
        <v>33543</v>
      </c>
      <c r="F40" s="35">
        <v>45754</v>
      </c>
      <c r="G40" s="35">
        <v>223592</v>
      </c>
      <c r="H40" s="35">
        <v>1710082</v>
      </c>
      <c r="I40" s="35">
        <v>2008093</v>
      </c>
      <c r="J40" s="35">
        <v>1788717</v>
      </c>
      <c r="K40" s="35">
        <f t="shared" si="38"/>
        <v>2316814.16</v>
      </c>
      <c r="L40" s="40"/>
      <c r="M40" s="10"/>
      <c r="N40" s="41"/>
      <c r="P40" s="35">
        <v>67713</v>
      </c>
      <c r="Q40" s="35">
        <v>83162</v>
      </c>
      <c r="R40" s="35">
        <v>180474</v>
      </c>
      <c r="S40" s="35">
        <v>223592</v>
      </c>
      <c r="T40" s="35">
        <v>323020</v>
      </c>
      <c r="U40" s="35">
        <v>524767</v>
      </c>
      <c r="V40" s="35">
        <v>597846</v>
      </c>
      <c r="W40" s="35">
        <f t="shared" ref="W40:W45" si="39">H40</f>
        <v>1710082</v>
      </c>
      <c r="X40" s="35">
        <v>1600634</v>
      </c>
      <c r="Y40" s="35">
        <v>1445087</v>
      </c>
      <c r="Z40" s="35">
        <v>1716675</v>
      </c>
      <c r="AA40" s="35">
        <v>2008093</v>
      </c>
      <c r="AB40" s="35">
        <v>2001548</v>
      </c>
      <c r="AC40" s="35">
        <v>1992595</v>
      </c>
      <c r="AD40" s="35">
        <v>1990287</v>
      </c>
      <c r="AE40" s="35">
        <v>1788717</v>
      </c>
      <c r="AF40" s="35">
        <v>2433112</v>
      </c>
      <c r="AG40" s="35">
        <v>2423527</v>
      </c>
      <c r="AH40" s="35">
        <v>2425763.02</v>
      </c>
      <c r="AI40" s="35">
        <v>2316814.16</v>
      </c>
      <c r="AJ40" s="35">
        <v>2327233.0669999998</v>
      </c>
      <c r="AK40" s="35"/>
      <c r="AL40" s="10"/>
    </row>
    <row r="41" spans="1:41" s="39" customFormat="1" ht="18" x14ac:dyDescent="0.25">
      <c r="A41" s="81"/>
      <c r="B41" s="7" t="s">
        <v>28</v>
      </c>
      <c r="C41" s="7" t="s">
        <v>209</v>
      </c>
      <c r="E41" s="35">
        <v>0</v>
      </c>
      <c r="F41" s="35">
        <v>0</v>
      </c>
      <c r="G41" s="35">
        <v>13059</v>
      </c>
      <c r="H41" s="35">
        <v>30301</v>
      </c>
      <c r="I41" s="35">
        <v>70012</v>
      </c>
      <c r="J41" s="35">
        <v>78128</v>
      </c>
      <c r="K41" s="35">
        <f t="shared" si="38"/>
        <v>80432.159</v>
      </c>
      <c r="L41" s="9"/>
      <c r="M41" s="10"/>
      <c r="N41" s="41"/>
      <c r="P41" s="35">
        <v>808</v>
      </c>
      <c r="Q41" s="35">
        <v>0</v>
      </c>
      <c r="R41" s="35">
        <v>0</v>
      </c>
      <c r="S41" s="35">
        <v>13059</v>
      </c>
      <c r="T41" s="35">
        <v>13198</v>
      </c>
      <c r="U41" s="35">
        <v>16545</v>
      </c>
      <c r="V41" s="35">
        <v>25918</v>
      </c>
      <c r="W41" s="35">
        <f t="shared" si="39"/>
        <v>30301</v>
      </c>
      <c r="X41" s="35">
        <v>31336</v>
      </c>
      <c r="Y41" s="35">
        <v>32041</v>
      </c>
      <c r="Z41" s="35">
        <v>70381</v>
      </c>
      <c r="AA41" s="35">
        <v>70012</v>
      </c>
      <c r="AB41" s="35">
        <v>72045</v>
      </c>
      <c r="AC41" s="35">
        <v>75673</v>
      </c>
      <c r="AD41" s="35">
        <v>78956</v>
      </c>
      <c r="AE41" s="35">
        <v>78128</v>
      </c>
      <c r="AF41" s="35">
        <v>75036</v>
      </c>
      <c r="AG41" s="35">
        <v>78605</v>
      </c>
      <c r="AH41" s="35">
        <v>78323.210999999996</v>
      </c>
      <c r="AI41" s="35">
        <v>80432.159</v>
      </c>
      <c r="AJ41" s="35">
        <v>83190.851999999999</v>
      </c>
      <c r="AK41" s="35"/>
      <c r="AL41" s="10"/>
    </row>
    <row r="42" spans="1:41" s="39" customFormat="1" ht="18" x14ac:dyDescent="0.25">
      <c r="A42" s="81"/>
      <c r="B42" s="7" t="s">
        <v>34</v>
      </c>
      <c r="C42" s="7" t="s">
        <v>210</v>
      </c>
      <c r="E42" s="35">
        <v>454</v>
      </c>
      <c r="F42" s="35">
        <v>389</v>
      </c>
      <c r="G42" s="35">
        <v>557</v>
      </c>
      <c r="H42" s="35">
        <v>1405</v>
      </c>
      <c r="I42" s="35">
        <v>344</v>
      </c>
      <c r="J42" s="35">
        <v>213</v>
      </c>
      <c r="K42" s="35">
        <f t="shared" si="38"/>
        <v>5176</v>
      </c>
      <c r="L42" s="40"/>
      <c r="M42" s="10"/>
      <c r="N42" s="41"/>
      <c r="P42" s="35">
        <v>408</v>
      </c>
      <c r="Q42" s="35">
        <v>607</v>
      </c>
      <c r="R42" s="35">
        <v>601</v>
      </c>
      <c r="S42" s="35">
        <v>557</v>
      </c>
      <c r="T42" s="35">
        <v>552</v>
      </c>
      <c r="U42" s="35">
        <v>497</v>
      </c>
      <c r="V42" s="35">
        <v>461</v>
      </c>
      <c r="W42" s="35">
        <f t="shared" si="39"/>
        <v>1405</v>
      </c>
      <c r="X42" s="35">
        <v>415</v>
      </c>
      <c r="Y42" s="35">
        <v>426</v>
      </c>
      <c r="Z42" s="35">
        <v>378</v>
      </c>
      <c r="AA42" s="35">
        <v>344</v>
      </c>
      <c r="AB42" s="35">
        <v>323</v>
      </c>
      <c r="AC42" s="35">
        <v>287</v>
      </c>
      <c r="AD42" s="35">
        <v>267</v>
      </c>
      <c r="AE42" s="35">
        <v>213</v>
      </c>
      <c r="AF42" s="35">
        <v>196</v>
      </c>
      <c r="AG42" s="35">
        <v>6115</v>
      </c>
      <c r="AH42" s="35">
        <v>5632</v>
      </c>
      <c r="AI42" s="35">
        <v>5176</v>
      </c>
      <c r="AJ42" s="35">
        <v>4708</v>
      </c>
      <c r="AK42" s="35"/>
      <c r="AL42" s="10"/>
    </row>
    <row r="43" spans="1:41" s="39" customFormat="1" ht="18" x14ac:dyDescent="0.25">
      <c r="A43" s="81"/>
      <c r="B43" s="7" t="s">
        <v>144</v>
      </c>
      <c r="C43" s="7" t="s">
        <v>301</v>
      </c>
      <c r="E43" s="35">
        <v>0</v>
      </c>
      <c r="F43" s="35">
        <v>0</v>
      </c>
      <c r="G43" s="35">
        <v>0</v>
      </c>
      <c r="H43" s="35">
        <v>42201</v>
      </c>
      <c r="I43" s="35">
        <v>14205</v>
      </c>
      <c r="J43" s="35">
        <v>16128</v>
      </c>
      <c r="K43" s="35">
        <f t="shared" si="38"/>
        <v>106625</v>
      </c>
      <c r="L43" s="40"/>
      <c r="M43" s="10"/>
      <c r="N43" s="41"/>
      <c r="P43" s="35">
        <v>0</v>
      </c>
      <c r="Q43" s="35">
        <v>0</v>
      </c>
      <c r="R43" s="35">
        <v>0</v>
      </c>
      <c r="S43" s="35">
        <v>0</v>
      </c>
      <c r="T43" s="35">
        <v>0</v>
      </c>
      <c r="U43" s="35">
        <v>0</v>
      </c>
      <c r="V43" s="35">
        <v>0</v>
      </c>
      <c r="W43" s="35">
        <f t="shared" si="39"/>
        <v>42201</v>
      </c>
      <c r="X43" s="35">
        <v>16119</v>
      </c>
      <c r="Y43" s="35">
        <v>16624</v>
      </c>
      <c r="Z43" s="35">
        <v>17175</v>
      </c>
      <c r="AA43" s="35">
        <v>14205</v>
      </c>
      <c r="AB43" s="35">
        <v>14732</v>
      </c>
      <c r="AC43" s="35">
        <v>15195</v>
      </c>
      <c r="AD43" s="35">
        <v>17588</v>
      </c>
      <c r="AE43" s="35">
        <v>16128</v>
      </c>
      <c r="AF43" s="35">
        <v>16551</v>
      </c>
      <c r="AG43" s="35">
        <v>16980</v>
      </c>
      <c r="AH43" s="35">
        <v>102619</v>
      </c>
      <c r="AI43" s="35">
        <v>106625</v>
      </c>
      <c r="AJ43" s="35">
        <v>101344</v>
      </c>
      <c r="AK43" s="35"/>
      <c r="AL43" s="10"/>
    </row>
    <row r="44" spans="1:41" s="39" customFormat="1" ht="18" x14ac:dyDescent="0.25">
      <c r="A44" s="81"/>
      <c r="B44" s="7" t="s">
        <v>35</v>
      </c>
      <c r="C44" s="7" t="s">
        <v>211</v>
      </c>
      <c r="E44" s="35">
        <v>5155</v>
      </c>
      <c r="F44" s="35">
        <v>10974</v>
      </c>
      <c r="G44" s="35">
        <v>17920</v>
      </c>
      <c r="H44" s="35">
        <v>72696.292749069296</v>
      </c>
      <c r="I44" s="35">
        <v>86028</v>
      </c>
      <c r="J44" s="35">
        <v>121579</v>
      </c>
      <c r="K44" s="35">
        <f t="shared" si="38"/>
        <v>169041.06299999999</v>
      </c>
      <c r="L44" s="40"/>
      <c r="M44" s="10"/>
      <c r="N44" s="41"/>
      <c r="P44" s="35">
        <v>12852</v>
      </c>
      <c r="Q44" s="35">
        <v>14638</v>
      </c>
      <c r="R44" s="35">
        <v>17026</v>
      </c>
      <c r="S44" s="35">
        <v>17920</v>
      </c>
      <c r="T44" s="35">
        <v>22099</v>
      </c>
      <c r="U44" s="35">
        <v>28065</v>
      </c>
      <c r="V44" s="35">
        <v>15496</v>
      </c>
      <c r="W44" s="35">
        <f t="shared" si="39"/>
        <v>72696.292749069296</v>
      </c>
      <c r="X44" s="35">
        <v>79748</v>
      </c>
      <c r="Y44" s="35">
        <v>87722</v>
      </c>
      <c r="Z44" s="35">
        <v>97018</v>
      </c>
      <c r="AA44" s="35">
        <v>86028</v>
      </c>
      <c r="AB44" s="35">
        <v>90538</v>
      </c>
      <c r="AC44" s="35">
        <v>94829</v>
      </c>
      <c r="AD44" s="35">
        <v>109906</v>
      </c>
      <c r="AE44" s="35">
        <v>121579</v>
      </c>
      <c r="AF44" s="35">
        <v>136614</v>
      </c>
      <c r="AG44" s="35">
        <v>159514</v>
      </c>
      <c r="AH44" s="35">
        <v>173103.639</v>
      </c>
      <c r="AI44" s="35">
        <v>169041.06299999999</v>
      </c>
      <c r="AJ44" s="35">
        <v>163172</v>
      </c>
      <c r="AK44" s="35"/>
      <c r="AL44" s="10"/>
    </row>
    <row r="45" spans="1:41" s="39" customFormat="1" ht="18" x14ac:dyDescent="0.25">
      <c r="A45" s="81"/>
      <c r="B45" s="11" t="s">
        <v>36</v>
      </c>
      <c r="C45" s="11" t="s">
        <v>212</v>
      </c>
      <c r="D45" s="42"/>
      <c r="E45" s="43">
        <v>47</v>
      </c>
      <c r="F45" s="43">
        <v>0</v>
      </c>
      <c r="G45" s="43">
        <v>0</v>
      </c>
      <c r="H45" s="43">
        <v>692</v>
      </c>
      <c r="I45" s="43">
        <v>722</v>
      </c>
      <c r="J45" s="43">
        <v>166</v>
      </c>
      <c r="K45" s="43">
        <f t="shared" si="38"/>
        <v>7792.9669999999996</v>
      </c>
      <c r="L45" s="44"/>
      <c r="M45" s="45"/>
      <c r="N45" s="41"/>
      <c r="P45" s="43">
        <v>0</v>
      </c>
      <c r="Q45" s="43">
        <v>0</v>
      </c>
      <c r="R45" s="43">
        <v>0</v>
      </c>
      <c r="S45" s="43">
        <v>0</v>
      </c>
      <c r="T45" s="43">
        <v>0</v>
      </c>
      <c r="U45" s="43">
        <v>0</v>
      </c>
      <c r="V45" s="43">
        <v>0</v>
      </c>
      <c r="W45" s="43">
        <f t="shared" si="39"/>
        <v>692</v>
      </c>
      <c r="X45" s="43">
        <v>692</v>
      </c>
      <c r="Y45" s="43">
        <v>692</v>
      </c>
      <c r="Z45" s="43">
        <v>535</v>
      </c>
      <c r="AA45" s="43">
        <v>722</v>
      </c>
      <c r="AB45" s="43">
        <v>656</v>
      </c>
      <c r="AC45" s="43">
        <v>842</v>
      </c>
      <c r="AD45" s="43">
        <v>285</v>
      </c>
      <c r="AE45" s="43">
        <v>166</v>
      </c>
      <c r="AF45" s="43">
        <v>119</v>
      </c>
      <c r="AG45" s="43">
        <v>250</v>
      </c>
      <c r="AH45" s="43">
        <v>7123.9669999999996</v>
      </c>
      <c r="AI45" s="43">
        <v>7792.9669999999996</v>
      </c>
      <c r="AJ45" s="43">
        <v>7975.9669999999996</v>
      </c>
      <c r="AK45" s="43"/>
      <c r="AL45" s="45"/>
    </row>
    <row r="46" spans="1:41" s="39" customFormat="1" ht="18" x14ac:dyDescent="0.25">
      <c r="A46" s="81"/>
      <c r="B46" s="5" t="s">
        <v>37</v>
      </c>
      <c r="C46" s="5" t="s">
        <v>213</v>
      </c>
      <c r="D46" s="46"/>
      <c r="E46" s="37">
        <f t="shared" ref="E46:F46" si="40">SUM(E39:E45)</f>
        <v>40190</v>
      </c>
      <c r="F46" s="37">
        <f t="shared" si="40"/>
        <v>57117</v>
      </c>
      <c r="G46" s="37">
        <f>SUM(G39:G45)</f>
        <v>255128</v>
      </c>
      <c r="H46" s="37">
        <f>SUM(H39:H45)</f>
        <v>1857377.2927490694</v>
      </c>
      <c r="I46" s="37">
        <f>SUM(I39:I45)</f>
        <v>2179404</v>
      </c>
      <c r="J46" s="37">
        <f>SUM(J39:J45)</f>
        <v>2004931</v>
      </c>
      <c r="K46" s="37">
        <f>SUM(K39:K45)</f>
        <v>2685881.3490000004</v>
      </c>
      <c r="L46" s="36">
        <f>J46/I46-1</f>
        <v>-8.0055372936821301E-2</v>
      </c>
      <c r="M46" s="36">
        <f>K46/J46-1</f>
        <v>0.3396377975102387</v>
      </c>
      <c r="N46" s="41"/>
      <c r="P46" s="37">
        <f t="shared" ref="P46:U46" si="41">SUM(P39:P45)</f>
        <v>81781</v>
      </c>
      <c r="Q46" s="37">
        <f t="shared" si="41"/>
        <v>98407</v>
      </c>
      <c r="R46" s="37">
        <f t="shared" si="41"/>
        <v>198101</v>
      </c>
      <c r="S46" s="37">
        <f t="shared" si="41"/>
        <v>255128</v>
      </c>
      <c r="T46" s="37">
        <f t="shared" si="41"/>
        <v>358869</v>
      </c>
      <c r="U46" s="37">
        <f t="shared" si="41"/>
        <v>569874</v>
      </c>
      <c r="V46" s="37">
        <f>SUM(V39:V45)</f>
        <v>639721</v>
      </c>
      <c r="W46" s="37">
        <f>SUM(W39:W45)</f>
        <v>1857377.2927490694</v>
      </c>
      <c r="X46" s="37">
        <f>SUM(X39:X45)</f>
        <v>1728944</v>
      </c>
      <c r="Y46" s="37">
        <v>1582592</v>
      </c>
      <c r="Z46" s="37">
        <f t="shared" ref="Z46:AI46" si="42">SUM(Z39:Z45)</f>
        <v>1902162</v>
      </c>
      <c r="AA46" s="37">
        <f t="shared" si="42"/>
        <v>2179404</v>
      </c>
      <c r="AB46" s="37">
        <f t="shared" si="42"/>
        <v>2179842</v>
      </c>
      <c r="AC46" s="37">
        <f t="shared" si="42"/>
        <v>2179421</v>
      </c>
      <c r="AD46" s="37">
        <f t="shared" si="42"/>
        <v>2197289</v>
      </c>
      <c r="AE46" s="37">
        <f t="shared" si="42"/>
        <v>2004931</v>
      </c>
      <c r="AF46" s="37">
        <f t="shared" si="42"/>
        <v>2661628</v>
      </c>
      <c r="AG46" s="37">
        <f t="shared" si="42"/>
        <v>2684991</v>
      </c>
      <c r="AH46" s="37">
        <f t="shared" si="42"/>
        <v>2792564.8370000003</v>
      </c>
      <c r="AI46" s="37">
        <f t="shared" si="42"/>
        <v>2685881.3490000004</v>
      </c>
      <c r="AJ46" s="37">
        <f t="shared" ref="AJ46" si="43">SUM(AJ39:AJ45)</f>
        <v>2687623.8859999999</v>
      </c>
      <c r="AK46" s="36">
        <f>AJ46/AF46-1</f>
        <v>9.7669118299026358E-3</v>
      </c>
      <c r="AL46" s="36">
        <f>AJ46/AI46-1</f>
        <v>6.4877661131546027E-4</v>
      </c>
    </row>
    <row r="47" spans="1:41" s="39" customFormat="1" ht="18" x14ac:dyDescent="0.25">
      <c r="A47" s="81"/>
      <c r="N47" s="41"/>
    </row>
    <row r="48" spans="1:41" s="39" customFormat="1" ht="18" x14ac:dyDescent="0.25">
      <c r="A48" s="81"/>
      <c r="B48" s="7" t="s">
        <v>148</v>
      </c>
      <c r="C48" s="7" t="s">
        <v>214</v>
      </c>
      <c r="E48" s="35">
        <v>230</v>
      </c>
      <c r="F48" s="35">
        <v>230</v>
      </c>
      <c r="G48" s="35">
        <v>971</v>
      </c>
      <c r="H48" s="35">
        <v>1002351</v>
      </c>
      <c r="I48" s="35">
        <v>1004034</v>
      </c>
      <c r="J48" s="35">
        <v>1004034</v>
      </c>
      <c r="K48" s="35">
        <f t="shared" ref="K48:K54" si="44">AI48</f>
        <v>1008876</v>
      </c>
      <c r="L48" s="40"/>
      <c r="M48" s="10"/>
      <c r="N48" s="41"/>
      <c r="P48" s="35">
        <v>230</v>
      </c>
      <c r="Q48" s="35">
        <v>971</v>
      </c>
      <c r="R48" s="35">
        <v>971</v>
      </c>
      <c r="S48" s="35">
        <v>971</v>
      </c>
      <c r="T48" s="35">
        <v>1147</v>
      </c>
      <c r="U48" s="35">
        <v>1147</v>
      </c>
      <c r="V48" s="35">
        <v>1002351</v>
      </c>
      <c r="W48" s="35">
        <f t="shared" ref="W48:W51" si="45">H48</f>
        <v>1002351</v>
      </c>
      <c r="X48" s="35">
        <v>1002351</v>
      </c>
      <c r="Y48" s="35">
        <v>1002351</v>
      </c>
      <c r="Z48" s="35">
        <v>1002351</v>
      </c>
      <c r="AA48" s="35">
        <v>1004034</v>
      </c>
      <c r="AB48" s="35">
        <v>1004034</v>
      </c>
      <c r="AC48" s="35">
        <v>1004034</v>
      </c>
      <c r="AD48" s="35">
        <v>1004034</v>
      </c>
      <c r="AE48" s="35">
        <v>1004034</v>
      </c>
      <c r="AF48" s="35">
        <v>1004034</v>
      </c>
      <c r="AG48" s="35">
        <v>1008876</v>
      </c>
      <c r="AH48" s="35">
        <v>1008876</v>
      </c>
      <c r="AI48" s="35">
        <v>1008876</v>
      </c>
      <c r="AJ48" s="35">
        <v>1008876</v>
      </c>
      <c r="AK48" s="35"/>
    </row>
    <row r="49" spans="1:38" s="39" customFormat="1" ht="18" x14ac:dyDescent="0.25">
      <c r="A49" s="81"/>
      <c r="B49" s="7" t="s">
        <v>186</v>
      </c>
      <c r="C49" s="7" t="s">
        <v>220</v>
      </c>
      <c r="E49" s="35">
        <v>0</v>
      </c>
      <c r="F49" s="35">
        <v>0</v>
      </c>
      <c r="G49" s="35">
        <v>0</v>
      </c>
      <c r="H49" s="35">
        <v>0</v>
      </c>
      <c r="I49" s="35">
        <v>-8119</v>
      </c>
      <c r="J49" s="35">
        <v>-4822</v>
      </c>
      <c r="K49" s="35">
        <f t="shared" si="44"/>
        <v>-3483</v>
      </c>
      <c r="L49" s="40"/>
      <c r="M49" s="10"/>
      <c r="N49" s="41"/>
      <c r="O49" s="35"/>
      <c r="P49" s="35">
        <v>0</v>
      </c>
      <c r="Q49" s="35">
        <v>0</v>
      </c>
      <c r="R49" s="35">
        <v>0</v>
      </c>
      <c r="S49" s="35">
        <v>0</v>
      </c>
      <c r="T49" s="35">
        <v>0</v>
      </c>
      <c r="U49" s="35">
        <v>0</v>
      </c>
      <c r="V49" s="35">
        <v>0</v>
      </c>
      <c r="W49" s="35">
        <v>0</v>
      </c>
      <c r="X49" s="35">
        <v>0</v>
      </c>
      <c r="Y49" s="35">
        <v>-5753</v>
      </c>
      <c r="Z49" s="35">
        <v>-8119</v>
      </c>
      <c r="AA49" s="35">
        <v>-8119</v>
      </c>
      <c r="AB49" s="35">
        <v>-8119</v>
      </c>
      <c r="AC49" s="35">
        <v>-8119</v>
      </c>
      <c r="AD49" s="35">
        <v>-5415</v>
      </c>
      <c r="AE49" s="35">
        <v>-4822</v>
      </c>
      <c r="AF49" s="35">
        <v>-1168</v>
      </c>
      <c r="AG49" s="35">
        <v>-4314</v>
      </c>
      <c r="AH49" s="35">
        <v>-4101</v>
      </c>
      <c r="AI49" s="35">
        <v>-3483</v>
      </c>
      <c r="AJ49" s="35">
        <v>-3216</v>
      </c>
      <c r="AK49" s="35"/>
    </row>
    <row r="50" spans="1:38" s="39" customFormat="1" ht="18" x14ac:dyDescent="0.25">
      <c r="A50" s="81"/>
      <c r="B50" s="7" t="s">
        <v>160</v>
      </c>
      <c r="C50" s="7" t="s">
        <v>215</v>
      </c>
      <c r="E50" s="35">
        <v>0</v>
      </c>
      <c r="F50" s="35">
        <v>0</v>
      </c>
      <c r="G50" s="35">
        <v>0</v>
      </c>
      <c r="H50" s="35">
        <v>0</v>
      </c>
      <c r="I50" s="35">
        <v>-45072</v>
      </c>
      <c r="J50" s="35">
        <v>-45072</v>
      </c>
      <c r="K50" s="35">
        <f t="shared" si="44"/>
        <v>-45072</v>
      </c>
      <c r="L50" s="40"/>
      <c r="M50" s="10"/>
      <c r="N50" s="41"/>
      <c r="P50" s="35">
        <v>0</v>
      </c>
      <c r="Q50" s="35">
        <v>0</v>
      </c>
      <c r="R50" s="35">
        <v>0</v>
      </c>
      <c r="S50" s="35">
        <v>0</v>
      </c>
      <c r="T50" s="35">
        <v>0</v>
      </c>
      <c r="U50" s="35">
        <v>0</v>
      </c>
      <c r="V50" s="35">
        <v>0</v>
      </c>
      <c r="W50" s="35">
        <v>0</v>
      </c>
      <c r="X50" s="35">
        <v>-45072</v>
      </c>
      <c r="Y50" s="35">
        <v>0</v>
      </c>
      <c r="Z50" s="35">
        <v>-45072</v>
      </c>
      <c r="AA50" s="35">
        <v>-45072</v>
      </c>
      <c r="AB50" s="35">
        <v>-45072</v>
      </c>
      <c r="AC50" s="35">
        <v>-45072</v>
      </c>
      <c r="AD50" s="35">
        <v>0</v>
      </c>
      <c r="AE50" s="35">
        <v>-45072</v>
      </c>
      <c r="AF50" s="35">
        <v>-45072</v>
      </c>
      <c r="AG50" s="35">
        <v>-45072</v>
      </c>
      <c r="AH50" s="35">
        <v>-45072</v>
      </c>
      <c r="AI50" s="35">
        <v>-45072</v>
      </c>
      <c r="AJ50" s="35">
        <v>-45072</v>
      </c>
      <c r="AK50" s="35"/>
    </row>
    <row r="51" spans="1:38" s="39" customFormat="1" ht="18" x14ac:dyDescent="0.25">
      <c r="A51" s="81"/>
      <c r="B51" s="7" t="s">
        <v>99</v>
      </c>
      <c r="C51" s="7" t="s">
        <v>216</v>
      </c>
      <c r="E51" s="35">
        <v>0</v>
      </c>
      <c r="F51" s="35">
        <v>0</v>
      </c>
      <c r="G51" s="35">
        <v>70066</v>
      </c>
      <c r="H51" s="35">
        <v>81943</v>
      </c>
      <c r="I51" s="35">
        <v>130167</v>
      </c>
      <c r="J51" s="35">
        <v>135008</v>
      </c>
      <c r="K51" s="35">
        <f t="shared" si="44"/>
        <v>132816</v>
      </c>
      <c r="L51" s="40"/>
      <c r="M51" s="10"/>
      <c r="N51" s="41"/>
      <c r="P51" s="35">
        <v>0</v>
      </c>
      <c r="Q51" s="35">
        <v>19734</v>
      </c>
      <c r="R51" s="35">
        <v>42071</v>
      </c>
      <c r="S51" s="35">
        <v>70066</v>
      </c>
      <c r="T51" s="35">
        <v>119325</v>
      </c>
      <c r="U51" s="35">
        <v>119325</v>
      </c>
      <c r="V51" s="35">
        <v>80388</v>
      </c>
      <c r="W51" s="35">
        <f t="shared" si="45"/>
        <v>81943</v>
      </c>
      <c r="X51" s="35">
        <v>127801</v>
      </c>
      <c r="Y51" s="35">
        <v>83507</v>
      </c>
      <c r="Z51" s="35">
        <v>129365</v>
      </c>
      <c r="AA51" s="35">
        <v>130167</v>
      </c>
      <c r="AB51" s="35">
        <v>132384</v>
      </c>
      <c r="AC51" s="35">
        <v>134781</v>
      </c>
      <c r="AD51" s="35">
        <v>88549</v>
      </c>
      <c r="AE51" s="35">
        <v>135008</v>
      </c>
      <c r="AF51" s="35">
        <v>131754</v>
      </c>
      <c r="AG51" s="35">
        <v>132211</v>
      </c>
      <c r="AH51" s="35">
        <v>132895</v>
      </c>
      <c r="AI51" s="35">
        <v>132816</v>
      </c>
      <c r="AJ51" s="35">
        <v>127296</v>
      </c>
      <c r="AK51" s="35"/>
    </row>
    <row r="52" spans="1:38" s="39" customFormat="1" ht="18" x14ac:dyDescent="0.25">
      <c r="A52" s="81"/>
      <c r="B52" s="7" t="s">
        <v>38</v>
      </c>
      <c r="C52" s="7" t="s">
        <v>217</v>
      </c>
      <c r="E52" s="35">
        <v>16402</v>
      </c>
      <c r="F52" s="35">
        <v>22879</v>
      </c>
      <c r="G52" s="35">
        <v>14023</v>
      </c>
      <c r="H52" s="35">
        <v>28402.211268395618</v>
      </c>
      <c r="I52" s="35">
        <v>77511</v>
      </c>
      <c r="J52" s="35">
        <v>140794</v>
      </c>
      <c r="K52" s="35">
        <f t="shared" si="44"/>
        <v>204191</v>
      </c>
      <c r="L52" s="40"/>
      <c r="M52" s="10"/>
      <c r="N52" s="41"/>
      <c r="P52" s="35">
        <v>25927</v>
      </c>
      <c r="Q52" s="35">
        <v>13966</v>
      </c>
      <c r="R52" s="35">
        <v>11403</v>
      </c>
      <c r="S52" s="35">
        <v>14023</v>
      </c>
      <c r="T52" s="35">
        <v>21688</v>
      </c>
      <c r="U52" s="35">
        <v>12064</v>
      </c>
      <c r="V52" s="35">
        <v>25741</v>
      </c>
      <c r="W52" s="35">
        <v>28402.649340999313</v>
      </c>
      <c r="X52" s="35">
        <v>50155.392370000016</v>
      </c>
      <c r="Y52" s="35">
        <v>39316</v>
      </c>
      <c r="Z52" s="35">
        <v>60742</v>
      </c>
      <c r="AA52" s="35">
        <v>77511</v>
      </c>
      <c r="AB52" s="35">
        <v>56505</v>
      </c>
      <c r="AC52" s="35">
        <v>89624</v>
      </c>
      <c r="AD52" s="35">
        <v>126126.79999999999</v>
      </c>
      <c r="AE52" s="35">
        <v>140794</v>
      </c>
      <c r="AF52" s="35">
        <v>181293.5</v>
      </c>
      <c r="AG52" s="35">
        <v>196918.91699999999</v>
      </c>
      <c r="AH52" s="35">
        <v>194438.51</v>
      </c>
      <c r="AI52" s="35">
        <v>204191</v>
      </c>
      <c r="AJ52" s="35">
        <v>214221</v>
      </c>
      <c r="AK52" s="35"/>
    </row>
    <row r="53" spans="1:38" s="39" customFormat="1" ht="18" x14ac:dyDescent="0.25">
      <c r="A53" s="81"/>
      <c r="B53" s="7" t="s">
        <v>411</v>
      </c>
      <c r="C53" s="7" t="s">
        <v>412</v>
      </c>
      <c r="E53" s="35">
        <v>0</v>
      </c>
      <c r="F53" s="35">
        <v>0</v>
      </c>
      <c r="G53" s="35">
        <v>0</v>
      </c>
      <c r="H53" s="35">
        <v>0</v>
      </c>
      <c r="I53" s="35">
        <v>0</v>
      </c>
      <c r="J53" s="35">
        <v>0</v>
      </c>
      <c r="K53" s="35">
        <f t="shared" si="44"/>
        <v>-38703</v>
      </c>
      <c r="L53" s="40"/>
      <c r="M53" s="10"/>
      <c r="N53" s="41"/>
      <c r="P53" s="35">
        <v>0</v>
      </c>
      <c r="Q53" s="35">
        <v>0</v>
      </c>
      <c r="R53" s="35">
        <v>0</v>
      </c>
      <c r="S53" s="35">
        <v>0</v>
      </c>
      <c r="T53" s="35">
        <v>0</v>
      </c>
      <c r="U53" s="35">
        <v>0</v>
      </c>
      <c r="V53" s="35">
        <v>0</v>
      </c>
      <c r="W53" s="35">
        <v>0</v>
      </c>
      <c r="X53" s="35">
        <v>0</v>
      </c>
      <c r="Y53" s="35">
        <v>0</v>
      </c>
      <c r="Z53" s="35">
        <v>0</v>
      </c>
      <c r="AA53" s="35">
        <v>0</v>
      </c>
      <c r="AB53" s="35">
        <v>0</v>
      </c>
      <c r="AC53" s="35">
        <v>0</v>
      </c>
      <c r="AD53" s="35">
        <v>0</v>
      </c>
      <c r="AE53" s="35">
        <v>0</v>
      </c>
      <c r="AF53" s="35">
        <v>0</v>
      </c>
      <c r="AG53" s="35">
        <v>0</v>
      </c>
      <c r="AH53" s="35">
        <v>-38674</v>
      </c>
      <c r="AI53" s="35">
        <v>-38703</v>
      </c>
      <c r="AJ53" s="35">
        <v>-38703</v>
      </c>
      <c r="AK53" s="35"/>
    </row>
    <row r="54" spans="1:38" s="39" customFormat="1" ht="18" x14ac:dyDescent="0.25">
      <c r="A54" s="81"/>
      <c r="B54" s="11" t="s">
        <v>413</v>
      </c>
      <c r="C54" s="11" t="s">
        <v>414</v>
      </c>
      <c r="D54" s="42"/>
      <c r="E54" s="43">
        <v>0</v>
      </c>
      <c r="F54" s="43">
        <v>0</v>
      </c>
      <c r="G54" s="43">
        <v>0</v>
      </c>
      <c r="H54" s="43">
        <v>0</v>
      </c>
      <c r="I54" s="43">
        <v>0</v>
      </c>
      <c r="J54" s="43">
        <v>0</v>
      </c>
      <c r="K54" s="43">
        <f t="shared" si="44"/>
        <v>52392.138612307695</v>
      </c>
      <c r="L54" s="43"/>
      <c r="M54" s="43"/>
      <c r="N54" s="41"/>
      <c r="P54" s="43">
        <v>0</v>
      </c>
      <c r="Q54" s="43">
        <v>0</v>
      </c>
      <c r="R54" s="43">
        <v>0</v>
      </c>
      <c r="S54" s="43">
        <v>0</v>
      </c>
      <c r="T54" s="43">
        <v>0</v>
      </c>
      <c r="U54" s="43">
        <v>0</v>
      </c>
      <c r="V54" s="43">
        <v>0</v>
      </c>
      <c r="W54" s="43">
        <v>0</v>
      </c>
      <c r="X54" s="43">
        <v>0</v>
      </c>
      <c r="Y54" s="43">
        <v>0</v>
      </c>
      <c r="Z54" s="43">
        <v>0</v>
      </c>
      <c r="AA54" s="43">
        <v>0</v>
      </c>
      <c r="AB54" s="43">
        <v>0</v>
      </c>
      <c r="AC54" s="43">
        <v>0</v>
      </c>
      <c r="AD54" s="43">
        <v>0</v>
      </c>
      <c r="AE54" s="43">
        <v>0</v>
      </c>
      <c r="AF54" s="43">
        <v>0</v>
      </c>
      <c r="AG54" s="43">
        <v>0</v>
      </c>
      <c r="AH54" s="43">
        <v>41773</v>
      </c>
      <c r="AI54" s="43">
        <v>52392.138612307695</v>
      </c>
      <c r="AJ54" s="43">
        <v>49035.215915384622</v>
      </c>
      <c r="AK54" s="43"/>
      <c r="AL54" s="45"/>
    </row>
    <row r="55" spans="1:38" s="39" customFormat="1" ht="18" x14ac:dyDescent="0.25">
      <c r="A55" s="81"/>
      <c r="B55" s="5" t="s">
        <v>39</v>
      </c>
      <c r="C55" s="5" t="s">
        <v>218</v>
      </c>
      <c r="D55" s="46"/>
      <c r="E55" s="37">
        <f>SUM(E48:E54)</f>
        <v>16632</v>
      </c>
      <c r="F55" s="37">
        <f t="shared" ref="F55:K55" si="46">SUM(F48:F54)</f>
        <v>23109</v>
      </c>
      <c r="G55" s="37">
        <f t="shared" si="46"/>
        <v>85060</v>
      </c>
      <c r="H55" s="37">
        <f t="shared" si="46"/>
        <v>1112696.2112683957</v>
      </c>
      <c r="I55" s="37">
        <f t="shared" si="46"/>
        <v>1158521</v>
      </c>
      <c r="J55" s="37">
        <f t="shared" si="46"/>
        <v>1229942</v>
      </c>
      <c r="K55" s="37">
        <f t="shared" si="46"/>
        <v>1311017.1386123076</v>
      </c>
      <c r="L55" s="36">
        <f>J55/I55-1</f>
        <v>6.1648429333607258E-2</v>
      </c>
      <c r="M55" s="36">
        <f>K55/J55-1</f>
        <v>6.5917855160899874E-2</v>
      </c>
      <c r="N55" s="41"/>
      <c r="P55" s="37">
        <f t="shared" ref="P55:AG55" si="47">SUM(P48:P54)</f>
        <v>26157</v>
      </c>
      <c r="Q55" s="37">
        <f t="shared" si="47"/>
        <v>34671</v>
      </c>
      <c r="R55" s="37">
        <f t="shared" si="47"/>
        <v>54445</v>
      </c>
      <c r="S55" s="37">
        <f t="shared" si="47"/>
        <v>85060</v>
      </c>
      <c r="T55" s="37">
        <f t="shared" si="47"/>
        <v>142160</v>
      </c>
      <c r="U55" s="37">
        <f t="shared" si="47"/>
        <v>132536</v>
      </c>
      <c r="V55" s="37">
        <f t="shared" si="47"/>
        <v>1108480</v>
      </c>
      <c r="W55" s="37">
        <f t="shared" si="47"/>
        <v>1112696.6493409993</v>
      </c>
      <c r="X55" s="37">
        <f t="shared" si="47"/>
        <v>1135235.39237</v>
      </c>
      <c r="Y55" s="37">
        <f t="shared" si="47"/>
        <v>1119421</v>
      </c>
      <c r="Z55" s="37">
        <f t="shared" si="47"/>
        <v>1139267</v>
      </c>
      <c r="AA55" s="37">
        <f t="shared" si="47"/>
        <v>1158521</v>
      </c>
      <c r="AB55" s="37">
        <f t="shared" si="47"/>
        <v>1139732</v>
      </c>
      <c r="AC55" s="37">
        <f t="shared" si="47"/>
        <v>1175248</v>
      </c>
      <c r="AD55" s="37">
        <f t="shared" si="47"/>
        <v>1213294.8</v>
      </c>
      <c r="AE55" s="37">
        <f t="shared" si="47"/>
        <v>1229942</v>
      </c>
      <c r="AF55" s="37">
        <f t="shared" si="47"/>
        <v>1270841.5</v>
      </c>
      <c r="AG55" s="37">
        <f t="shared" si="47"/>
        <v>1288619.9169999999</v>
      </c>
      <c r="AH55" s="37">
        <f>SUM(AH48:AH54)</f>
        <v>1290135.51</v>
      </c>
      <c r="AI55" s="37">
        <f>SUM(AI48:AI54)</f>
        <v>1311017.1386123076</v>
      </c>
      <c r="AJ55" s="37">
        <f>SUM(AJ48:AJ54)</f>
        <v>1312437.2159153847</v>
      </c>
      <c r="AK55" s="36">
        <f>AJ55/AF55-1</f>
        <v>3.2730844810611393E-2</v>
      </c>
      <c r="AL55" s="36">
        <f>AJ55/AI55-1</f>
        <v>1.0831874437433608E-3</v>
      </c>
    </row>
    <row r="56" spans="1:38" s="39" customFormat="1" ht="18" x14ac:dyDescent="0.25">
      <c r="A56" s="81"/>
      <c r="N56" s="41"/>
    </row>
    <row r="57" spans="1:38" s="39" customFormat="1" ht="18" x14ac:dyDescent="0.25">
      <c r="A57" s="81"/>
      <c r="B57" s="8" t="s">
        <v>40</v>
      </c>
      <c r="C57" s="8" t="s">
        <v>219</v>
      </c>
      <c r="D57" s="47"/>
      <c r="E57" s="27">
        <f t="shared" ref="E57:K57" si="48">E55+E46+E37</f>
        <v>75321</v>
      </c>
      <c r="F57" s="27">
        <f t="shared" si="48"/>
        <v>116378</v>
      </c>
      <c r="G57" s="27">
        <f t="shared" si="48"/>
        <v>430028</v>
      </c>
      <c r="H57" s="27">
        <f t="shared" si="48"/>
        <v>3281486.5619273959</v>
      </c>
      <c r="I57" s="27">
        <f t="shared" si="48"/>
        <v>3730975</v>
      </c>
      <c r="J57" s="27">
        <f t="shared" si="48"/>
        <v>3982727</v>
      </c>
      <c r="K57" s="27">
        <f t="shared" si="48"/>
        <v>4637353.0812951084</v>
      </c>
      <c r="L57" s="28">
        <f>J57/I57-1</f>
        <v>6.7476195900535441E-2</v>
      </c>
      <c r="M57" s="28">
        <f>K57/J57-1</f>
        <v>0.16436629507749556</v>
      </c>
      <c r="N57" s="41"/>
      <c r="P57" s="27">
        <f t="shared" ref="P57:X57" si="49">P55+P46+P37</f>
        <v>143599</v>
      </c>
      <c r="Q57" s="27">
        <f t="shared" si="49"/>
        <v>181649</v>
      </c>
      <c r="R57" s="27">
        <f t="shared" si="49"/>
        <v>316995.49</v>
      </c>
      <c r="S57" s="27">
        <f t="shared" si="49"/>
        <v>430028</v>
      </c>
      <c r="T57" s="27">
        <f t="shared" si="49"/>
        <v>599001</v>
      </c>
      <c r="U57" s="27">
        <f t="shared" si="49"/>
        <v>847490</v>
      </c>
      <c r="V57" s="27">
        <f t="shared" si="49"/>
        <v>1958982</v>
      </c>
      <c r="W57" s="27">
        <f t="shared" si="49"/>
        <v>3281487</v>
      </c>
      <c r="X57" s="27">
        <f t="shared" si="49"/>
        <v>3207586.39237</v>
      </c>
      <c r="Y57" s="27">
        <f t="shared" ref="Y57:AI57" si="50">Y55+Y46+Y37</f>
        <v>2980727</v>
      </c>
      <c r="Z57" s="27">
        <f t="shared" si="50"/>
        <v>3468778</v>
      </c>
      <c r="AA57" s="27">
        <f t="shared" si="50"/>
        <v>3730975</v>
      </c>
      <c r="AB57" s="27">
        <f t="shared" si="50"/>
        <v>3760550.7250000001</v>
      </c>
      <c r="AC57" s="27">
        <f t="shared" si="50"/>
        <v>3757752</v>
      </c>
      <c r="AD57" s="27">
        <f t="shared" si="50"/>
        <v>3964456.7999999993</v>
      </c>
      <c r="AE57" s="27">
        <f t="shared" si="50"/>
        <v>3982727</v>
      </c>
      <c r="AF57" s="27">
        <f t="shared" si="50"/>
        <v>4720350.5</v>
      </c>
      <c r="AG57" s="27">
        <f t="shared" si="50"/>
        <v>4898506.67</v>
      </c>
      <c r="AH57" s="27">
        <f t="shared" si="50"/>
        <v>5102610.716</v>
      </c>
      <c r="AI57" s="27">
        <f t="shared" si="50"/>
        <v>4637353.0812951084</v>
      </c>
      <c r="AJ57" s="27">
        <f t="shared" ref="AJ57" si="51">AJ55+AJ46+AJ37</f>
        <v>4575716.285915385</v>
      </c>
      <c r="AK57" s="28">
        <f>AJ57/AF57-1</f>
        <v>-3.0640566645340206E-2</v>
      </c>
      <c r="AL57" s="28">
        <f>AJ57/AI57-1</f>
        <v>-1.3291374260100519E-2</v>
      </c>
    </row>
    <row r="58" spans="1:38" s="39" customFormat="1" x14ac:dyDescent="0.25">
      <c r="A58" s="62"/>
      <c r="W58" s="62"/>
      <c r="X58" s="62"/>
      <c r="Y58" s="62"/>
      <c r="Z58" s="62"/>
      <c r="AA58" s="62"/>
      <c r="AB58" s="62"/>
      <c r="AC58" s="62"/>
      <c r="AD58" s="62"/>
      <c r="AE58" s="62"/>
      <c r="AF58" s="62"/>
      <c r="AG58" s="62"/>
      <c r="AH58" s="62"/>
      <c r="AI58" s="62"/>
      <c r="AJ58" s="62"/>
    </row>
    <row r="59" spans="1:38" x14ac:dyDescent="0.25">
      <c r="P59" s="100"/>
      <c r="Q59" s="100"/>
      <c r="R59" s="100"/>
      <c r="S59" s="100"/>
      <c r="T59" s="100"/>
      <c r="U59" s="100"/>
      <c r="V59" s="100"/>
      <c r="W59" s="100"/>
      <c r="X59" s="100"/>
      <c r="Y59" s="100"/>
      <c r="Z59" s="100"/>
      <c r="AA59" s="100"/>
      <c r="AB59" s="100"/>
      <c r="AC59" s="100"/>
      <c r="AD59" s="100"/>
      <c r="AE59" s="100"/>
      <c r="AF59" s="100"/>
      <c r="AG59" s="100"/>
      <c r="AH59" s="100"/>
      <c r="AI59" s="100"/>
      <c r="AJ59" s="100"/>
    </row>
    <row r="60" spans="1:38" x14ac:dyDescent="0.25">
      <c r="AD60" s="109"/>
      <c r="AE60" s="109"/>
      <c r="AF60" s="109"/>
      <c r="AG60" s="109"/>
      <c r="AH60" s="109"/>
      <c r="AI60" s="109"/>
      <c r="AJ60" s="109"/>
    </row>
    <row r="61" spans="1:38" x14ac:dyDescent="0.25">
      <c r="AD61" s="110"/>
      <c r="AE61" s="110"/>
      <c r="AF61" s="110"/>
      <c r="AG61" s="110"/>
      <c r="AH61" s="110"/>
      <c r="AI61" s="110"/>
      <c r="AJ61" s="110"/>
    </row>
    <row r="62" spans="1:38" x14ac:dyDescent="0.25">
      <c r="AD62" s="110"/>
      <c r="AE62" s="110"/>
      <c r="AF62" s="110"/>
      <c r="AG62" s="110"/>
      <c r="AH62" s="110"/>
      <c r="AI62" s="110"/>
      <c r="AJ62" s="110"/>
    </row>
  </sheetData>
  <phoneticPr fontId="12" type="noConversion"/>
  <pageMargins left="0.7" right="0.7" top="0.75" bottom="0.75" header="0.3" footer="0.3"/>
  <pageSetup paperSize="9" orientation="portrait" r:id="rId1"/>
  <cellWatches>
    <cellWatch r="P6"/>
    <cellWatch r="Q6"/>
    <cellWatch r="R6"/>
    <cellWatch r="S6"/>
    <cellWatch r="T6"/>
    <cellWatch r="U6"/>
    <cellWatch r="V6"/>
  </cellWatch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B271A-5858-439A-BC1B-0B21963563B4}">
  <sheetPr>
    <tabColor theme="4" tint="-0.249977111117893"/>
  </sheetPr>
  <dimension ref="B1:AH84"/>
  <sheetViews>
    <sheetView showGridLines="0" zoomScale="55" zoomScaleNormal="55" workbookViewId="0">
      <pane xSplit="3" ySplit="4" topLeftCell="D14" activePane="bottomRight" state="frozen"/>
      <selection pane="topRight" activeCell="D1" sqref="D1"/>
      <selection pane="bottomLeft" activeCell="A5" sqref="A5"/>
      <selection pane="bottomRight" activeCell="AK71" sqref="AK71"/>
    </sheetView>
  </sheetViews>
  <sheetFormatPr defaultRowHeight="15" outlineLevelCol="1" x14ac:dyDescent="0.25"/>
  <cols>
    <col min="1" max="1" width="2.7109375" customWidth="1"/>
    <col min="2" max="2" width="54.42578125" customWidth="1"/>
    <col min="3" max="3" width="47.28515625" hidden="1" customWidth="1" outlineLevel="1"/>
    <col min="4" max="4" width="8" customWidth="1" collapsed="1"/>
    <col min="5" max="11" width="11.5703125" hidden="1" customWidth="1" outlineLevel="1"/>
    <col min="12" max="12" width="2.7109375" hidden="1" customWidth="1" outlineLevel="1"/>
    <col min="13" max="13" width="2.7109375" customWidth="1" collapsed="1"/>
    <col min="14" max="27" width="11.5703125" hidden="1" customWidth="1"/>
    <col min="28" max="34" width="11.5703125" customWidth="1"/>
  </cols>
  <sheetData>
    <row r="1" spans="2:34" ht="12" customHeight="1" x14ac:dyDescent="0.25"/>
    <row r="2" spans="2:34" ht="21" x14ac:dyDescent="0.25">
      <c r="B2" s="14" t="s">
        <v>41</v>
      </c>
      <c r="C2" s="14" t="s">
        <v>221</v>
      </c>
      <c r="D2" s="13"/>
      <c r="E2" s="13"/>
      <c r="F2" s="13"/>
      <c r="G2" s="13"/>
      <c r="H2" s="13"/>
      <c r="I2" s="13"/>
      <c r="J2" s="13"/>
      <c r="K2" s="13"/>
      <c r="L2" s="13"/>
      <c r="M2" s="13"/>
      <c r="N2" s="13"/>
      <c r="O2" s="13"/>
      <c r="P2" s="13"/>
      <c r="Q2" s="13"/>
      <c r="R2" s="13"/>
      <c r="S2" s="13"/>
      <c r="T2" s="13"/>
      <c r="U2" s="13"/>
      <c r="V2" s="79"/>
      <c r="W2" s="79"/>
      <c r="X2" s="79"/>
      <c r="Y2" s="79"/>
      <c r="Z2" s="79"/>
      <c r="AA2" s="79"/>
      <c r="AB2" s="79"/>
      <c r="AC2" s="79"/>
      <c r="AD2" s="79"/>
      <c r="AE2" s="79"/>
      <c r="AF2" s="79"/>
      <c r="AG2" s="79"/>
      <c r="AH2" s="79"/>
    </row>
    <row r="3" spans="2:34" ht="12" customHeight="1" x14ac:dyDescent="0.35">
      <c r="B3" s="1"/>
      <c r="C3" s="1"/>
      <c r="N3" s="19" t="s">
        <v>306</v>
      </c>
      <c r="O3" s="19" t="s">
        <v>307</v>
      </c>
      <c r="P3" s="19" t="s">
        <v>308</v>
      </c>
      <c r="Q3" s="19" t="s">
        <v>309</v>
      </c>
      <c r="R3" s="19" t="s">
        <v>310</v>
      </c>
      <c r="S3" s="19" t="s">
        <v>311</v>
      </c>
      <c r="T3" s="19" t="s">
        <v>312</v>
      </c>
      <c r="U3" s="19" t="s">
        <v>313</v>
      </c>
      <c r="V3" s="19" t="s">
        <v>314</v>
      </c>
      <c r="W3" s="19" t="s">
        <v>315</v>
      </c>
      <c r="X3" s="19" t="s">
        <v>316</v>
      </c>
      <c r="Y3" s="19" t="s">
        <v>318</v>
      </c>
      <c r="Z3" s="19" t="s">
        <v>345</v>
      </c>
      <c r="AA3" s="19" t="s">
        <v>361</v>
      </c>
      <c r="AB3" s="19" t="s">
        <v>367</v>
      </c>
      <c r="AC3" s="19" t="s">
        <v>375</v>
      </c>
      <c r="AD3" s="19" t="s">
        <v>389</v>
      </c>
      <c r="AE3" s="19" t="s">
        <v>405</v>
      </c>
      <c r="AF3" s="19" t="s">
        <v>407</v>
      </c>
      <c r="AG3" s="19" t="s">
        <v>418</v>
      </c>
      <c r="AH3" s="19" t="s">
        <v>428</v>
      </c>
    </row>
    <row r="4" spans="2:34" x14ac:dyDescent="0.25">
      <c r="B4" s="2" t="s">
        <v>0</v>
      </c>
      <c r="C4" s="2" t="s">
        <v>165</v>
      </c>
      <c r="D4" s="3"/>
      <c r="E4" s="19">
        <v>2018</v>
      </c>
      <c r="F4" s="19">
        <v>2019</v>
      </c>
      <c r="G4" s="19">
        <v>2020</v>
      </c>
      <c r="H4" s="18">
        <v>2021</v>
      </c>
      <c r="I4" s="18">
        <v>2022</v>
      </c>
      <c r="J4" s="18">
        <v>2023</v>
      </c>
      <c r="K4" s="18">
        <v>2024</v>
      </c>
      <c r="L4" s="20"/>
      <c r="M4" s="6"/>
      <c r="N4" s="19" t="s">
        <v>86</v>
      </c>
      <c r="O4" s="19" t="s">
        <v>87</v>
      </c>
      <c r="P4" s="19" t="s">
        <v>95</v>
      </c>
      <c r="Q4" s="19" t="s">
        <v>96</v>
      </c>
      <c r="R4" s="19" t="s">
        <v>1</v>
      </c>
      <c r="S4" s="19" t="s">
        <v>2</v>
      </c>
      <c r="T4" s="19" t="s">
        <v>97</v>
      </c>
      <c r="U4" s="19" t="s">
        <v>143</v>
      </c>
      <c r="V4" s="19" t="s">
        <v>158</v>
      </c>
      <c r="W4" s="19" t="s">
        <v>185</v>
      </c>
      <c r="X4" s="19" t="s">
        <v>305</v>
      </c>
      <c r="Y4" s="19" t="s">
        <v>319</v>
      </c>
      <c r="Z4" s="19" t="s">
        <v>346</v>
      </c>
      <c r="AA4" s="19" t="s">
        <v>362</v>
      </c>
      <c r="AB4" s="19" t="s">
        <v>368</v>
      </c>
      <c r="AC4" s="19" t="s">
        <v>376</v>
      </c>
      <c r="AD4" s="19" t="s">
        <v>390</v>
      </c>
      <c r="AE4" s="19" t="s">
        <v>406</v>
      </c>
      <c r="AF4" s="19" t="s">
        <v>408</v>
      </c>
      <c r="AG4" s="19" t="s">
        <v>419</v>
      </c>
      <c r="AH4" s="19" t="s">
        <v>429</v>
      </c>
    </row>
    <row r="5" spans="2:34" ht="6" customHeight="1" x14ac:dyDescent="0.25">
      <c r="L5" s="4"/>
    </row>
    <row r="6" spans="2:34" s="39" customFormat="1" x14ac:dyDescent="0.25">
      <c r="B6" s="5" t="s">
        <v>42</v>
      </c>
      <c r="C6" s="5" t="s">
        <v>222</v>
      </c>
      <c r="D6" s="48"/>
      <c r="E6" s="37">
        <v>9652</v>
      </c>
      <c r="F6" s="37">
        <v>15088</v>
      </c>
      <c r="G6" s="37">
        <v>24479</v>
      </c>
      <c r="H6" s="37">
        <v>89589</v>
      </c>
      <c r="I6" s="37">
        <v>167991</v>
      </c>
      <c r="J6" s="37">
        <v>198835.19999999998</v>
      </c>
      <c r="K6" s="37">
        <f>SUM(AD6:AG6)</f>
        <v>225843.09831999993</v>
      </c>
      <c r="L6" s="41"/>
      <c r="N6" s="37">
        <v>4926</v>
      </c>
      <c r="O6" s="37">
        <v>5209</v>
      </c>
      <c r="P6" s="37">
        <v>6320.1579099999999</v>
      </c>
      <c r="Q6" s="37">
        <v>8023.8420899999983</v>
      </c>
      <c r="R6" s="37">
        <v>11978</v>
      </c>
      <c r="S6" s="37">
        <v>17251</v>
      </c>
      <c r="T6" s="37">
        <v>20929</v>
      </c>
      <c r="U6" s="37">
        <v>39431</v>
      </c>
      <c r="V6" s="37">
        <v>36817</v>
      </c>
      <c r="W6" s="37">
        <v>40546</v>
      </c>
      <c r="X6" s="37">
        <v>50675</v>
      </c>
      <c r="Y6" s="37">
        <v>39953</v>
      </c>
      <c r="Z6" s="37">
        <v>30732</v>
      </c>
      <c r="AA6" s="37">
        <v>47725</v>
      </c>
      <c r="AB6" s="37">
        <v>62951.599999999977</v>
      </c>
      <c r="AC6" s="37">
        <v>57426.599999999977</v>
      </c>
      <c r="AD6" s="37">
        <v>68149</v>
      </c>
      <c r="AE6" s="37">
        <v>64716.917000000147</v>
      </c>
      <c r="AF6" s="37">
        <v>74430.476999999781</v>
      </c>
      <c r="AG6" s="37">
        <v>18546.704320000004</v>
      </c>
      <c r="AH6" s="37">
        <v>7258.0108000000619</v>
      </c>
    </row>
    <row r="7" spans="2:34" x14ac:dyDescent="0.25">
      <c r="L7" s="4"/>
    </row>
    <row r="8" spans="2:34" x14ac:dyDescent="0.25">
      <c r="B8" s="57" t="s">
        <v>43</v>
      </c>
      <c r="C8" s="57" t="s">
        <v>223</v>
      </c>
      <c r="L8" s="4"/>
    </row>
    <row r="9" spans="2:34" s="39" customFormat="1" x14ac:dyDescent="0.25">
      <c r="B9" s="12" t="s">
        <v>44</v>
      </c>
      <c r="C9" s="12" t="s">
        <v>224</v>
      </c>
      <c r="E9" s="35">
        <v>4557</v>
      </c>
      <c r="F9" s="35">
        <v>7001</v>
      </c>
      <c r="G9" s="35">
        <v>16130</v>
      </c>
      <c r="H9" s="35">
        <v>54614</v>
      </c>
      <c r="I9" s="35">
        <v>137166</v>
      </c>
      <c r="J9" s="35">
        <v>185652</v>
      </c>
      <c r="K9" s="35">
        <f t="shared" ref="K9:K70" si="0">SUM(AD9:AG9)</f>
        <v>203479.147</v>
      </c>
      <c r="L9" s="41"/>
      <c r="N9" s="35">
        <v>2383</v>
      </c>
      <c r="O9" s="35">
        <v>3071</v>
      </c>
      <c r="P9" s="35">
        <v>3319</v>
      </c>
      <c r="Q9" s="35">
        <v>7357</v>
      </c>
      <c r="R9" s="35">
        <v>8083</v>
      </c>
      <c r="S9" s="35">
        <v>11084</v>
      </c>
      <c r="T9" s="35">
        <v>11751</v>
      </c>
      <c r="U9" s="35">
        <v>23696</v>
      </c>
      <c r="V9" s="35">
        <v>27027</v>
      </c>
      <c r="W9" s="35">
        <v>31014</v>
      </c>
      <c r="X9" s="35">
        <v>36067</v>
      </c>
      <c r="Y9" s="35">
        <v>43058</v>
      </c>
      <c r="Z9" s="35">
        <v>41718</v>
      </c>
      <c r="AA9" s="35">
        <v>43989</v>
      </c>
      <c r="AB9" s="35">
        <v>47879</v>
      </c>
      <c r="AC9" s="35">
        <v>52066</v>
      </c>
      <c r="AD9" s="35">
        <v>44249.999999999993</v>
      </c>
      <c r="AE9" s="35">
        <v>35248</v>
      </c>
      <c r="AF9" s="35">
        <v>42512</v>
      </c>
      <c r="AG9" s="35">
        <v>81469.146999999997</v>
      </c>
      <c r="AH9" s="35">
        <v>56326</v>
      </c>
    </row>
    <row r="10" spans="2:34" s="39" customFormat="1" x14ac:dyDescent="0.25">
      <c r="B10" s="12" t="s">
        <v>297</v>
      </c>
      <c r="C10" s="12" t="s">
        <v>321</v>
      </c>
      <c r="E10" s="35">
        <v>0</v>
      </c>
      <c r="F10" s="35">
        <v>0</v>
      </c>
      <c r="G10" s="35">
        <v>0</v>
      </c>
      <c r="H10" s="35">
        <v>0</v>
      </c>
      <c r="I10" s="35">
        <v>-8005</v>
      </c>
      <c r="J10" s="35">
        <v>-3749.0955800000002</v>
      </c>
      <c r="K10" s="35">
        <f t="shared" si="0"/>
        <v>0</v>
      </c>
      <c r="L10" s="41"/>
      <c r="N10" s="35">
        <v>0</v>
      </c>
      <c r="O10" s="35">
        <v>0</v>
      </c>
      <c r="P10" s="35">
        <v>0</v>
      </c>
      <c r="Q10" s="35">
        <v>0</v>
      </c>
      <c r="R10" s="35">
        <v>0</v>
      </c>
      <c r="S10" s="35">
        <v>0</v>
      </c>
      <c r="T10" s="35">
        <v>0</v>
      </c>
      <c r="U10" s="35">
        <v>0</v>
      </c>
      <c r="V10" s="35">
        <v>0</v>
      </c>
      <c r="W10" s="35">
        <v>-3710</v>
      </c>
      <c r="X10" s="35">
        <v>-2368</v>
      </c>
      <c r="Y10" s="35">
        <v>-1927</v>
      </c>
      <c r="Z10" s="35">
        <v>-4000</v>
      </c>
      <c r="AA10" s="35">
        <v>-103</v>
      </c>
      <c r="AB10" s="35">
        <v>-110.35709000000043</v>
      </c>
      <c r="AC10" s="35">
        <v>464.26151000000027</v>
      </c>
      <c r="AD10" s="35">
        <v>0</v>
      </c>
      <c r="AE10" s="35">
        <v>-11.172000000000001</v>
      </c>
      <c r="AF10" s="35">
        <v>11.172000000000001</v>
      </c>
      <c r="AG10" s="35">
        <v>0</v>
      </c>
      <c r="AH10" s="35">
        <v>0</v>
      </c>
    </row>
    <row r="11" spans="2:34" s="39" customFormat="1" x14ac:dyDescent="0.25">
      <c r="B11" s="12" t="s">
        <v>45</v>
      </c>
      <c r="C11" s="12" t="s">
        <v>225</v>
      </c>
      <c r="E11" s="35">
        <v>531</v>
      </c>
      <c r="F11" s="35">
        <v>1490</v>
      </c>
      <c r="G11" s="35">
        <v>1405</v>
      </c>
      <c r="H11" s="35">
        <v>0</v>
      </c>
      <c r="I11" s="35">
        <v>0</v>
      </c>
      <c r="J11" s="35">
        <v>0</v>
      </c>
      <c r="K11" s="35">
        <f t="shared" si="0"/>
        <v>0</v>
      </c>
      <c r="L11" s="41"/>
      <c r="N11" s="35">
        <v>282</v>
      </c>
      <c r="O11" s="35">
        <v>0</v>
      </c>
      <c r="P11" s="35">
        <v>356</v>
      </c>
      <c r="Q11" s="35">
        <v>767</v>
      </c>
      <c r="R11" s="35">
        <v>2042</v>
      </c>
      <c r="S11" s="35">
        <v>1114</v>
      </c>
      <c r="T11" s="35">
        <v>1699</v>
      </c>
      <c r="U11" s="35">
        <v>-4855</v>
      </c>
      <c r="V11" s="35">
        <v>0</v>
      </c>
      <c r="W11" s="35">
        <v>0</v>
      </c>
      <c r="X11" s="35">
        <v>0</v>
      </c>
      <c r="Y11" s="35">
        <v>0</v>
      </c>
      <c r="Z11" s="35">
        <v>0</v>
      </c>
      <c r="AA11" s="35">
        <v>0</v>
      </c>
      <c r="AB11" s="35">
        <v>0</v>
      </c>
      <c r="AC11" s="35">
        <v>0</v>
      </c>
      <c r="AD11" s="35">
        <v>0</v>
      </c>
      <c r="AE11" s="35">
        <v>0</v>
      </c>
      <c r="AF11" s="35">
        <v>0</v>
      </c>
      <c r="AG11" s="35"/>
      <c r="AH11" s="35"/>
    </row>
    <row r="12" spans="2:34" s="39" customFormat="1" x14ac:dyDescent="0.25">
      <c r="B12" s="12" t="s">
        <v>100</v>
      </c>
      <c r="C12" s="12" t="s">
        <v>328</v>
      </c>
      <c r="E12" s="35">
        <v>0</v>
      </c>
      <c r="F12" s="35">
        <v>0</v>
      </c>
      <c r="G12" s="35">
        <v>0</v>
      </c>
      <c r="H12" s="35">
        <v>7480</v>
      </c>
      <c r="I12" s="35">
        <v>37613</v>
      </c>
      <c r="J12" s="35">
        <v>81661</v>
      </c>
      <c r="K12" s="35">
        <f t="shared" si="0"/>
        <v>115780.37611999999</v>
      </c>
      <c r="L12" s="41"/>
      <c r="N12" s="35">
        <v>0</v>
      </c>
      <c r="O12" s="35">
        <v>0</v>
      </c>
      <c r="P12" s="35">
        <v>0</v>
      </c>
      <c r="Q12" s="35">
        <v>0</v>
      </c>
      <c r="R12" s="35">
        <v>0</v>
      </c>
      <c r="S12" s="35">
        <v>0</v>
      </c>
      <c r="T12" s="35">
        <v>2548</v>
      </c>
      <c r="U12" s="35">
        <v>4932</v>
      </c>
      <c r="V12" s="35">
        <v>7453</v>
      </c>
      <c r="W12" s="35">
        <v>8596</v>
      </c>
      <c r="X12" s="35">
        <v>14729</v>
      </c>
      <c r="Y12" s="35">
        <v>6835</v>
      </c>
      <c r="Z12" s="35">
        <v>25956</v>
      </c>
      <c r="AA12" s="35">
        <v>13556</v>
      </c>
      <c r="AB12" s="35">
        <v>14841</v>
      </c>
      <c r="AC12" s="35">
        <v>27308</v>
      </c>
      <c r="AD12" s="35">
        <v>20325</v>
      </c>
      <c r="AE12" s="35">
        <v>16054</v>
      </c>
      <c r="AF12" s="35">
        <v>40620.756399999897</v>
      </c>
      <c r="AG12" s="35">
        <v>38780.61972000009</v>
      </c>
      <c r="AH12" s="35">
        <v>57485.723939999996</v>
      </c>
    </row>
    <row r="13" spans="2:34" s="39" customFormat="1" x14ac:dyDescent="0.25">
      <c r="B13" s="12" t="s">
        <v>46</v>
      </c>
      <c r="C13" s="12" t="s">
        <v>226</v>
      </c>
      <c r="E13" s="35">
        <v>0</v>
      </c>
      <c r="F13" s="35">
        <v>0</v>
      </c>
      <c r="G13" s="35">
        <v>608</v>
      </c>
      <c r="H13" s="35">
        <v>0</v>
      </c>
      <c r="I13" s="35">
        <v>0</v>
      </c>
      <c r="J13" s="35">
        <v>0</v>
      </c>
      <c r="K13" s="35">
        <f t="shared" si="0"/>
        <v>0</v>
      </c>
      <c r="L13" s="41"/>
      <c r="N13" s="35">
        <v>0</v>
      </c>
      <c r="O13" s="35">
        <v>0</v>
      </c>
      <c r="P13" s="35">
        <v>-1</v>
      </c>
      <c r="Q13" s="35">
        <v>609</v>
      </c>
      <c r="R13" s="35">
        <v>360</v>
      </c>
      <c r="S13" s="35">
        <v>-360</v>
      </c>
      <c r="T13" s="35">
        <v>0</v>
      </c>
      <c r="U13" s="35">
        <v>0</v>
      </c>
      <c r="V13" s="35">
        <v>0</v>
      </c>
      <c r="W13" s="35">
        <v>0</v>
      </c>
      <c r="X13" s="35">
        <v>0</v>
      </c>
      <c r="Y13" s="35">
        <v>0</v>
      </c>
      <c r="Z13" s="35">
        <v>0</v>
      </c>
      <c r="AA13" s="35">
        <v>0</v>
      </c>
      <c r="AB13" s="35">
        <v>0</v>
      </c>
      <c r="AC13" s="35">
        <v>0</v>
      </c>
      <c r="AD13" s="35">
        <v>0</v>
      </c>
      <c r="AE13" s="35">
        <v>0</v>
      </c>
      <c r="AF13" s="35">
        <v>0</v>
      </c>
      <c r="AG13" s="35">
        <v>0</v>
      </c>
      <c r="AH13" s="35">
        <v>0</v>
      </c>
    </row>
    <row r="14" spans="2:34" s="39" customFormat="1" x14ac:dyDescent="0.25">
      <c r="B14" s="12" t="s">
        <v>147</v>
      </c>
      <c r="C14" s="12" t="s">
        <v>329</v>
      </c>
      <c r="E14" s="35">
        <v>0</v>
      </c>
      <c r="F14" s="35">
        <v>0</v>
      </c>
      <c r="G14" s="35">
        <v>0</v>
      </c>
      <c r="H14" s="35">
        <v>-1765</v>
      </c>
      <c r="I14" s="35">
        <v>0</v>
      </c>
      <c r="J14" s="35">
        <v>0</v>
      </c>
      <c r="K14" s="35">
        <f t="shared" si="0"/>
        <v>0</v>
      </c>
      <c r="L14" s="41"/>
      <c r="N14" s="35">
        <v>0</v>
      </c>
      <c r="O14" s="35">
        <v>0</v>
      </c>
      <c r="P14" s="35">
        <v>0</v>
      </c>
      <c r="Q14" s="35">
        <v>0</v>
      </c>
      <c r="R14" s="35">
        <v>0</v>
      </c>
      <c r="S14" s="35">
        <v>0</v>
      </c>
      <c r="T14" s="35">
        <v>0</v>
      </c>
      <c r="U14" s="35">
        <v>-1765</v>
      </c>
      <c r="V14" s="35">
        <v>0</v>
      </c>
      <c r="W14" s="35">
        <v>0</v>
      </c>
      <c r="X14" s="35">
        <v>-2728</v>
      </c>
      <c r="Y14" s="35">
        <v>2728</v>
      </c>
      <c r="Z14" s="35">
        <v>0</v>
      </c>
      <c r="AA14" s="35">
        <v>0</v>
      </c>
      <c r="AB14" s="35">
        <v>0</v>
      </c>
      <c r="AC14" s="35">
        <v>0</v>
      </c>
      <c r="AD14" s="35">
        <v>0</v>
      </c>
      <c r="AE14" s="35">
        <v>0</v>
      </c>
      <c r="AF14" s="35">
        <v>0</v>
      </c>
      <c r="AG14" s="35">
        <v>0</v>
      </c>
      <c r="AH14" s="35">
        <v>0</v>
      </c>
    </row>
    <row r="15" spans="2:34" s="39" customFormat="1" x14ac:dyDescent="0.25">
      <c r="B15" s="12" t="s">
        <v>47</v>
      </c>
      <c r="C15" s="12" t="s">
        <v>227</v>
      </c>
      <c r="E15" s="35">
        <v>0</v>
      </c>
      <c r="F15" s="35">
        <v>-2</v>
      </c>
      <c r="G15" s="35">
        <v>-5</v>
      </c>
      <c r="H15" s="35">
        <v>1786</v>
      </c>
      <c r="I15" s="35">
        <v>0</v>
      </c>
      <c r="J15" s="35">
        <v>0</v>
      </c>
      <c r="K15" s="35">
        <f t="shared" si="0"/>
        <v>0</v>
      </c>
      <c r="L15" s="41"/>
      <c r="N15" s="35">
        <v>0</v>
      </c>
      <c r="O15" s="35">
        <v>0</v>
      </c>
      <c r="P15" s="35">
        <v>0</v>
      </c>
      <c r="Q15" s="35">
        <v>-5</v>
      </c>
      <c r="R15" s="35">
        <v>0</v>
      </c>
      <c r="S15" s="35">
        <v>-25</v>
      </c>
      <c r="T15" s="35">
        <v>-1739</v>
      </c>
      <c r="U15" s="35">
        <v>3550</v>
      </c>
      <c r="V15" s="35">
        <v>727</v>
      </c>
      <c r="W15" s="35">
        <v>-749</v>
      </c>
      <c r="X15" s="35">
        <v>-135</v>
      </c>
      <c r="Y15" s="35">
        <v>157</v>
      </c>
      <c r="Z15" s="35">
        <v>0</v>
      </c>
      <c r="AA15" s="35">
        <v>2397</v>
      </c>
      <c r="AB15" s="35">
        <v>0</v>
      </c>
      <c r="AC15" s="35">
        <v>0</v>
      </c>
      <c r="AD15" s="35">
        <v>0</v>
      </c>
      <c r="AE15" s="35">
        <v>0</v>
      </c>
      <c r="AF15" s="35">
        <v>0</v>
      </c>
      <c r="AG15" s="35">
        <v>0</v>
      </c>
      <c r="AH15" s="35">
        <v>0</v>
      </c>
    </row>
    <row r="16" spans="2:34" s="39" customFormat="1" x14ac:dyDescent="0.25">
      <c r="B16" s="12" t="s">
        <v>298</v>
      </c>
      <c r="C16" s="12" t="s">
        <v>302</v>
      </c>
      <c r="E16" s="35"/>
      <c r="F16" s="35"/>
      <c r="G16" s="35"/>
      <c r="H16" s="35"/>
      <c r="I16" s="35">
        <v>4814</v>
      </c>
      <c r="J16" s="35">
        <v>4841</v>
      </c>
      <c r="K16" s="35">
        <f t="shared" si="0"/>
        <v>2191.5420340507926</v>
      </c>
      <c r="L16" s="41"/>
      <c r="N16" s="35"/>
      <c r="O16" s="35"/>
      <c r="P16" s="35"/>
      <c r="Q16" s="35"/>
      <c r="R16" s="35"/>
      <c r="S16" s="35"/>
      <c r="T16" s="35"/>
      <c r="U16" s="35"/>
      <c r="V16" s="35"/>
      <c r="W16" s="35">
        <v>1563</v>
      </c>
      <c r="X16" s="35">
        <v>787</v>
      </c>
      <c r="Y16" s="35">
        <v>2464</v>
      </c>
      <c r="Z16" s="35">
        <v>2217</v>
      </c>
      <c r="AA16" s="35">
        <v>0</v>
      </c>
      <c r="AB16" s="35">
        <v>-1160</v>
      </c>
      <c r="AC16" s="35">
        <v>1387</v>
      </c>
      <c r="AD16" s="35">
        <v>826</v>
      </c>
      <c r="AE16" s="35">
        <v>1581.1153477958046</v>
      </c>
      <c r="AF16" s="35">
        <v>897.35230824841756</v>
      </c>
      <c r="AG16" s="35">
        <v>-1112.9256219934296</v>
      </c>
      <c r="AH16" s="35">
        <v>-5253.4671649885659</v>
      </c>
    </row>
    <row r="17" spans="2:34" s="39" customFormat="1" x14ac:dyDescent="0.25">
      <c r="B17" s="12" t="s">
        <v>48</v>
      </c>
      <c r="C17" s="12" t="s">
        <v>228</v>
      </c>
      <c r="E17" s="35">
        <v>70</v>
      </c>
      <c r="F17" s="35">
        <v>50</v>
      </c>
      <c r="G17" s="35">
        <v>0</v>
      </c>
      <c r="H17" s="35">
        <v>0</v>
      </c>
      <c r="I17" s="35">
        <v>0</v>
      </c>
      <c r="J17" s="35">
        <v>0</v>
      </c>
      <c r="K17" s="35">
        <f t="shared" si="0"/>
        <v>0</v>
      </c>
      <c r="L17" s="41"/>
      <c r="N17" s="35">
        <v>0</v>
      </c>
      <c r="O17" s="35">
        <v>0</v>
      </c>
      <c r="P17" s="35">
        <v>-138.173</v>
      </c>
      <c r="Q17" s="35">
        <v>138.173</v>
      </c>
      <c r="R17" s="35">
        <v>0</v>
      </c>
      <c r="S17" s="35">
        <v>0</v>
      </c>
      <c r="T17" s="35">
        <v>-457</v>
      </c>
      <c r="U17" s="35">
        <v>457</v>
      </c>
      <c r="V17" s="35">
        <v>1154</v>
      </c>
      <c r="W17" s="35">
        <v>-1154</v>
      </c>
      <c r="X17" s="35">
        <v>0</v>
      </c>
      <c r="Y17" s="35">
        <v>0</v>
      </c>
      <c r="Z17" s="35">
        <v>0</v>
      </c>
      <c r="AA17" s="35">
        <v>0</v>
      </c>
      <c r="AB17" s="35"/>
      <c r="AC17" s="35">
        <v>0</v>
      </c>
      <c r="AD17" s="35">
        <v>0</v>
      </c>
      <c r="AE17" s="35">
        <v>0</v>
      </c>
      <c r="AF17" s="35">
        <v>0</v>
      </c>
    </row>
    <row r="18" spans="2:34" s="39" customFormat="1" x14ac:dyDescent="0.25">
      <c r="B18" s="12" t="s">
        <v>49</v>
      </c>
      <c r="C18" s="12" t="s">
        <v>229</v>
      </c>
      <c r="E18" s="35">
        <v>0</v>
      </c>
      <c r="F18" s="35">
        <v>397</v>
      </c>
      <c r="G18" s="35">
        <v>280</v>
      </c>
      <c r="H18" s="35">
        <v>666</v>
      </c>
      <c r="I18" s="35">
        <v>5266</v>
      </c>
      <c r="J18" s="35">
        <v>10873</v>
      </c>
      <c r="K18" s="35">
        <f t="shared" si="0"/>
        <v>10533.88085</v>
      </c>
      <c r="L18" s="41"/>
      <c r="N18" s="35">
        <v>206</v>
      </c>
      <c r="O18" s="35">
        <v>296</v>
      </c>
      <c r="P18" s="35">
        <v>0</v>
      </c>
      <c r="Q18" s="35">
        <v>-222</v>
      </c>
      <c r="R18" s="35">
        <v>140</v>
      </c>
      <c r="S18" s="35">
        <v>871</v>
      </c>
      <c r="T18" s="35">
        <v>0</v>
      </c>
      <c r="U18" s="35">
        <v>-345</v>
      </c>
      <c r="V18" s="35">
        <v>0</v>
      </c>
      <c r="W18" s="35">
        <v>3647</v>
      </c>
      <c r="X18" s="35">
        <v>717</v>
      </c>
      <c r="Y18" s="35">
        <v>902</v>
      </c>
      <c r="Z18" s="35">
        <v>1881</v>
      </c>
      <c r="AA18" s="35">
        <v>1667</v>
      </c>
      <c r="AB18" s="35">
        <v>3050</v>
      </c>
      <c r="AC18" s="35">
        <v>4275</v>
      </c>
      <c r="AD18" s="35">
        <v>3179.6181699999997</v>
      </c>
      <c r="AE18" s="35">
        <v>3101.5378999999994</v>
      </c>
      <c r="AF18" s="35">
        <v>2345.8734600000007</v>
      </c>
      <c r="AG18" s="35">
        <v>1906.8513199999998</v>
      </c>
      <c r="AH18" s="35">
        <v>8143.6759600000005</v>
      </c>
    </row>
    <row r="19" spans="2:34" s="39" customFormat="1" x14ac:dyDescent="0.25">
      <c r="B19" s="12" t="s">
        <v>348</v>
      </c>
      <c r="C19" s="12" t="s">
        <v>230</v>
      </c>
      <c r="E19" s="35">
        <v>0</v>
      </c>
      <c r="F19" s="35">
        <v>0</v>
      </c>
      <c r="G19" s="35">
        <v>0</v>
      </c>
      <c r="H19" s="35">
        <v>1337</v>
      </c>
      <c r="I19" s="35">
        <v>3639</v>
      </c>
      <c r="J19" s="35">
        <v>2230.9250000000002</v>
      </c>
      <c r="K19" s="35">
        <f t="shared" si="0"/>
        <v>3720.9201297696081</v>
      </c>
      <c r="L19" s="41"/>
      <c r="N19" s="35">
        <v>0</v>
      </c>
      <c r="O19" s="35">
        <v>0</v>
      </c>
      <c r="P19" s="35">
        <v>0</v>
      </c>
      <c r="Q19" s="35">
        <v>0</v>
      </c>
      <c r="R19" s="35">
        <v>0</v>
      </c>
      <c r="S19" s="35">
        <v>0</v>
      </c>
      <c r="T19" s="35">
        <v>0</v>
      </c>
      <c r="U19" s="35">
        <v>1337</v>
      </c>
      <c r="V19" s="35">
        <v>1813</v>
      </c>
      <c r="W19" s="35">
        <v>506</v>
      </c>
      <c r="X19" s="35">
        <v>-4765</v>
      </c>
      <c r="Y19" s="35">
        <v>6085</v>
      </c>
      <c r="Z19" s="35">
        <v>577</v>
      </c>
      <c r="AA19" s="35">
        <v>575</v>
      </c>
      <c r="AB19" s="35">
        <v>580</v>
      </c>
      <c r="AC19" s="35">
        <v>498.92500000000018</v>
      </c>
      <c r="AD19" s="35">
        <v>473.9999999999992</v>
      </c>
      <c r="AE19" s="35">
        <v>481.00000000000057</v>
      </c>
      <c r="AF19" s="35">
        <v>1421.1901799999996</v>
      </c>
      <c r="AG19" s="35">
        <v>1344.7299497696085</v>
      </c>
      <c r="AH19" s="35">
        <v>4349</v>
      </c>
    </row>
    <row r="20" spans="2:34" s="39" customFormat="1" x14ac:dyDescent="0.25">
      <c r="B20" s="12" t="s">
        <v>161</v>
      </c>
      <c r="C20" s="12" t="s">
        <v>231</v>
      </c>
      <c r="E20" s="35"/>
      <c r="F20" s="35"/>
      <c r="G20" s="35"/>
      <c r="H20" s="35"/>
      <c r="I20" s="35">
        <v>-3222</v>
      </c>
      <c r="J20" s="35">
        <v>0</v>
      </c>
      <c r="K20" s="35">
        <f t="shared" si="0"/>
        <v>0</v>
      </c>
      <c r="L20" s="41"/>
      <c r="N20" s="35"/>
      <c r="O20" s="35"/>
      <c r="P20" s="35"/>
      <c r="Q20" s="35"/>
      <c r="R20" s="35"/>
      <c r="S20" s="35"/>
      <c r="T20" s="35">
        <v>0</v>
      </c>
      <c r="U20" s="35">
        <v>0</v>
      </c>
      <c r="V20" s="35">
        <v>-3054</v>
      </c>
      <c r="W20" s="35">
        <v>-255</v>
      </c>
      <c r="X20" s="35">
        <v>233</v>
      </c>
      <c r="Y20" s="35">
        <v>-146</v>
      </c>
      <c r="Z20" s="101">
        <v>0</v>
      </c>
      <c r="AA20" s="101">
        <v>0</v>
      </c>
      <c r="AB20" s="101">
        <v>0</v>
      </c>
      <c r="AC20" s="101">
        <v>0</v>
      </c>
      <c r="AD20" s="101">
        <v>0</v>
      </c>
      <c r="AE20" s="101">
        <v>0</v>
      </c>
      <c r="AF20" s="101">
        <v>0</v>
      </c>
      <c r="AG20" s="101">
        <v>0</v>
      </c>
      <c r="AH20" s="101">
        <v>0</v>
      </c>
    </row>
    <row r="21" spans="2:34" s="39" customFormat="1" x14ac:dyDescent="0.25">
      <c r="B21" s="12" t="s">
        <v>50</v>
      </c>
      <c r="C21" s="12" t="s">
        <v>232</v>
      </c>
      <c r="E21" s="35">
        <v>0</v>
      </c>
      <c r="F21" s="35">
        <v>0</v>
      </c>
      <c r="G21" s="35">
        <v>268</v>
      </c>
      <c r="H21" s="35">
        <v>1601</v>
      </c>
      <c r="I21" s="35">
        <v>5776</v>
      </c>
      <c r="J21" s="35">
        <v>10339</v>
      </c>
      <c r="K21" s="35">
        <f t="shared" si="0"/>
        <v>11805.72922196634</v>
      </c>
      <c r="L21" s="41"/>
      <c r="N21" s="35">
        <v>16</v>
      </c>
      <c r="O21" s="35">
        <v>25</v>
      </c>
      <c r="P21" s="35">
        <v>39</v>
      </c>
      <c r="Q21" s="35">
        <v>188</v>
      </c>
      <c r="R21" s="35">
        <v>242</v>
      </c>
      <c r="S21" s="35">
        <v>292</v>
      </c>
      <c r="T21" s="35">
        <v>417</v>
      </c>
      <c r="U21" s="35">
        <v>650</v>
      </c>
      <c r="V21" s="35">
        <v>838.56727932074841</v>
      </c>
      <c r="W21" s="35">
        <v>857.43272067925159</v>
      </c>
      <c r="X21" s="35">
        <v>1618.0000000000002</v>
      </c>
      <c r="Y21" s="35">
        <v>2462</v>
      </c>
      <c r="Z21" s="35">
        <v>2452.62208931856</v>
      </c>
      <c r="AA21" s="35">
        <v>2535.5818770075703</v>
      </c>
      <c r="AB21" s="35">
        <v>4565.6655024049005</v>
      </c>
      <c r="AC21" s="35">
        <v>785.13053126896921</v>
      </c>
      <c r="AD21" s="35">
        <v>2685.1</v>
      </c>
      <c r="AE21" s="35">
        <v>2908.1792842246205</v>
      </c>
      <c r="AF21" s="35">
        <v>2821.9906992603001</v>
      </c>
      <c r="AG21" s="35">
        <v>3390.4592384814214</v>
      </c>
      <c r="AH21" s="35">
        <v>3014.2035205606717</v>
      </c>
    </row>
    <row r="22" spans="2:34" s="39" customFormat="1" x14ac:dyDescent="0.25">
      <c r="B22" s="12" t="s">
        <v>51</v>
      </c>
      <c r="C22" s="12" t="s">
        <v>233</v>
      </c>
      <c r="E22" s="35">
        <v>4723</v>
      </c>
      <c r="F22" s="35">
        <v>6817</v>
      </c>
      <c r="G22" s="35">
        <v>14802</v>
      </c>
      <c r="H22" s="35">
        <v>62107</v>
      </c>
      <c r="I22" s="35">
        <v>256832</v>
      </c>
      <c r="J22" s="35">
        <v>303979.1878999999</v>
      </c>
      <c r="K22" s="35">
        <f t="shared" si="0"/>
        <v>345493.18271198688</v>
      </c>
      <c r="L22" s="41"/>
      <c r="N22" s="35">
        <v>2329</v>
      </c>
      <c r="O22" s="35">
        <v>2891</v>
      </c>
      <c r="P22" s="35">
        <v>3860</v>
      </c>
      <c r="Q22" s="35">
        <v>5722</v>
      </c>
      <c r="R22" s="35">
        <v>6625</v>
      </c>
      <c r="S22" s="35">
        <v>9929</v>
      </c>
      <c r="T22" s="35">
        <v>15615</v>
      </c>
      <c r="U22" s="35">
        <v>29938</v>
      </c>
      <c r="V22" s="35">
        <v>60553</v>
      </c>
      <c r="W22" s="35">
        <v>60413</v>
      </c>
      <c r="X22" s="35">
        <v>63511</v>
      </c>
      <c r="Y22" s="35">
        <v>72355</v>
      </c>
      <c r="Z22" s="35">
        <v>82154.265460000024</v>
      </c>
      <c r="AA22" s="35">
        <v>76481.51357999997</v>
      </c>
      <c r="AB22" s="35">
        <v>74963.127606031019</v>
      </c>
      <c r="AC22" s="35">
        <v>70380.281253968889</v>
      </c>
      <c r="AD22" s="35">
        <v>72312.368689431343</v>
      </c>
      <c r="AE22" s="35">
        <v>88185</v>
      </c>
      <c r="AF22" s="35">
        <v>88536.94472</v>
      </c>
      <c r="AG22" s="35">
        <v>96458.86930255554</v>
      </c>
      <c r="AH22" s="35">
        <v>86789.600184058363</v>
      </c>
    </row>
    <row r="23" spans="2:34" s="39" customFormat="1" x14ac:dyDescent="0.25">
      <c r="B23" s="12" t="s">
        <v>349</v>
      </c>
      <c r="C23" s="12" t="s">
        <v>357</v>
      </c>
      <c r="E23" s="35"/>
      <c r="F23" s="35"/>
      <c r="G23" s="35"/>
      <c r="H23" s="35"/>
      <c r="I23" s="35"/>
      <c r="J23" s="35">
        <v>33165.284624854379</v>
      </c>
      <c r="K23" s="35">
        <f t="shared" si="0"/>
        <v>46331.38175</v>
      </c>
      <c r="L23" s="41"/>
      <c r="N23" s="35">
        <v>0</v>
      </c>
      <c r="O23" s="35">
        <v>0</v>
      </c>
      <c r="P23" s="35">
        <v>0</v>
      </c>
      <c r="Q23" s="35">
        <v>0</v>
      </c>
      <c r="R23" s="35">
        <v>0</v>
      </c>
      <c r="S23" s="35">
        <v>0</v>
      </c>
      <c r="T23" s="35">
        <v>0</v>
      </c>
      <c r="U23" s="35">
        <v>0</v>
      </c>
      <c r="V23" s="35">
        <v>0</v>
      </c>
      <c r="W23" s="35">
        <v>0</v>
      </c>
      <c r="X23" s="35">
        <v>0</v>
      </c>
      <c r="Y23" s="35">
        <v>0</v>
      </c>
      <c r="Z23" s="35">
        <v>5138</v>
      </c>
      <c r="AA23" s="35">
        <v>7358.0564400020994</v>
      </c>
      <c r="AB23" s="35">
        <v>8464.9435599979006</v>
      </c>
      <c r="AC23" s="35">
        <v>12204.284624854379</v>
      </c>
      <c r="AD23" s="35">
        <v>9721</v>
      </c>
      <c r="AE23" s="35">
        <v>10354.301500000001</v>
      </c>
      <c r="AF23" s="35">
        <v>13947.302680000001</v>
      </c>
      <c r="AG23" s="35">
        <v>12308.777569999998</v>
      </c>
      <c r="AH23" s="35">
        <v>9973.3218699999998</v>
      </c>
    </row>
    <row r="24" spans="2:34" s="39" customFormat="1" x14ac:dyDescent="0.25">
      <c r="B24" s="12" t="s">
        <v>350</v>
      </c>
      <c r="C24" s="12" t="s">
        <v>358</v>
      </c>
      <c r="E24" s="35"/>
      <c r="F24" s="35"/>
      <c r="G24" s="35"/>
      <c r="H24" s="35"/>
      <c r="I24" s="35"/>
      <c r="J24" s="35">
        <v>0</v>
      </c>
      <c r="K24" s="35">
        <f t="shared" si="0"/>
        <v>1177.7105462508366</v>
      </c>
      <c r="L24" s="41"/>
      <c r="N24" s="35">
        <v>0</v>
      </c>
      <c r="O24" s="35">
        <v>0</v>
      </c>
      <c r="P24" s="35">
        <v>0</v>
      </c>
      <c r="Q24" s="35">
        <v>0</v>
      </c>
      <c r="R24" s="35">
        <v>0</v>
      </c>
      <c r="S24" s="35">
        <v>0</v>
      </c>
      <c r="T24" s="35">
        <v>0</v>
      </c>
      <c r="U24" s="35">
        <v>0</v>
      </c>
      <c r="V24" s="35">
        <v>0</v>
      </c>
      <c r="W24" s="35">
        <v>0</v>
      </c>
      <c r="X24" s="35">
        <v>0</v>
      </c>
      <c r="Y24" s="35">
        <v>0</v>
      </c>
      <c r="Z24" s="35">
        <v>-66</v>
      </c>
      <c r="AA24" s="35">
        <v>186</v>
      </c>
      <c r="AB24" s="35">
        <v>-557</v>
      </c>
      <c r="AC24" s="35">
        <v>437</v>
      </c>
      <c r="AD24" s="35">
        <v>39</v>
      </c>
      <c r="AE24" s="35">
        <v>240</v>
      </c>
      <c r="AF24" s="35">
        <v>82.496288612336798</v>
      </c>
      <c r="AG24" s="35">
        <v>816.21425763849993</v>
      </c>
      <c r="AH24" s="35">
        <v>215.36882246899054</v>
      </c>
    </row>
    <row r="25" spans="2:34" s="39" customFormat="1" x14ac:dyDescent="0.25">
      <c r="B25" s="12" t="s">
        <v>378</v>
      </c>
      <c r="C25" s="12" t="s">
        <v>391</v>
      </c>
      <c r="E25" s="35"/>
      <c r="F25" s="35"/>
      <c r="G25" s="35"/>
      <c r="H25" s="35"/>
      <c r="I25" s="35"/>
      <c r="J25" s="35">
        <v>-32074</v>
      </c>
      <c r="K25" s="35">
        <f t="shared" si="0"/>
        <v>-79528.874911060455</v>
      </c>
      <c r="L25" s="41"/>
      <c r="N25" s="35"/>
      <c r="O25" s="35"/>
      <c r="P25" s="35"/>
      <c r="Q25" s="35"/>
      <c r="R25" s="35"/>
      <c r="S25" s="35"/>
      <c r="T25" s="35"/>
      <c r="U25" s="35"/>
      <c r="V25" s="35"/>
      <c r="W25" s="35"/>
      <c r="X25" s="35">
        <v>0</v>
      </c>
      <c r="Y25" s="35">
        <v>0</v>
      </c>
      <c r="Z25" s="35">
        <v>0</v>
      </c>
      <c r="AA25" s="35">
        <v>0</v>
      </c>
      <c r="AB25" s="35">
        <v>0</v>
      </c>
      <c r="AC25" s="35">
        <v>-32074</v>
      </c>
      <c r="AD25" s="35">
        <v>-14896.217790259367</v>
      </c>
      <c r="AE25" s="35">
        <v>-39141.963113291858</v>
      </c>
      <c r="AF25" s="35">
        <v>941.96557167473657</v>
      </c>
      <c r="AG25" s="35">
        <v>-26432.659579183965</v>
      </c>
      <c r="AH25" s="35">
        <v>-6410.3384682829219</v>
      </c>
    </row>
    <row r="26" spans="2:34" s="39" customFormat="1" x14ac:dyDescent="0.25">
      <c r="B26" s="12" t="s">
        <v>330</v>
      </c>
      <c r="C26" s="12" t="s">
        <v>322</v>
      </c>
      <c r="E26" s="35">
        <v>0</v>
      </c>
      <c r="F26" s="35">
        <v>0</v>
      </c>
      <c r="G26" s="35">
        <v>0</v>
      </c>
      <c r="H26" s="35">
        <v>0</v>
      </c>
      <c r="I26" s="35">
        <v>64</v>
      </c>
      <c r="J26" s="35">
        <v>-556</v>
      </c>
      <c r="K26" s="35">
        <f t="shared" si="0"/>
        <v>2190.25430998</v>
      </c>
      <c r="L26" s="41"/>
      <c r="N26" s="35">
        <v>0</v>
      </c>
      <c r="O26" s="35">
        <v>0</v>
      </c>
      <c r="P26" s="35">
        <v>0</v>
      </c>
      <c r="Q26" s="35">
        <v>0</v>
      </c>
      <c r="R26" s="35">
        <v>0</v>
      </c>
      <c r="S26" s="35">
        <v>0</v>
      </c>
      <c r="T26" s="35">
        <v>0</v>
      </c>
      <c r="U26" s="35">
        <v>0</v>
      </c>
      <c r="V26" s="35">
        <v>0</v>
      </c>
      <c r="W26" s="35">
        <v>0</v>
      </c>
      <c r="X26" s="35">
        <v>0</v>
      </c>
      <c r="Y26" s="35">
        <v>64</v>
      </c>
      <c r="Z26" s="35">
        <v>0</v>
      </c>
      <c r="AA26" s="35">
        <v>0</v>
      </c>
      <c r="AB26" s="35">
        <v>0</v>
      </c>
      <c r="AC26" s="35">
        <v>-556</v>
      </c>
      <c r="AD26" s="35">
        <v>0</v>
      </c>
      <c r="AE26" s="35">
        <v>450.41357212399998</v>
      </c>
      <c r="AF26" s="35">
        <v>116.58642787600002</v>
      </c>
      <c r="AG26" s="35">
        <v>1623.25430998</v>
      </c>
      <c r="AH26" s="35">
        <v>197.79699000000002</v>
      </c>
    </row>
    <row r="27" spans="2:34" x14ac:dyDescent="0.25">
      <c r="K27" s="35">
        <f>153+1098+2440-2127</f>
        <v>1564</v>
      </c>
      <c r="L27" s="4"/>
    </row>
    <row r="28" spans="2:34" x14ac:dyDescent="0.25">
      <c r="B28" s="57" t="s">
        <v>52</v>
      </c>
      <c r="C28" s="57" t="s">
        <v>234</v>
      </c>
      <c r="L28" s="4"/>
    </row>
    <row r="29" spans="2:34" s="39" customFormat="1" x14ac:dyDescent="0.25">
      <c r="B29" s="12" t="s">
        <v>17</v>
      </c>
      <c r="C29" s="12" t="s">
        <v>235</v>
      </c>
      <c r="E29" s="35">
        <v>-2000</v>
      </c>
      <c r="F29" s="35">
        <v>-3303</v>
      </c>
      <c r="G29" s="35">
        <v>-15685</v>
      </c>
      <c r="H29" s="35">
        <v>-106896</v>
      </c>
      <c r="I29" s="35">
        <v>-72267</v>
      </c>
      <c r="J29" s="35">
        <v>-98969</v>
      </c>
      <c r="K29" s="35">
        <f t="shared" si="0"/>
        <v>-228070.65468000004</v>
      </c>
      <c r="L29" s="41"/>
      <c r="N29" s="35">
        <v>-4041</v>
      </c>
      <c r="O29" s="35">
        <v>1186</v>
      </c>
      <c r="P29" s="35">
        <v>-6238</v>
      </c>
      <c r="Q29" s="35">
        <v>-6592</v>
      </c>
      <c r="R29" s="35">
        <v>-16651</v>
      </c>
      <c r="S29" s="35">
        <v>-26455</v>
      </c>
      <c r="T29" s="35">
        <v>-32976</v>
      </c>
      <c r="U29" s="35">
        <v>-30814</v>
      </c>
      <c r="V29" s="35">
        <v>-63168</v>
      </c>
      <c r="W29" s="35">
        <v>-42130</v>
      </c>
      <c r="X29" s="35">
        <v>4419</v>
      </c>
      <c r="Y29" s="35">
        <v>6990</v>
      </c>
      <c r="Z29" s="35">
        <v>-15923</v>
      </c>
      <c r="AA29" s="35">
        <v>-15672</v>
      </c>
      <c r="AB29" s="35">
        <v>-49449</v>
      </c>
      <c r="AC29" s="35">
        <v>-17925</v>
      </c>
      <c r="AD29" s="35">
        <v>-81279</v>
      </c>
      <c r="AE29" s="35">
        <v>-51757.719899999967</v>
      </c>
      <c r="AF29" s="35">
        <v>-34181.439460000052</v>
      </c>
      <c r="AG29" s="35">
        <v>-60852.495320000016</v>
      </c>
      <c r="AH29" s="35">
        <v>175341.97404000003</v>
      </c>
    </row>
    <row r="30" spans="2:34" s="39" customFormat="1" x14ac:dyDescent="0.25">
      <c r="B30" s="12" t="s">
        <v>53</v>
      </c>
      <c r="C30" s="12" t="s">
        <v>190</v>
      </c>
      <c r="E30" s="35">
        <v>-334</v>
      </c>
      <c r="F30" s="35">
        <v>552</v>
      </c>
      <c r="G30" s="35">
        <v>-8158</v>
      </c>
      <c r="H30" s="35">
        <v>-22546</v>
      </c>
      <c r="I30" s="35">
        <v>-35269</v>
      </c>
      <c r="J30" s="35">
        <v>35008</v>
      </c>
      <c r="K30" s="35">
        <f t="shared" si="0"/>
        <v>5324.0039999999981</v>
      </c>
      <c r="L30" s="41"/>
      <c r="N30" s="35">
        <v>-1096</v>
      </c>
      <c r="O30" s="35">
        <v>-1346</v>
      </c>
      <c r="P30" s="35">
        <v>-4325</v>
      </c>
      <c r="Q30" s="35">
        <v>-1391</v>
      </c>
      <c r="R30" s="35">
        <v>-3969</v>
      </c>
      <c r="S30" s="35">
        <v>-10322</v>
      </c>
      <c r="T30" s="35">
        <v>-12366</v>
      </c>
      <c r="U30" s="35">
        <v>4111</v>
      </c>
      <c r="V30" s="35">
        <v>-5182</v>
      </c>
      <c r="W30" s="35">
        <v>-6230</v>
      </c>
      <c r="X30" s="35">
        <v>-19398</v>
      </c>
      <c r="Y30" s="35">
        <v>-4459</v>
      </c>
      <c r="Z30" s="35">
        <v>8863</v>
      </c>
      <c r="AA30" s="35">
        <v>14064</v>
      </c>
      <c r="AB30" s="35">
        <v>15569</v>
      </c>
      <c r="AC30" s="35">
        <v>-3488</v>
      </c>
      <c r="AD30" s="35">
        <v>4091</v>
      </c>
      <c r="AE30" s="35">
        <v>-5109.0729999999967</v>
      </c>
      <c r="AF30" s="35">
        <v>4918</v>
      </c>
      <c r="AG30" s="35">
        <v>1424.0769999999948</v>
      </c>
      <c r="AH30" s="35">
        <v>-12870.008999999991</v>
      </c>
    </row>
    <row r="31" spans="2:34" s="39" customFormat="1" x14ac:dyDescent="0.25">
      <c r="B31" s="12" t="s">
        <v>359</v>
      </c>
      <c r="C31" s="12" t="s">
        <v>360</v>
      </c>
      <c r="E31" s="35"/>
      <c r="F31" s="35"/>
      <c r="G31" s="35"/>
      <c r="H31" s="35"/>
      <c r="I31" s="35"/>
      <c r="J31" s="35">
        <v>-391</v>
      </c>
      <c r="K31" s="35">
        <f t="shared" si="0"/>
        <v>320.41200000000003</v>
      </c>
      <c r="L31" s="41"/>
      <c r="N31" s="35"/>
      <c r="O31" s="35"/>
      <c r="P31" s="35"/>
      <c r="Q31" s="35"/>
      <c r="R31" s="35"/>
      <c r="S31" s="35"/>
      <c r="T31" s="35"/>
      <c r="U31" s="35"/>
      <c r="V31" s="35">
        <v>0</v>
      </c>
      <c r="W31" s="35">
        <v>0</v>
      </c>
      <c r="X31" s="35">
        <v>0</v>
      </c>
      <c r="Y31" s="35">
        <v>0</v>
      </c>
      <c r="Z31" s="35">
        <v>-171</v>
      </c>
      <c r="AA31" s="35">
        <v>-3</v>
      </c>
      <c r="AB31" s="35">
        <v>82</v>
      </c>
      <c r="AC31" s="35">
        <v>-299</v>
      </c>
      <c r="AD31" s="35">
        <v>-105</v>
      </c>
      <c r="AE31" s="35">
        <v>-224</v>
      </c>
      <c r="AF31" s="35">
        <v>-15.422000000000025</v>
      </c>
      <c r="AG31" s="35">
        <v>664.83400000000006</v>
      </c>
      <c r="AH31" s="35">
        <v>-351.70700000000011</v>
      </c>
    </row>
    <row r="32" spans="2:34" s="39" customFormat="1" x14ac:dyDescent="0.25">
      <c r="B32" s="12" t="s">
        <v>18</v>
      </c>
      <c r="C32" s="12" t="s">
        <v>189</v>
      </c>
      <c r="E32" s="35">
        <v>0</v>
      </c>
      <c r="F32" s="35">
        <v>0</v>
      </c>
      <c r="G32" s="35">
        <v>-1985</v>
      </c>
      <c r="H32" s="35">
        <v>-10040</v>
      </c>
      <c r="I32" s="35">
        <v>-9507</v>
      </c>
      <c r="J32" s="35">
        <v>-21714</v>
      </c>
      <c r="K32" s="35">
        <f t="shared" si="0"/>
        <v>-18736.785</v>
      </c>
      <c r="L32" s="41"/>
      <c r="N32" s="35">
        <v>-5</v>
      </c>
      <c r="O32" s="35">
        <v>5</v>
      </c>
      <c r="P32" s="35">
        <v>-1060</v>
      </c>
      <c r="Q32" s="35">
        <v>-925</v>
      </c>
      <c r="R32" s="35">
        <v>-822</v>
      </c>
      <c r="S32" s="35">
        <v>-1914</v>
      </c>
      <c r="T32" s="35">
        <v>-3063</v>
      </c>
      <c r="U32" s="35">
        <v>-4241</v>
      </c>
      <c r="V32" s="35">
        <v>-3525</v>
      </c>
      <c r="W32" s="35">
        <v>-5170</v>
      </c>
      <c r="X32" s="35">
        <v>1198</v>
      </c>
      <c r="Y32" s="35">
        <v>-2010</v>
      </c>
      <c r="Z32" s="35">
        <v>-9826</v>
      </c>
      <c r="AA32" s="35">
        <v>-7399</v>
      </c>
      <c r="AB32" s="35">
        <v>-2217</v>
      </c>
      <c r="AC32" s="35">
        <v>-2272</v>
      </c>
      <c r="AD32" s="35">
        <v>1020</v>
      </c>
      <c r="AE32" s="35">
        <v>-6929.4639999999999</v>
      </c>
      <c r="AF32" s="35">
        <v>-7898</v>
      </c>
      <c r="AG32" s="35">
        <v>-4929.3209999999999</v>
      </c>
      <c r="AH32" s="35">
        <v>-2260.6720000000059</v>
      </c>
    </row>
    <row r="33" spans="2:34" s="39" customFormat="1" x14ac:dyDescent="0.25">
      <c r="B33" s="12" t="s">
        <v>20</v>
      </c>
      <c r="C33" s="12" t="s">
        <v>191</v>
      </c>
      <c r="E33" s="35">
        <v>-255</v>
      </c>
      <c r="F33" s="35">
        <v>-364</v>
      </c>
      <c r="G33" s="35">
        <v>-1887</v>
      </c>
      <c r="H33" s="35">
        <v>-4252</v>
      </c>
      <c r="I33" s="35">
        <v>-4482</v>
      </c>
      <c r="J33" s="35">
        <v>-54939</v>
      </c>
      <c r="K33" s="35">
        <f t="shared" si="0"/>
        <v>-21361.827279999998</v>
      </c>
      <c r="L33" s="41"/>
      <c r="N33" s="35">
        <v>-696</v>
      </c>
      <c r="O33" s="35">
        <v>-173</v>
      </c>
      <c r="P33" s="35">
        <v>-1384</v>
      </c>
      <c r="Q33" s="35">
        <v>366</v>
      </c>
      <c r="R33" s="35">
        <v>-2378</v>
      </c>
      <c r="S33" s="35">
        <v>-640</v>
      </c>
      <c r="T33" s="35">
        <v>-805</v>
      </c>
      <c r="U33" s="35">
        <v>-429</v>
      </c>
      <c r="V33" s="35">
        <v>860</v>
      </c>
      <c r="W33" s="35">
        <v>-5542</v>
      </c>
      <c r="X33" s="35">
        <v>715</v>
      </c>
      <c r="Y33" s="35">
        <v>-515</v>
      </c>
      <c r="Z33" s="35">
        <v>-16841</v>
      </c>
      <c r="AA33" s="35">
        <v>-13316.817230000001</v>
      </c>
      <c r="AB33" s="35">
        <v>-12379.825680000002</v>
      </c>
      <c r="AC33" s="35">
        <v>-12401.357089999998</v>
      </c>
      <c r="AD33" s="35">
        <v>-18698</v>
      </c>
      <c r="AE33" s="35">
        <v>-12897.816000000006</v>
      </c>
      <c r="AF33" s="35">
        <v>3643.4877899999992</v>
      </c>
      <c r="AG33" s="35">
        <v>6590.5009300000092</v>
      </c>
      <c r="AH33" s="35">
        <v>-3386.8678899999941</v>
      </c>
    </row>
    <row r="34" spans="2:34" s="39" customFormat="1" x14ac:dyDescent="0.25">
      <c r="B34" s="12" t="s">
        <v>26</v>
      </c>
      <c r="C34" s="12" t="s">
        <v>197</v>
      </c>
      <c r="E34" s="35">
        <v>-1001</v>
      </c>
      <c r="F34" s="35">
        <v>3600</v>
      </c>
      <c r="G34" s="35">
        <v>6052</v>
      </c>
      <c r="H34" s="35">
        <v>30059.98544</v>
      </c>
      <c r="I34" s="35">
        <v>67185</v>
      </c>
      <c r="J34" s="35">
        <v>-80592.024855008582</v>
      </c>
      <c r="K34" s="35">
        <f t="shared" si="0"/>
        <v>-4292.91092496274</v>
      </c>
      <c r="L34" s="41"/>
      <c r="N34" s="35">
        <v>-1385</v>
      </c>
      <c r="O34" s="35">
        <v>-114</v>
      </c>
      <c r="P34" s="35">
        <v>10123</v>
      </c>
      <c r="Q34" s="35">
        <v>-2572</v>
      </c>
      <c r="R34" s="35">
        <v>-1834</v>
      </c>
      <c r="S34" s="35">
        <v>18209</v>
      </c>
      <c r="T34" s="35">
        <v>32379</v>
      </c>
      <c r="U34" s="35">
        <v>-18694.01456</v>
      </c>
      <c r="V34" s="35">
        <v>58319</v>
      </c>
      <c r="W34" s="35">
        <v>-12822</v>
      </c>
      <c r="X34" s="35">
        <v>100897</v>
      </c>
      <c r="Y34" s="35">
        <v>-79209</v>
      </c>
      <c r="Z34" s="35">
        <v>-33033</v>
      </c>
      <c r="AA34" s="35">
        <v>-35064.30876</v>
      </c>
      <c r="AB34" s="35">
        <v>11169.30876</v>
      </c>
      <c r="AC34" s="35">
        <v>-23664.024855008582</v>
      </c>
      <c r="AD34" s="35">
        <v>-1284</v>
      </c>
      <c r="AE34" s="35">
        <v>18860.479353010647</v>
      </c>
      <c r="AF34" s="35">
        <v>-7914.8871850818505</v>
      </c>
      <c r="AG34" s="35">
        <v>-13954.503092891537</v>
      </c>
      <c r="AH34" s="35">
        <v>56599.647026962324</v>
      </c>
    </row>
    <row r="35" spans="2:34" s="39" customFormat="1" x14ac:dyDescent="0.25">
      <c r="B35" s="12" t="s">
        <v>54</v>
      </c>
      <c r="C35" s="12" t="s">
        <v>236</v>
      </c>
      <c r="E35" s="35">
        <v>244</v>
      </c>
      <c r="F35" s="35">
        <v>850</v>
      </c>
      <c r="G35" s="35">
        <v>2511</v>
      </c>
      <c r="H35" s="35">
        <v>7952</v>
      </c>
      <c r="I35" s="35">
        <v>14771</v>
      </c>
      <c r="J35" s="35">
        <v>18896</v>
      </c>
      <c r="K35" s="35">
        <f t="shared" si="0"/>
        <v>3819.0400000000045</v>
      </c>
      <c r="L35" s="41"/>
      <c r="N35" s="35">
        <v>664</v>
      </c>
      <c r="O35" s="35">
        <v>1462</v>
      </c>
      <c r="P35" s="35">
        <v>771</v>
      </c>
      <c r="Q35" s="35">
        <v>-386</v>
      </c>
      <c r="R35" s="35">
        <v>1329</v>
      </c>
      <c r="S35" s="35">
        <v>2388</v>
      </c>
      <c r="T35" s="35">
        <v>5823</v>
      </c>
      <c r="U35" s="35">
        <v>-1588</v>
      </c>
      <c r="V35" s="35">
        <v>-981</v>
      </c>
      <c r="W35" s="35">
        <v>8035</v>
      </c>
      <c r="X35" s="35">
        <v>5985</v>
      </c>
      <c r="Y35" s="35">
        <v>1732</v>
      </c>
      <c r="Z35" s="35">
        <v>9063</v>
      </c>
      <c r="AA35" s="35">
        <v>-429</v>
      </c>
      <c r="AB35" s="35">
        <v>14560</v>
      </c>
      <c r="AC35" s="35">
        <v>-4298</v>
      </c>
      <c r="AD35" s="35">
        <v>11260</v>
      </c>
      <c r="AE35" s="35">
        <v>-656.82499999999709</v>
      </c>
      <c r="AF35" s="35">
        <v>11514.629999999986</v>
      </c>
      <c r="AG35" s="35">
        <v>-18298.764999999985</v>
      </c>
      <c r="AH35" s="35">
        <v>-2555.864999999998</v>
      </c>
    </row>
    <row r="36" spans="2:34" s="39" customFormat="1" x14ac:dyDescent="0.25">
      <c r="B36" s="12" t="s">
        <v>30</v>
      </c>
      <c r="C36" s="12" t="s">
        <v>201</v>
      </c>
      <c r="E36" s="35">
        <v>-158</v>
      </c>
      <c r="F36" s="35">
        <v>0</v>
      </c>
      <c r="G36" s="35">
        <v>229</v>
      </c>
      <c r="H36" s="35">
        <v>3388.6227699999999</v>
      </c>
      <c r="I36" s="35">
        <v>424</v>
      </c>
      <c r="J36" s="35">
        <v>3491</v>
      </c>
      <c r="K36" s="35">
        <f t="shared" si="0"/>
        <v>4688.1090000000004</v>
      </c>
      <c r="L36" s="41"/>
      <c r="N36" s="35">
        <v>-21</v>
      </c>
      <c r="O36" s="35">
        <v>209</v>
      </c>
      <c r="P36" s="35">
        <v>-203.89270000000033</v>
      </c>
      <c r="Q36" s="35">
        <v>244.89270000000033</v>
      </c>
      <c r="R36" s="35">
        <v>160</v>
      </c>
      <c r="S36" s="35">
        <v>1143</v>
      </c>
      <c r="T36" s="35">
        <v>2050</v>
      </c>
      <c r="U36" s="35">
        <v>35.622769999999946</v>
      </c>
      <c r="V36" s="35">
        <v>1448</v>
      </c>
      <c r="W36" s="35">
        <v>-400</v>
      </c>
      <c r="X36" s="35">
        <v>-25379</v>
      </c>
      <c r="Y36" s="35">
        <v>24755</v>
      </c>
      <c r="Z36" s="35">
        <v>1529</v>
      </c>
      <c r="AA36" s="35">
        <v>-213</v>
      </c>
      <c r="AB36" s="35">
        <v>7856</v>
      </c>
      <c r="AC36" s="35">
        <v>-5681</v>
      </c>
      <c r="AD36" s="35">
        <v>19074</v>
      </c>
      <c r="AE36" s="35">
        <v>-2065.770999999997</v>
      </c>
      <c r="AF36" s="35">
        <v>-846.47100000000501</v>
      </c>
      <c r="AG36" s="35">
        <v>-11473.648999999998</v>
      </c>
      <c r="AH36" s="35">
        <v>3991.8410000000003</v>
      </c>
    </row>
    <row r="37" spans="2:34" s="39" customFormat="1" x14ac:dyDescent="0.25">
      <c r="B37" s="12" t="s">
        <v>36</v>
      </c>
      <c r="C37" s="12" t="s">
        <v>237</v>
      </c>
      <c r="E37" s="35">
        <v>47</v>
      </c>
      <c r="F37" s="35">
        <v>-47</v>
      </c>
      <c r="G37" s="35">
        <v>0</v>
      </c>
      <c r="H37" s="35">
        <v>0</v>
      </c>
      <c r="I37" s="35">
        <v>-351</v>
      </c>
      <c r="J37" s="35">
        <v>0</v>
      </c>
      <c r="K37" s="35">
        <f t="shared" si="0"/>
        <v>0</v>
      </c>
      <c r="L37" s="41"/>
      <c r="N37" s="35">
        <v>0</v>
      </c>
      <c r="O37" s="35">
        <v>-235</v>
      </c>
      <c r="P37" s="35">
        <v>155</v>
      </c>
      <c r="Q37" s="35">
        <v>80</v>
      </c>
      <c r="R37" s="35">
        <v>0</v>
      </c>
      <c r="S37" s="35">
        <v>143</v>
      </c>
      <c r="T37" s="35">
        <v>-1197</v>
      </c>
      <c r="U37" s="35">
        <v>1054</v>
      </c>
      <c r="V37" s="35">
        <v>0</v>
      </c>
      <c r="W37" s="35">
        <v>0</v>
      </c>
      <c r="X37" s="35">
        <v>0</v>
      </c>
      <c r="Y37" s="35">
        <v>-24675</v>
      </c>
      <c r="Z37" s="35">
        <v>6251</v>
      </c>
      <c r="AA37" s="35">
        <v>0</v>
      </c>
      <c r="AB37" s="35">
        <v>0</v>
      </c>
      <c r="AC37" s="35">
        <v>0</v>
      </c>
      <c r="AD37" s="35">
        <v>0</v>
      </c>
      <c r="AE37" s="35">
        <v>0</v>
      </c>
      <c r="AF37" s="35">
        <v>0</v>
      </c>
      <c r="AG37" s="35">
        <v>0</v>
      </c>
      <c r="AH37" s="35">
        <v>0</v>
      </c>
    </row>
    <row r="38" spans="2:34" s="39" customFormat="1" x14ac:dyDescent="0.25">
      <c r="B38" s="12" t="s">
        <v>32</v>
      </c>
      <c r="C38" s="12" t="s">
        <v>207</v>
      </c>
      <c r="E38" s="35">
        <v>-181</v>
      </c>
      <c r="F38" s="35">
        <v>-108</v>
      </c>
      <c r="G38" s="35">
        <v>169</v>
      </c>
      <c r="H38" s="35">
        <v>-11591</v>
      </c>
      <c r="I38" s="35">
        <v>0</v>
      </c>
      <c r="J38" s="35">
        <v>13625</v>
      </c>
      <c r="K38" s="35">
        <f t="shared" si="0"/>
        <v>20267.349271387673</v>
      </c>
      <c r="L38" s="41"/>
      <c r="N38" s="35">
        <v>319</v>
      </c>
      <c r="O38" s="35">
        <v>0</v>
      </c>
      <c r="P38" s="35">
        <v>217</v>
      </c>
      <c r="Q38" s="35">
        <v>-367</v>
      </c>
      <c r="R38" s="35">
        <v>206</v>
      </c>
      <c r="S38" s="35">
        <v>-608</v>
      </c>
      <c r="T38" s="35">
        <v>0</v>
      </c>
      <c r="U38" s="35">
        <v>-11189</v>
      </c>
      <c r="V38" s="35">
        <v>1800</v>
      </c>
      <c r="W38" s="35">
        <v>11</v>
      </c>
      <c r="X38" s="35">
        <v>22513</v>
      </c>
      <c r="Y38" s="35">
        <v>0</v>
      </c>
      <c r="Z38" s="35">
        <v>0</v>
      </c>
      <c r="AA38" s="35">
        <v>-5435</v>
      </c>
      <c r="AB38" s="35">
        <v>1673</v>
      </c>
      <c r="AC38" s="35">
        <v>11136</v>
      </c>
      <c r="AD38" s="35">
        <v>10470</v>
      </c>
      <c r="AE38" s="35">
        <v>4251.0031183895007</v>
      </c>
      <c r="AF38" s="35">
        <v>8766.1385929981625</v>
      </c>
      <c r="AG38" s="35">
        <v>-3219.7924399999902</v>
      </c>
      <c r="AH38" s="35">
        <v>27531.320082036556</v>
      </c>
    </row>
    <row r="39" spans="2:34" s="39" customFormat="1" x14ac:dyDescent="0.25">
      <c r="B39" s="12" t="s">
        <v>149</v>
      </c>
      <c r="C39" s="12" t="s">
        <v>205</v>
      </c>
      <c r="E39" s="35">
        <v>0</v>
      </c>
      <c r="F39" s="35">
        <v>0</v>
      </c>
      <c r="G39" s="35">
        <v>0</v>
      </c>
      <c r="H39" s="35">
        <v>-608</v>
      </c>
      <c r="I39" s="35">
        <v>0</v>
      </c>
      <c r="J39" s="35">
        <v>0</v>
      </c>
      <c r="K39" s="35">
        <f t="shared" si="0"/>
        <v>0</v>
      </c>
      <c r="L39" s="41"/>
      <c r="N39" s="35">
        <v>0</v>
      </c>
      <c r="O39" s="35">
        <v>0</v>
      </c>
      <c r="P39" s="35">
        <v>0</v>
      </c>
      <c r="Q39" s="35">
        <v>0</v>
      </c>
      <c r="R39" s="35">
        <v>0</v>
      </c>
      <c r="S39" s="35">
        <v>0</v>
      </c>
      <c r="T39" s="35">
        <v>0</v>
      </c>
      <c r="U39" s="35">
        <v>-608</v>
      </c>
      <c r="V39" s="35">
        <v>0</v>
      </c>
      <c r="W39" s="35">
        <v>0</v>
      </c>
      <c r="X39" s="35">
        <v>0</v>
      </c>
      <c r="Y39" s="35">
        <v>0</v>
      </c>
      <c r="Z39" s="35">
        <v>0</v>
      </c>
      <c r="AA39" s="35">
        <v>0</v>
      </c>
      <c r="AB39" s="35">
        <v>0</v>
      </c>
      <c r="AC39" s="35">
        <v>0</v>
      </c>
      <c r="AD39" s="35">
        <v>0</v>
      </c>
      <c r="AE39" s="35">
        <v>0</v>
      </c>
      <c r="AF39" s="35">
        <v>0</v>
      </c>
      <c r="AG39" s="35">
        <v>0</v>
      </c>
      <c r="AH39" s="35">
        <v>0</v>
      </c>
    </row>
    <row r="40" spans="2:34" s="39" customFormat="1" x14ac:dyDescent="0.25">
      <c r="B40" s="12"/>
      <c r="C40" s="12"/>
      <c r="H40" s="35"/>
      <c r="I40" s="35"/>
      <c r="J40" s="35"/>
      <c r="K40" s="35">
        <f t="shared" si="0"/>
        <v>0</v>
      </c>
      <c r="L40" s="41"/>
      <c r="T40" s="35"/>
      <c r="U40" s="35"/>
      <c r="V40" s="35"/>
      <c r="W40" s="35"/>
      <c r="X40" s="35"/>
      <c r="Y40" s="35"/>
      <c r="Z40" s="35"/>
      <c r="AA40" s="35"/>
      <c r="AB40" s="35"/>
      <c r="AC40" s="35"/>
      <c r="AD40" s="35"/>
      <c r="AE40" s="35"/>
      <c r="AF40" s="35"/>
      <c r="AG40" s="35"/>
      <c r="AH40" s="35"/>
    </row>
    <row r="41" spans="2:34" s="39" customFormat="1" x14ac:dyDescent="0.25">
      <c r="B41" s="12" t="s">
        <v>55</v>
      </c>
      <c r="C41" s="12" t="s">
        <v>238</v>
      </c>
      <c r="E41" s="35">
        <v>-4201</v>
      </c>
      <c r="F41" s="35">
        <v>-6798</v>
      </c>
      <c r="G41" s="35">
        <v>-12756</v>
      </c>
      <c r="H41" s="35">
        <v>-49538</v>
      </c>
      <c r="I41" s="35">
        <v>-232727</v>
      </c>
      <c r="J41" s="35">
        <v>-282115.1231201982</v>
      </c>
      <c r="K41" s="35">
        <f t="shared" si="0"/>
        <v>-283960.29382731573</v>
      </c>
      <c r="L41" s="41"/>
      <c r="N41" s="35">
        <v>-2181</v>
      </c>
      <c r="O41" s="35">
        <v>-1954</v>
      </c>
      <c r="P41" s="35">
        <v>-3553</v>
      </c>
      <c r="Q41" s="35">
        <v>-5068</v>
      </c>
      <c r="R41" s="35">
        <v>-6947</v>
      </c>
      <c r="S41" s="35">
        <v>-8430</v>
      </c>
      <c r="T41" s="35">
        <v>-13398</v>
      </c>
      <c r="U41" s="35">
        <v>-20763</v>
      </c>
      <c r="V41" s="35">
        <v>-29220</v>
      </c>
      <c r="W41" s="35">
        <v>-80828</v>
      </c>
      <c r="X41" s="35">
        <v>-13147</v>
      </c>
      <c r="Y41" s="35">
        <v>-109532</v>
      </c>
      <c r="Z41" s="35">
        <v>-8964.3970340467476</v>
      </c>
      <c r="AA41" s="35">
        <v>-132717.15177442326</v>
      </c>
      <c r="AB41" s="35">
        <v>-8889.8663762409869</v>
      </c>
      <c r="AC41" s="35">
        <v>-131543.70793548718</v>
      </c>
      <c r="AD41" s="35">
        <v>-7379.8891530034662</v>
      </c>
      <c r="AE41" s="35">
        <v>-115101.69130654534</v>
      </c>
      <c r="AF41" s="35">
        <v>-49385.970169787644</v>
      </c>
      <c r="AG41" s="35">
        <v>-112092.74319797929</v>
      </c>
      <c r="AH41" s="35">
        <v>-95130.768158974082</v>
      </c>
    </row>
    <row r="42" spans="2:34" s="39" customFormat="1" x14ac:dyDescent="0.25">
      <c r="B42" s="12" t="s">
        <v>56</v>
      </c>
      <c r="C42" s="12" t="s">
        <v>239</v>
      </c>
      <c r="E42" s="35">
        <v>0</v>
      </c>
      <c r="F42" s="35">
        <v>0</v>
      </c>
      <c r="G42" s="35">
        <v>-268</v>
      </c>
      <c r="H42" s="35">
        <v>-1601</v>
      </c>
      <c r="I42" s="35">
        <v>-5776</v>
      </c>
      <c r="J42" s="35">
        <v>-10339</v>
      </c>
      <c r="K42" s="35">
        <f t="shared" si="0"/>
        <v>-11806.129221966341</v>
      </c>
      <c r="L42" s="41"/>
      <c r="N42" s="35">
        <v>-16</v>
      </c>
      <c r="O42" s="35">
        <v>-25</v>
      </c>
      <c r="P42" s="35">
        <v>-39</v>
      </c>
      <c r="Q42" s="35">
        <v>-188</v>
      </c>
      <c r="R42" s="35">
        <v>-241</v>
      </c>
      <c r="S42" s="35">
        <v>-294</v>
      </c>
      <c r="T42" s="35">
        <v>-416</v>
      </c>
      <c r="U42" s="35">
        <v>-650</v>
      </c>
      <c r="V42" s="35">
        <v>-822.43863203291937</v>
      </c>
      <c r="W42" s="35">
        <v>-856.56136796708063</v>
      </c>
      <c r="X42" s="35">
        <v>-1635</v>
      </c>
      <c r="Y42" s="35">
        <v>-2462</v>
      </c>
      <c r="Z42" s="35">
        <v>-2452.62208931856</v>
      </c>
      <c r="AA42" s="35">
        <v>-2535.5818770075703</v>
      </c>
      <c r="AB42" s="35">
        <v>-4565.6655024049005</v>
      </c>
      <c r="AC42" s="35">
        <v>-785.13053126896921</v>
      </c>
      <c r="AD42" s="35">
        <v>-2685.5</v>
      </c>
      <c r="AE42" s="35">
        <v>-2907</v>
      </c>
      <c r="AF42" s="35">
        <v>-2824.1699834849205</v>
      </c>
      <c r="AG42" s="35">
        <v>-3389.4592384814205</v>
      </c>
      <c r="AH42" s="35">
        <v>-3014.2035205606717</v>
      </c>
    </row>
    <row r="43" spans="2:34" s="39" customFormat="1" x14ac:dyDescent="0.25">
      <c r="B43" s="12" t="s">
        <v>57</v>
      </c>
      <c r="C43" s="12" t="s">
        <v>240</v>
      </c>
      <c r="E43" s="35">
        <v>-13</v>
      </c>
      <c r="F43" s="35">
        <v>-15</v>
      </c>
      <c r="G43" s="35">
        <v>-22</v>
      </c>
      <c r="H43" s="35">
        <v>-22</v>
      </c>
      <c r="I43" s="35">
        <v>0</v>
      </c>
      <c r="J43" s="35">
        <v>0</v>
      </c>
      <c r="K43" s="35">
        <f t="shared" si="0"/>
        <v>-132.020320209781</v>
      </c>
      <c r="L43" s="41"/>
      <c r="N43" s="35">
        <v>-5</v>
      </c>
      <c r="O43" s="35">
        <v>0</v>
      </c>
      <c r="P43" s="35">
        <v>-4</v>
      </c>
      <c r="Q43" s="35">
        <v>-13</v>
      </c>
      <c r="R43" s="35">
        <v>-8</v>
      </c>
      <c r="S43" s="35">
        <v>-4</v>
      </c>
      <c r="T43" s="35">
        <v>-3</v>
      </c>
      <c r="U43" s="35">
        <v>-7</v>
      </c>
      <c r="V43" s="35">
        <v>-23</v>
      </c>
      <c r="W43" s="35">
        <v>-25</v>
      </c>
      <c r="X43" s="35">
        <v>48</v>
      </c>
      <c r="Y43" s="35">
        <v>0</v>
      </c>
      <c r="Z43" s="35">
        <v>0</v>
      </c>
      <c r="AA43" s="35">
        <v>0</v>
      </c>
      <c r="AB43" s="35">
        <v>0</v>
      </c>
      <c r="AC43" s="35">
        <v>0</v>
      </c>
      <c r="AD43" s="35">
        <v>0</v>
      </c>
      <c r="AE43" s="35">
        <v>-26.03447006782233</v>
      </c>
      <c r="AF43" s="35">
        <v>-54.965529932177674</v>
      </c>
      <c r="AG43" s="35">
        <v>-51.020320209781005</v>
      </c>
      <c r="AH43" s="35">
        <v>-61.454250641343542</v>
      </c>
    </row>
    <row r="44" spans="2:34" s="39" customFormat="1" x14ac:dyDescent="0.25">
      <c r="B44" s="12" t="s">
        <v>351</v>
      </c>
      <c r="C44" s="12" t="s">
        <v>356</v>
      </c>
      <c r="E44" s="35"/>
      <c r="F44" s="35"/>
      <c r="G44" s="35"/>
      <c r="H44" s="35"/>
      <c r="I44" s="35"/>
      <c r="J44" s="35">
        <v>-14044.359925632571</v>
      </c>
      <c r="K44" s="35">
        <f t="shared" si="0"/>
        <v>-40991.697528074204</v>
      </c>
      <c r="L44" s="41"/>
      <c r="N44" s="35">
        <v>0</v>
      </c>
      <c r="O44" s="35">
        <v>0</v>
      </c>
      <c r="P44" s="35">
        <v>0</v>
      </c>
      <c r="Q44" s="35">
        <v>0</v>
      </c>
      <c r="R44" s="35">
        <v>0</v>
      </c>
      <c r="S44" s="35">
        <v>0</v>
      </c>
      <c r="T44" s="35">
        <v>0</v>
      </c>
      <c r="U44" s="35">
        <v>0</v>
      </c>
      <c r="V44" s="35">
        <v>0</v>
      </c>
      <c r="W44" s="35">
        <v>0</v>
      </c>
      <c r="X44" s="35">
        <v>0</v>
      </c>
      <c r="Y44" s="35">
        <v>0</v>
      </c>
      <c r="Z44" s="35">
        <v>-4568</v>
      </c>
      <c r="AA44" s="35">
        <v>-2751.9941101928998</v>
      </c>
      <c r="AB44" s="35">
        <v>-6548.1342381048999</v>
      </c>
      <c r="AC44" s="35">
        <v>-176.23157733477092</v>
      </c>
      <c r="AD44" s="35">
        <v>-21332</v>
      </c>
      <c r="AE44" s="35">
        <v>-15132.176932221031</v>
      </c>
      <c r="AF44" s="35">
        <v>-11050.112431479007</v>
      </c>
      <c r="AG44" s="35">
        <v>6522.5918356258335</v>
      </c>
      <c r="AH44" s="35">
        <v>-17236.651272781772</v>
      </c>
    </row>
    <row r="45" spans="2:34" s="39" customFormat="1" x14ac:dyDescent="0.25">
      <c r="B45" s="12" t="s">
        <v>58</v>
      </c>
      <c r="C45" s="12" t="s">
        <v>241</v>
      </c>
      <c r="E45" s="35">
        <v>-1795</v>
      </c>
      <c r="F45" s="35">
        <v>-2837</v>
      </c>
      <c r="G45" s="35">
        <v>-101279</v>
      </c>
      <c r="H45" s="35">
        <v>-645819</v>
      </c>
      <c r="I45" s="35">
        <v>-1017461</v>
      </c>
      <c r="J45" s="35">
        <v>-177238.5</v>
      </c>
      <c r="K45" s="35">
        <f t="shared" si="0"/>
        <v>-267359.41993027058</v>
      </c>
      <c r="L45" s="41"/>
      <c r="N45" s="35">
        <v>-2500</v>
      </c>
      <c r="O45" s="35">
        <v>-11436</v>
      </c>
      <c r="P45" s="35">
        <v>-39254</v>
      </c>
      <c r="Q45" s="35">
        <v>-48089</v>
      </c>
      <c r="R45" s="35">
        <v>-106279</v>
      </c>
      <c r="S45" s="35">
        <v>-136982</v>
      </c>
      <c r="T45" s="35">
        <v>-239861</v>
      </c>
      <c r="U45" s="35">
        <v>-162697</v>
      </c>
      <c r="V45" s="35">
        <v>-215710.01175996353</v>
      </c>
      <c r="W45" s="35">
        <v>-228206.98824003647</v>
      </c>
      <c r="X45" s="35">
        <v>-421924.00000000006</v>
      </c>
      <c r="Y45" s="35">
        <v>-151620</v>
      </c>
      <c r="Z45" s="35">
        <v>-46553.199135774019</v>
      </c>
      <c r="AA45" s="35">
        <v>-38531.354293035678</v>
      </c>
      <c r="AB45" s="35">
        <v>-62628.44035674099</v>
      </c>
      <c r="AC45" s="35">
        <v>-29526.05964325901</v>
      </c>
      <c r="AD45" s="35">
        <v>-51816</v>
      </c>
      <c r="AE45" s="35">
        <v>-93344.794854707143</v>
      </c>
      <c r="AF45" s="35">
        <v>-76860.865304717212</v>
      </c>
      <c r="AG45" s="35">
        <v>-45337.759770846227</v>
      </c>
      <c r="AH45" s="35">
        <v>-103622.02616456924</v>
      </c>
    </row>
    <row r="46" spans="2:34" s="39" customFormat="1" x14ac:dyDescent="0.25">
      <c r="B46" s="12" t="s">
        <v>93</v>
      </c>
      <c r="C46" s="12" t="s">
        <v>242</v>
      </c>
      <c r="E46" s="35">
        <v>1708</v>
      </c>
      <c r="F46" s="35">
        <v>1368</v>
      </c>
      <c r="G46" s="35">
        <v>130</v>
      </c>
      <c r="H46" s="35">
        <v>5012</v>
      </c>
      <c r="I46" s="35">
        <v>0</v>
      </c>
      <c r="J46" s="35">
        <v>0</v>
      </c>
      <c r="K46" s="35">
        <f t="shared" si="0"/>
        <v>0</v>
      </c>
      <c r="L46" s="41"/>
      <c r="N46" s="35">
        <v>0</v>
      </c>
      <c r="O46" s="35">
        <v>0</v>
      </c>
      <c r="P46" s="35">
        <v>377</v>
      </c>
      <c r="Q46" s="35">
        <v>-247</v>
      </c>
      <c r="R46" s="35">
        <v>1880</v>
      </c>
      <c r="S46" s="35">
        <v>750</v>
      </c>
      <c r="T46" s="35">
        <v>439</v>
      </c>
      <c r="U46" s="35">
        <v>1943</v>
      </c>
      <c r="V46" s="35">
        <v>9517</v>
      </c>
      <c r="W46" s="35">
        <v>12105</v>
      </c>
      <c r="X46" s="35">
        <v>0</v>
      </c>
      <c r="Y46" s="35">
        <v>0</v>
      </c>
      <c r="Z46" s="35">
        <v>0</v>
      </c>
      <c r="AA46" s="35">
        <v>0</v>
      </c>
      <c r="AB46" s="35">
        <v>0</v>
      </c>
      <c r="AC46" s="35">
        <v>0</v>
      </c>
      <c r="AD46" s="35">
        <v>0</v>
      </c>
      <c r="AE46" s="35">
        <v>0</v>
      </c>
      <c r="AF46" s="35">
        <v>0</v>
      </c>
      <c r="AG46" s="35">
        <v>0</v>
      </c>
      <c r="AH46" s="35">
        <v>0</v>
      </c>
    </row>
    <row r="47" spans="2:34" s="39" customFormat="1" x14ac:dyDescent="0.25">
      <c r="B47" s="12" t="s">
        <v>60</v>
      </c>
      <c r="C47" s="12" t="s">
        <v>243</v>
      </c>
      <c r="E47" s="35">
        <v>0</v>
      </c>
      <c r="F47" s="35">
        <v>-106</v>
      </c>
      <c r="G47" s="35">
        <v>0</v>
      </c>
      <c r="H47" s="35">
        <v>-3500</v>
      </c>
      <c r="I47" s="35">
        <v>-6080</v>
      </c>
      <c r="J47" s="35">
        <v>0</v>
      </c>
      <c r="K47" s="35">
        <f t="shared" si="0"/>
        <v>-8241.5510000000068</v>
      </c>
      <c r="L47" s="41"/>
      <c r="N47" s="35">
        <v>0</v>
      </c>
      <c r="O47" s="35">
        <v>0</v>
      </c>
      <c r="P47" s="35">
        <v>0</v>
      </c>
      <c r="Q47" s="35">
        <v>0</v>
      </c>
      <c r="R47" s="35">
        <v>-134</v>
      </c>
      <c r="S47" s="35">
        <v>-481</v>
      </c>
      <c r="T47" s="35">
        <v>239</v>
      </c>
      <c r="U47" s="35">
        <v>-3124</v>
      </c>
      <c r="V47" s="35">
        <v>0</v>
      </c>
      <c r="W47" s="35">
        <v>-1800</v>
      </c>
      <c r="X47" s="35">
        <v>-1441</v>
      </c>
      <c r="Y47" s="35">
        <v>-2839</v>
      </c>
      <c r="Z47" s="35">
        <v>0</v>
      </c>
      <c r="AA47" s="35">
        <v>0</v>
      </c>
      <c r="AB47" s="35">
        <v>0</v>
      </c>
      <c r="AC47" s="35">
        <v>0</v>
      </c>
      <c r="AD47" s="35">
        <v>0</v>
      </c>
      <c r="AE47" s="35">
        <v>0</v>
      </c>
      <c r="AF47" s="35">
        <v>0</v>
      </c>
      <c r="AG47" s="35">
        <v>-8241.5510000000068</v>
      </c>
      <c r="AH47" s="35">
        <v>-513.21799999999166</v>
      </c>
    </row>
    <row r="48" spans="2:34" s="39" customFormat="1" x14ac:dyDescent="0.25">
      <c r="B48" s="39" t="s">
        <v>431</v>
      </c>
      <c r="K48" s="39">
        <f t="shared" si="0"/>
        <v>-348</v>
      </c>
      <c r="L48" s="41"/>
      <c r="AG48" s="39">
        <v>-348</v>
      </c>
      <c r="AH48" s="35">
        <v>-31.506659606079282</v>
      </c>
    </row>
    <row r="49" spans="2:34" s="39" customFormat="1" x14ac:dyDescent="0.25">
      <c r="B49" s="8" t="s">
        <v>61</v>
      </c>
      <c r="C49" s="8" t="s">
        <v>244</v>
      </c>
      <c r="D49" s="96"/>
      <c r="E49" s="27">
        <f t="shared" ref="E49:J49" si="1">E6+SUM(E9:E26)+SUM(E29:E39)+SUM(E41:E47)</f>
        <v>11594</v>
      </c>
      <c r="F49" s="27">
        <f t="shared" si="1"/>
        <v>23633</v>
      </c>
      <c r="G49" s="27">
        <f t="shared" si="1"/>
        <v>-74982</v>
      </c>
      <c r="H49" s="27">
        <f t="shared" si="1"/>
        <v>-592585.39179000002</v>
      </c>
      <c r="I49" s="27">
        <f t="shared" si="1"/>
        <v>-693606</v>
      </c>
      <c r="J49" s="27">
        <f t="shared" si="1"/>
        <v>125875.49404401478</v>
      </c>
      <c r="K49" s="27">
        <f>K6+SUM(K9:K26)+SUM(K29:K39)+SUM(K41:K47)</f>
        <v>38483.972641532077</v>
      </c>
      <c r="L49" s="41"/>
      <c r="N49" s="27">
        <f>N6+SUM(N9:N26)+SUM(N29:N39)+SUM(N41:N47)</f>
        <v>-821</v>
      </c>
      <c r="O49" s="27">
        <f t="shared" ref="O49:AF49" si="2">O6+SUM(O9:O26)+SUM(O29:O39)+SUM(O41:O47)</f>
        <v>-929</v>
      </c>
      <c r="P49" s="27">
        <f t="shared" si="2"/>
        <v>-30662.907790000001</v>
      </c>
      <c r="Q49" s="27">
        <f t="shared" si="2"/>
        <v>-42569.092210000003</v>
      </c>
      <c r="R49" s="27">
        <f t="shared" si="2"/>
        <v>-106218</v>
      </c>
      <c r="S49" s="27">
        <f t="shared" si="2"/>
        <v>-123341</v>
      </c>
      <c r="T49" s="27">
        <f t="shared" si="2"/>
        <v>-212392</v>
      </c>
      <c r="U49" s="27">
        <f t="shared" si="2"/>
        <v>-150634.39178999999</v>
      </c>
      <c r="V49" s="27">
        <f t="shared" si="2"/>
        <v>-113358.88311267571</v>
      </c>
      <c r="W49" s="27">
        <f t="shared" si="2"/>
        <v>-222585.11688732432</v>
      </c>
      <c r="X49" s="27">
        <f t="shared" si="2"/>
        <v>-188808.00000000006</v>
      </c>
      <c r="Y49" s="27">
        <f t="shared" si="2"/>
        <v>-168854</v>
      </c>
      <c r="Z49" s="27">
        <f t="shared" si="2"/>
        <v>76133.669290179241</v>
      </c>
      <c r="AA49" s="27">
        <f t="shared" si="2"/>
        <v>-43637.056147649739</v>
      </c>
      <c r="AB49" s="27">
        <f t="shared" si="2"/>
        <v>119699.35618494202</v>
      </c>
      <c r="AC49" s="27">
        <f t="shared" si="2"/>
        <v>-26321.028712266299</v>
      </c>
      <c r="AD49" s="27">
        <f t="shared" si="2"/>
        <v>68400.479916168522</v>
      </c>
      <c r="AE49" s="27">
        <f t="shared" si="2"/>
        <v>-98873.554501288454</v>
      </c>
      <c r="AF49" s="27">
        <f t="shared" si="2"/>
        <v>106496.06105418672</v>
      </c>
      <c r="AG49" s="27">
        <f>AG6+SUM(AG9:AG26)+SUM(AG29:AG39)+SUM(AG41:AG48)</f>
        <v>-37887.013827534654</v>
      </c>
      <c r="AH49" s="27">
        <f>AH6+SUM(AH9:AH26)+SUM(AH29:AH39)+SUM(AH41:AH48)</f>
        <v>244518.72968568228</v>
      </c>
    </row>
    <row r="50" spans="2:34" x14ac:dyDescent="0.25">
      <c r="L50" s="4"/>
    </row>
    <row r="51" spans="2:34" x14ac:dyDescent="0.25">
      <c r="B51" s="57" t="s">
        <v>62</v>
      </c>
      <c r="C51" s="57" t="s">
        <v>245</v>
      </c>
      <c r="L51" s="4"/>
    </row>
    <row r="52" spans="2:34" s="39" customFormat="1" x14ac:dyDescent="0.25">
      <c r="B52" s="12" t="s">
        <v>162</v>
      </c>
      <c r="C52" s="12" t="s">
        <v>246</v>
      </c>
      <c r="E52" s="35">
        <v>0</v>
      </c>
      <c r="F52" s="35">
        <v>0</v>
      </c>
      <c r="G52" s="35">
        <v>0</v>
      </c>
      <c r="H52" s="35">
        <v>0</v>
      </c>
      <c r="I52" s="35">
        <v>0</v>
      </c>
      <c r="J52" s="35">
        <v>-443117</v>
      </c>
      <c r="K52" s="35">
        <f t="shared" si="0"/>
        <v>124143.77567080111</v>
      </c>
      <c r="L52" s="41"/>
      <c r="T52" s="35">
        <v>0</v>
      </c>
      <c r="U52" s="35">
        <v>0</v>
      </c>
      <c r="V52" s="35">
        <v>0</v>
      </c>
      <c r="W52" s="35">
        <v>0</v>
      </c>
      <c r="X52" s="35">
        <v>0</v>
      </c>
      <c r="Y52" s="35">
        <v>0</v>
      </c>
      <c r="Z52" s="35">
        <v>0</v>
      </c>
      <c r="AA52" s="35">
        <v>0</v>
      </c>
      <c r="AB52" s="35">
        <v>-407606</v>
      </c>
      <c r="AC52" s="35">
        <v>-35511</v>
      </c>
      <c r="AD52" s="35">
        <v>-590255.81510974059</v>
      </c>
      <c r="AE52" s="35">
        <v>186774.86360303243</v>
      </c>
      <c r="AF52" s="35">
        <v>194005.10438749357</v>
      </c>
      <c r="AG52" s="35">
        <v>333619.62279001571</v>
      </c>
      <c r="AH52" s="35">
        <v>186050.5071196263</v>
      </c>
    </row>
    <row r="53" spans="2:34" s="39" customFormat="1" x14ac:dyDescent="0.25">
      <c r="B53" s="12" t="s">
        <v>63</v>
      </c>
      <c r="C53" s="12" t="s">
        <v>247</v>
      </c>
      <c r="E53" s="35">
        <v>-110</v>
      </c>
      <c r="F53" s="35">
        <v>0</v>
      </c>
      <c r="G53" s="35">
        <v>-410</v>
      </c>
      <c r="H53" s="35">
        <v>-1138</v>
      </c>
      <c r="I53" s="35">
        <v>-4912</v>
      </c>
      <c r="J53" s="35">
        <v>-8945</v>
      </c>
      <c r="K53" s="35">
        <f t="shared" si="0"/>
        <v>-868.20769230768201</v>
      </c>
      <c r="L53" s="41"/>
      <c r="N53" s="35">
        <v>-11</v>
      </c>
      <c r="O53" s="35">
        <v>0</v>
      </c>
      <c r="P53" s="35">
        <v>-169</v>
      </c>
      <c r="Q53" s="35">
        <v>-230</v>
      </c>
      <c r="R53" s="35">
        <v>-73</v>
      </c>
      <c r="S53" s="35">
        <v>-98</v>
      </c>
      <c r="T53" s="35">
        <v>-332</v>
      </c>
      <c r="U53" s="35">
        <v>-635</v>
      </c>
      <c r="V53" s="35">
        <v>-599</v>
      </c>
      <c r="W53" s="35">
        <v>-436</v>
      </c>
      <c r="X53" s="35">
        <v>-784</v>
      </c>
      <c r="Y53" s="35">
        <v>-3093</v>
      </c>
      <c r="Z53" s="35">
        <v>-4615</v>
      </c>
      <c r="AA53" s="35">
        <v>-5066</v>
      </c>
      <c r="AB53" s="35">
        <v>-3627.3999999999996</v>
      </c>
      <c r="AC53" s="35">
        <v>4363.3999999999996</v>
      </c>
      <c r="AD53" s="35">
        <v>0</v>
      </c>
      <c r="AE53" s="35">
        <v>0</v>
      </c>
      <c r="AF53" s="35">
        <v>-868.97500000000582</v>
      </c>
      <c r="AG53" s="35">
        <v>0.76730769232381135</v>
      </c>
      <c r="AH53" s="35">
        <v>0</v>
      </c>
    </row>
    <row r="54" spans="2:34" s="39" customFormat="1" ht="12.75" customHeight="1" x14ac:dyDescent="0.25">
      <c r="B54" s="12" t="s">
        <v>101</v>
      </c>
      <c r="C54" s="12" t="s">
        <v>248</v>
      </c>
      <c r="E54" s="35">
        <v>0</v>
      </c>
      <c r="F54" s="35">
        <v>0</v>
      </c>
      <c r="G54" s="35">
        <v>0</v>
      </c>
      <c r="H54" s="35">
        <v>-135344.23264</v>
      </c>
      <c r="I54" s="35">
        <v>-84473</v>
      </c>
      <c r="J54" s="35">
        <v>0</v>
      </c>
      <c r="K54" s="35">
        <f t="shared" si="0"/>
        <v>-33624.060537692436</v>
      </c>
      <c r="L54" s="41"/>
      <c r="N54" s="35">
        <v>0</v>
      </c>
      <c r="O54" s="35">
        <v>0</v>
      </c>
      <c r="P54" s="35">
        <v>0</v>
      </c>
      <c r="Q54" s="35">
        <v>0</v>
      </c>
      <c r="R54" s="35">
        <v>0</v>
      </c>
      <c r="S54" s="35">
        <v>0</v>
      </c>
      <c r="T54" s="35">
        <v>-21667</v>
      </c>
      <c r="U54" s="35">
        <v>-113677.23264</v>
      </c>
      <c r="V54" s="35">
        <v>-84398</v>
      </c>
      <c r="W54" s="35">
        <v>0</v>
      </c>
      <c r="X54" s="35">
        <v>5315</v>
      </c>
      <c r="Y54" s="35">
        <v>-5390</v>
      </c>
      <c r="Z54" s="35">
        <v>0</v>
      </c>
      <c r="AA54" s="35">
        <v>0</v>
      </c>
      <c r="AB54" s="35">
        <v>0</v>
      </c>
      <c r="AC54" s="35">
        <v>0</v>
      </c>
      <c r="AD54" s="35">
        <v>0</v>
      </c>
      <c r="AE54" s="35">
        <v>0</v>
      </c>
      <c r="AF54" s="35">
        <v>-33624.085999999916</v>
      </c>
      <c r="AG54" s="35">
        <v>2.5462307479756419E-2</v>
      </c>
      <c r="AH54" s="35">
        <v>0</v>
      </c>
    </row>
    <row r="55" spans="2:34" s="39" customFormat="1" ht="12.75" customHeight="1" x14ac:dyDescent="0.25">
      <c r="B55" s="12" t="s">
        <v>150</v>
      </c>
      <c r="C55" s="12" t="s">
        <v>249</v>
      </c>
      <c r="E55" s="35">
        <v>0</v>
      </c>
      <c r="F55" s="35">
        <v>0</v>
      </c>
      <c r="G55" s="35">
        <v>0</v>
      </c>
      <c r="H55" s="35">
        <v>20023</v>
      </c>
      <c r="I55" s="35">
        <v>0</v>
      </c>
      <c r="J55" s="35">
        <v>0</v>
      </c>
      <c r="K55" s="35">
        <f t="shared" si="0"/>
        <v>10282.5</v>
      </c>
      <c r="L55" s="41"/>
      <c r="N55" s="35">
        <v>0</v>
      </c>
      <c r="O55" s="35">
        <v>0</v>
      </c>
      <c r="P55" s="35">
        <v>0</v>
      </c>
      <c r="Q55" s="35">
        <v>0</v>
      </c>
      <c r="R55" s="35">
        <v>0</v>
      </c>
      <c r="S55" s="35">
        <v>0</v>
      </c>
      <c r="T55" s="35">
        <v>0</v>
      </c>
      <c r="U55" s="35">
        <v>20023</v>
      </c>
      <c r="V55" s="35">
        <v>0</v>
      </c>
      <c r="W55" s="35">
        <v>0</v>
      </c>
      <c r="X55" s="35">
        <v>0</v>
      </c>
      <c r="Y55" s="35">
        <v>0</v>
      </c>
      <c r="Z55" s="35">
        <v>0</v>
      </c>
      <c r="AA55" s="35">
        <v>0</v>
      </c>
      <c r="AB55" s="35">
        <v>0</v>
      </c>
      <c r="AC55" s="35">
        <v>0</v>
      </c>
      <c r="AD55" s="35">
        <v>0</v>
      </c>
      <c r="AE55" s="35">
        <v>0</v>
      </c>
      <c r="AF55" s="35">
        <v>10282.5</v>
      </c>
      <c r="AG55" s="35">
        <v>0</v>
      </c>
      <c r="AH55" s="35">
        <v>0</v>
      </c>
    </row>
    <row r="56" spans="2:34" s="39" customFormat="1" ht="12.75" customHeight="1" x14ac:dyDescent="0.25">
      <c r="B56" s="12" t="s">
        <v>144</v>
      </c>
      <c r="C56" s="12" t="s">
        <v>371</v>
      </c>
      <c r="E56" s="35">
        <v>0</v>
      </c>
      <c r="F56" s="35">
        <v>0</v>
      </c>
      <c r="G56" s="35">
        <v>0</v>
      </c>
      <c r="H56" s="35">
        <v>0</v>
      </c>
      <c r="I56" s="35">
        <v>0</v>
      </c>
      <c r="J56" s="35">
        <v>-1867.9250000000002</v>
      </c>
      <c r="K56" s="35">
        <f t="shared" si="0"/>
        <v>0</v>
      </c>
      <c r="L56" s="41"/>
      <c r="N56" s="35"/>
      <c r="O56" s="35"/>
      <c r="P56" s="35"/>
      <c r="Q56" s="35"/>
      <c r="R56" s="35"/>
      <c r="S56" s="35"/>
      <c r="T56" s="35"/>
      <c r="U56" s="35"/>
      <c r="V56" s="35">
        <v>0</v>
      </c>
      <c r="W56" s="35">
        <v>0</v>
      </c>
      <c r="X56" s="35">
        <v>0</v>
      </c>
      <c r="Y56" s="35">
        <v>0</v>
      </c>
      <c r="Z56" s="35">
        <v>0</v>
      </c>
      <c r="AA56" s="35">
        <v>0</v>
      </c>
      <c r="AB56" s="35">
        <v>-1868</v>
      </c>
      <c r="AC56" s="35">
        <v>0</v>
      </c>
      <c r="AD56" s="35">
        <v>0</v>
      </c>
      <c r="AE56" s="35">
        <v>0</v>
      </c>
      <c r="AF56" s="35">
        <v>0</v>
      </c>
      <c r="AG56" s="35">
        <v>0</v>
      </c>
      <c r="AH56" s="35">
        <v>-8871.6799699999992</v>
      </c>
    </row>
    <row r="57" spans="2:34" s="39" customFormat="1" ht="6" customHeight="1" x14ac:dyDescent="0.25">
      <c r="L57" s="41"/>
    </row>
    <row r="58" spans="2:34" s="39" customFormat="1" x14ac:dyDescent="0.25">
      <c r="B58" s="8" t="s">
        <v>64</v>
      </c>
      <c r="C58" s="8" t="s">
        <v>250</v>
      </c>
      <c r="D58" s="96"/>
      <c r="E58" s="27">
        <f>E53+E54+E55+E52</f>
        <v>-110</v>
      </c>
      <c r="F58" s="27">
        <f>F53+F54+F55+F52</f>
        <v>0</v>
      </c>
      <c r="G58" s="27">
        <f>G53+G54+G55+G52</f>
        <v>-410</v>
      </c>
      <c r="H58" s="27">
        <f>H53+H54+H55+H52</f>
        <v>-116459.23264</v>
      </c>
      <c r="I58" s="27">
        <f>I53+I54+I55+I52</f>
        <v>-89385</v>
      </c>
      <c r="J58" s="27">
        <f>J53+J54+J55+J52+J56</f>
        <v>-453929.92499999999</v>
      </c>
      <c r="K58" s="27">
        <f>K53+K54+K55+K52+K56</f>
        <v>99934.007440800997</v>
      </c>
      <c r="L58" s="41"/>
      <c r="N58" s="27">
        <f t="shared" ref="N58:U58" si="3">N53+N54+N55+N52</f>
        <v>-11</v>
      </c>
      <c r="O58" s="27">
        <f t="shared" si="3"/>
        <v>0</v>
      </c>
      <c r="P58" s="27">
        <f t="shared" si="3"/>
        <v>-169</v>
      </c>
      <c r="Q58" s="27">
        <f t="shared" si="3"/>
        <v>-230</v>
      </c>
      <c r="R58" s="27">
        <f t="shared" si="3"/>
        <v>-73</v>
      </c>
      <c r="S58" s="27">
        <f t="shared" si="3"/>
        <v>-98</v>
      </c>
      <c r="T58" s="27">
        <f t="shared" si="3"/>
        <v>-21999</v>
      </c>
      <c r="U58" s="27">
        <f t="shared" si="3"/>
        <v>-94289.232640000002</v>
      </c>
      <c r="V58" s="27">
        <f t="shared" ref="V58:AF58" si="4">V53+V54+V55+V52+V56</f>
        <v>-84997</v>
      </c>
      <c r="W58" s="27">
        <f t="shared" si="4"/>
        <v>-436</v>
      </c>
      <c r="X58" s="27">
        <f t="shared" si="4"/>
        <v>4531</v>
      </c>
      <c r="Y58" s="27">
        <f t="shared" si="4"/>
        <v>-8483</v>
      </c>
      <c r="Z58" s="27">
        <f t="shared" si="4"/>
        <v>-4615</v>
      </c>
      <c r="AA58" s="27">
        <f t="shared" si="4"/>
        <v>-5066</v>
      </c>
      <c r="AB58" s="27">
        <f t="shared" si="4"/>
        <v>-413101.4</v>
      </c>
      <c r="AC58" s="27">
        <f t="shared" si="4"/>
        <v>-31147.599999999999</v>
      </c>
      <c r="AD58" s="27">
        <f t="shared" si="4"/>
        <v>-590255.81510974059</v>
      </c>
      <c r="AE58" s="27">
        <f t="shared" si="4"/>
        <v>186774.86360303243</v>
      </c>
      <c r="AF58" s="27">
        <f t="shared" si="4"/>
        <v>169794.54338749364</v>
      </c>
      <c r="AG58" s="27">
        <f t="shared" ref="AG58:AH58" si="5">AG53+AG54+AG55+AG52+AG56</f>
        <v>333620.41556001554</v>
      </c>
      <c r="AH58" s="27">
        <f t="shared" si="5"/>
        <v>177178.8271496263</v>
      </c>
    </row>
    <row r="59" spans="2:34" x14ac:dyDescent="0.25">
      <c r="L59" s="4"/>
      <c r="U59" s="100"/>
    </row>
    <row r="60" spans="2:34" x14ac:dyDescent="0.25">
      <c r="B60" s="57" t="s">
        <v>65</v>
      </c>
      <c r="C60" s="57" t="s">
        <v>251</v>
      </c>
      <c r="L60" s="4"/>
    </row>
    <row r="61" spans="2:34" s="39" customFormat="1" x14ac:dyDescent="0.25">
      <c r="B61" s="12" t="s">
        <v>66</v>
      </c>
      <c r="C61" s="12" t="s">
        <v>198</v>
      </c>
      <c r="E61" s="35">
        <v>0</v>
      </c>
      <c r="F61" s="35">
        <v>2241</v>
      </c>
      <c r="G61" s="35">
        <v>136285</v>
      </c>
      <c r="H61" s="35">
        <v>1639961</v>
      </c>
      <c r="I61" s="35">
        <v>778554</v>
      </c>
      <c r="J61" s="35"/>
      <c r="K61" s="35">
        <f t="shared" si="0"/>
        <v>689782.42852382641</v>
      </c>
      <c r="L61" s="41"/>
      <c r="N61" s="35">
        <v>5687</v>
      </c>
      <c r="O61" s="35">
        <v>10241</v>
      </c>
      <c r="P61" s="35">
        <v>58537</v>
      </c>
      <c r="Q61" s="35">
        <v>61820</v>
      </c>
      <c r="R61" s="35">
        <v>118715</v>
      </c>
      <c r="S61" s="35">
        <v>202035</v>
      </c>
      <c r="T61" s="35">
        <v>118735</v>
      </c>
      <c r="U61" s="35">
        <v>1200476</v>
      </c>
      <c r="V61" s="35">
        <v>0</v>
      </c>
      <c r="W61" s="35">
        <v>0</v>
      </c>
      <c r="X61" s="35">
        <v>483088</v>
      </c>
      <c r="Y61" s="35">
        <v>295466</v>
      </c>
      <c r="Z61" s="35">
        <v>0</v>
      </c>
      <c r="AA61" s="35">
        <v>0</v>
      </c>
      <c r="AB61" s="35">
        <v>0</v>
      </c>
      <c r="AC61" s="35">
        <v>0</v>
      </c>
      <c r="AD61" s="35">
        <v>694350</v>
      </c>
      <c r="AE61" s="35">
        <v>0</v>
      </c>
      <c r="AF61" s="35">
        <v>-4567.5714761735871</v>
      </c>
      <c r="AG61" s="35">
        <v>0</v>
      </c>
      <c r="AH61" s="35">
        <v>0</v>
      </c>
    </row>
    <row r="62" spans="2:34" s="39" customFormat="1" x14ac:dyDescent="0.25">
      <c r="B62" s="12" t="s">
        <v>67</v>
      </c>
      <c r="C62" s="12" t="s">
        <v>252</v>
      </c>
      <c r="E62" s="35">
        <v>100</v>
      </c>
      <c r="F62" s="35">
        <v>0</v>
      </c>
      <c r="G62" s="35">
        <v>317</v>
      </c>
      <c r="H62" s="35">
        <v>1246</v>
      </c>
      <c r="I62" s="35">
        <v>0</v>
      </c>
      <c r="J62" s="35"/>
      <c r="K62" s="35">
        <f t="shared" si="0"/>
        <v>971315.27354030148</v>
      </c>
      <c r="L62" s="41"/>
      <c r="N62" s="35">
        <v>34</v>
      </c>
      <c r="O62" s="35">
        <v>266</v>
      </c>
      <c r="P62" s="35">
        <v>0</v>
      </c>
      <c r="Q62" s="35">
        <v>17</v>
      </c>
      <c r="R62" s="35">
        <v>0</v>
      </c>
      <c r="S62" s="35">
        <v>0</v>
      </c>
      <c r="T62" s="35">
        <v>0</v>
      </c>
      <c r="U62" s="35">
        <v>1246</v>
      </c>
      <c r="V62" s="35">
        <v>0</v>
      </c>
      <c r="W62" s="35">
        <v>0</v>
      </c>
      <c r="X62" s="35">
        <v>0</v>
      </c>
      <c r="Y62" s="35">
        <v>1257</v>
      </c>
      <c r="Z62" s="35">
        <v>0</v>
      </c>
      <c r="AA62" s="35">
        <v>0</v>
      </c>
      <c r="AB62" s="35">
        <v>0</v>
      </c>
      <c r="AC62" s="35">
        <v>0</v>
      </c>
      <c r="AD62" s="35"/>
      <c r="AE62" s="35">
        <v>0</v>
      </c>
      <c r="AF62" s="35">
        <v>0</v>
      </c>
      <c r="AG62" s="35">
        <v>971315.27354030148</v>
      </c>
      <c r="AH62" s="35">
        <v>-151.17976446106331</v>
      </c>
    </row>
    <row r="63" spans="2:34" s="39" customFormat="1" x14ac:dyDescent="0.25">
      <c r="B63" s="12" t="s">
        <v>68</v>
      </c>
      <c r="C63" s="12" t="s">
        <v>253</v>
      </c>
      <c r="E63" s="35">
        <v>0</v>
      </c>
      <c r="F63" s="35">
        <v>0</v>
      </c>
      <c r="G63" s="35">
        <v>75975</v>
      </c>
      <c r="H63" s="35">
        <v>991643</v>
      </c>
      <c r="I63" s="35">
        <v>0</v>
      </c>
      <c r="J63" s="35"/>
      <c r="K63" s="35">
        <f t="shared" si="0"/>
        <v>0</v>
      </c>
      <c r="L63" s="41"/>
      <c r="N63" s="35">
        <v>475</v>
      </c>
      <c r="O63" s="35">
        <v>20000</v>
      </c>
      <c r="P63" s="35">
        <v>27000</v>
      </c>
      <c r="Q63" s="35">
        <v>28500</v>
      </c>
      <c r="R63" s="35">
        <v>50404</v>
      </c>
      <c r="S63" s="35">
        <v>0</v>
      </c>
      <c r="T63" s="35">
        <v>950119.2876618756</v>
      </c>
      <c r="U63" s="35">
        <v>-8880.2876618755981</v>
      </c>
      <c r="V63" s="35">
        <v>0</v>
      </c>
      <c r="W63" s="35">
        <v>0</v>
      </c>
      <c r="X63" s="35">
        <v>0</v>
      </c>
      <c r="Y63" s="35">
        <v>0</v>
      </c>
      <c r="Z63" s="35">
        <v>0</v>
      </c>
      <c r="AA63" s="35">
        <v>0</v>
      </c>
      <c r="AB63" s="35">
        <v>0</v>
      </c>
      <c r="AC63" s="35">
        <v>0</v>
      </c>
      <c r="AD63" s="35"/>
      <c r="AE63" s="35">
        <v>0</v>
      </c>
      <c r="AF63" s="35">
        <v>0</v>
      </c>
      <c r="AG63" s="35">
        <v>0</v>
      </c>
      <c r="AH63" s="35">
        <v>0</v>
      </c>
    </row>
    <row r="64" spans="2:34" s="39" customFormat="1" x14ac:dyDescent="0.25">
      <c r="B64" s="12" t="s">
        <v>379</v>
      </c>
      <c r="C64" s="12" t="s">
        <v>380</v>
      </c>
      <c r="E64" s="35">
        <v>-819</v>
      </c>
      <c r="F64" s="35">
        <v>-2187</v>
      </c>
      <c r="G64" s="35">
        <v>-21389</v>
      </c>
      <c r="H64" s="35">
        <v>-49185</v>
      </c>
      <c r="I64" s="35">
        <v>-99483</v>
      </c>
      <c r="J64" s="35">
        <v>-100000.10076</v>
      </c>
      <c r="K64" s="35">
        <f t="shared" si="0"/>
        <v>-106800.00000000001</v>
      </c>
      <c r="L64" s="41"/>
      <c r="N64" s="35">
        <v>-959</v>
      </c>
      <c r="O64" s="35">
        <v>-10430</v>
      </c>
      <c r="P64" s="35">
        <v>-10000</v>
      </c>
      <c r="Q64" s="35">
        <v>0</v>
      </c>
      <c r="R64" s="35">
        <v>-5500</v>
      </c>
      <c r="S64" s="35">
        <v>0</v>
      </c>
      <c r="T64" s="35">
        <v>-20428</v>
      </c>
      <c r="U64" s="35">
        <v>-23257</v>
      </c>
      <c r="V64" s="35">
        <v>0</v>
      </c>
      <c r="W64" s="35">
        <v>-40178</v>
      </c>
      <c r="X64" s="35">
        <v>-25305</v>
      </c>
      <c r="Y64" s="35">
        <v>-34000</v>
      </c>
      <c r="Z64" s="35">
        <v>-41000</v>
      </c>
      <c r="AA64" s="35">
        <v>0</v>
      </c>
      <c r="AB64" s="35">
        <v>2704</v>
      </c>
      <c r="AC64" s="35">
        <v>-61704.100760000001</v>
      </c>
      <c r="AD64" s="35">
        <v>-12615</v>
      </c>
      <c r="AE64" s="35">
        <v>-34185</v>
      </c>
      <c r="AF64" s="35">
        <v>-60000.489999999991</v>
      </c>
      <c r="AG64" s="35">
        <v>0.48999999997613486</v>
      </c>
      <c r="AH64" s="35">
        <v>-9054</v>
      </c>
    </row>
    <row r="65" spans="2:34" s="39" customFormat="1" x14ac:dyDescent="0.25">
      <c r="B65" s="12" t="s">
        <v>69</v>
      </c>
      <c r="C65" s="12" t="s">
        <v>254</v>
      </c>
      <c r="E65" s="35">
        <v>-10545</v>
      </c>
      <c r="F65" s="35">
        <v>-19302</v>
      </c>
      <c r="G65" s="35">
        <v>-31904</v>
      </c>
      <c r="H65" s="35">
        <v>-288519</v>
      </c>
      <c r="I65" s="35">
        <v>-611810</v>
      </c>
      <c r="J65" s="35">
        <v>-36450.064779801665</v>
      </c>
      <c r="K65" s="35">
        <f t="shared" si="0"/>
        <v>-1385552.5679487986</v>
      </c>
      <c r="L65" s="41"/>
      <c r="N65" s="35">
        <v>-6700</v>
      </c>
      <c r="O65" s="35">
        <v>-5588</v>
      </c>
      <c r="P65" s="35">
        <v>-8174</v>
      </c>
      <c r="Q65" s="35">
        <v>-11442</v>
      </c>
      <c r="R65" s="35">
        <v>-31710</v>
      </c>
      <c r="S65" s="35">
        <v>-52049</v>
      </c>
      <c r="T65" s="35">
        <v>-48044</v>
      </c>
      <c r="U65" s="35">
        <v>-156716</v>
      </c>
      <c r="V65" s="35">
        <v>-114148</v>
      </c>
      <c r="W65" s="35">
        <v>-200651</v>
      </c>
      <c r="X65" s="35">
        <v>-291618</v>
      </c>
      <c r="Y65" s="35">
        <v>-5393</v>
      </c>
      <c r="Z65" s="35">
        <v>-9643.8684259530146</v>
      </c>
      <c r="AA65" s="35">
        <v>-14934.726632553384</v>
      </c>
      <c r="AB65" s="35">
        <v>-6196.1566532419019</v>
      </c>
      <c r="AC65" s="35">
        <v>-5675.3130680533668</v>
      </c>
      <c r="AD65" s="35">
        <v>-9307.4795364275888</v>
      </c>
      <c r="AE65" s="35">
        <v>-5715.636803548874</v>
      </c>
      <c r="AF65" s="35">
        <v>-449.69296394462617</v>
      </c>
      <c r="AG65" s="35">
        <v>-1370079.7586448775</v>
      </c>
      <c r="AH65" s="35">
        <v>-4165.549260623553</v>
      </c>
    </row>
    <row r="66" spans="2:34" s="39" customFormat="1" x14ac:dyDescent="0.25">
      <c r="B66" s="12" t="s">
        <v>70</v>
      </c>
      <c r="C66" s="12" t="s">
        <v>255</v>
      </c>
      <c r="E66" s="35">
        <v>0</v>
      </c>
      <c r="F66" s="35">
        <v>0</v>
      </c>
      <c r="G66" s="35">
        <v>-693</v>
      </c>
      <c r="H66" s="35">
        <v>-2624</v>
      </c>
      <c r="I66" s="35">
        <v>-5914</v>
      </c>
      <c r="J66" s="35">
        <v>-6560</v>
      </c>
      <c r="K66" s="35">
        <f t="shared" si="0"/>
        <v>-8834.8008126254426</v>
      </c>
      <c r="L66" s="41"/>
      <c r="N66" s="35">
        <v>-78</v>
      </c>
      <c r="O66" s="35">
        <v>-99</v>
      </c>
      <c r="P66" s="35">
        <v>-185</v>
      </c>
      <c r="Q66" s="35">
        <v>-331</v>
      </c>
      <c r="R66" s="35">
        <v>-429</v>
      </c>
      <c r="S66" s="35">
        <v>-561</v>
      </c>
      <c r="T66" s="35">
        <v>-563</v>
      </c>
      <c r="U66" s="35">
        <v>-1071</v>
      </c>
      <c r="V66" s="35">
        <v>-1415.550809138867</v>
      </c>
      <c r="W66" s="35">
        <v>-1851.449190861133</v>
      </c>
      <c r="X66" s="35">
        <v>-1658</v>
      </c>
      <c r="Y66" s="35">
        <v>-989</v>
      </c>
      <c r="Z66" s="35">
        <v>-1489.6746042259847</v>
      </c>
      <c r="AA66" s="35">
        <v>-1356.9429581409954</v>
      </c>
      <c r="AB66" s="35">
        <v>-1634.7573548764399</v>
      </c>
      <c r="AC66" s="35">
        <v>-2078.62508275658</v>
      </c>
      <c r="AD66" s="35">
        <v>-1917</v>
      </c>
      <c r="AE66" s="35">
        <v>-2097.9108114481078</v>
      </c>
      <c r="AF66" s="35">
        <v>-2357.6251810928261</v>
      </c>
      <c r="AG66" s="35">
        <v>-2462.2648200845088</v>
      </c>
      <c r="AH66" s="35">
        <v>-2438.7794942860151</v>
      </c>
    </row>
    <row r="67" spans="2:34" s="39" customFormat="1" x14ac:dyDescent="0.25">
      <c r="B67" s="12" t="s">
        <v>352</v>
      </c>
      <c r="C67" s="12" t="s">
        <v>355</v>
      </c>
      <c r="E67" s="35"/>
      <c r="F67" s="35"/>
      <c r="G67" s="35"/>
      <c r="H67" s="35"/>
      <c r="I67" s="35"/>
      <c r="J67" s="35">
        <v>-216184.98504433245</v>
      </c>
      <c r="K67" s="35">
        <f t="shared" si="0"/>
        <v>-339573.24148289795</v>
      </c>
      <c r="L67" s="41"/>
      <c r="N67" s="35">
        <v>0</v>
      </c>
      <c r="O67" s="35">
        <v>0</v>
      </c>
      <c r="P67" s="35">
        <v>0</v>
      </c>
      <c r="Q67" s="35">
        <v>0</v>
      </c>
      <c r="R67" s="35">
        <v>0</v>
      </c>
      <c r="S67" s="35">
        <v>0</v>
      </c>
      <c r="T67" s="35">
        <v>0</v>
      </c>
      <c r="U67" s="35">
        <v>0</v>
      </c>
      <c r="V67" s="35">
        <v>0</v>
      </c>
      <c r="W67" s="35">
        <v>0</v>
      </c>
      <c r="X67" s="35">
        <v>0</v>
      </c>
      <c r="Y67" s="35">
        <v>0</v>
      </c>
      <c r="Z67" s="35">
        <v>-88335.87</v>
      </c>
      <c r="AA67" s="35">
        <v>-41382.130000000005</v>
      </c>
      <c r="AB67" s="35">
        <v>-84998.606481666997</v>
      </c>
      <c r="AC67" s="35">
        <v>-1468.3785626654571</v>
      </c>
      <c r="AD67" s="35">
        <v>-138431</v>
      </c>
      <c r="AE67" s="35">
        <v>-66752.679858750955</v>
      </c>
      <c r="AF67" s="35">
        <v>-66156.329238520993</v>
      </c>
      <c r="AG67" s="35">
        <v>-68233.232385626005</v>
      </c>
      <c r="AH67" s="35">
        <v>-145604.04703721771</v>
      </c>
    </row>
    <row r="68" spans="2:34" s="39" customFormat="1" x14ac:dyDescent="0.25">
      <c r="B68" s="12" t="s">
        <v>186</v>
      </c>
      <c r="C68" s="12" t="s">
        <v>331</v>
      </c>
      <c r="E68" s="35">
        <v>0</v>
      </c>
      <c r="F68" s="35">
        <v>0</v>
      </c>
      <c r="G68" s="35">
        <v>0</v>
      </c>
      <c r="H68" s="35">
        <v>0</v>
      </c>
      <c r="I68" s="35">
        <v>-8119</v>
      </c>
      <c r="J68" s="35">
        <v>3297.1007600000003</v>
      </c>
      <c r="K68" s="35">
        <f t="shared" si="0"/>
        <v>0</v>
      </c>
      <c r="L68" s="41"/>
      <c r="N68" s="35">
        <v>0</v>
      </c>
      <c r="O68" s="35">
        <v>0</v>
      </c>
      <c r="P68" s="35">
        <v>0</v>
      </c>
      <c r="Q68" s="35">
        <v>0</v>
      </c>
      <c r="R68" s="35">
        <v>0</v>
      </c>
      <c r="S68" s="35">
        <v>0</v>
      </c>
      <c r="T68" s="35">
        <v>0</v>
      </c>
      <c r="U68" s="35">
        <v>0</v>
      </c>
      <c r="V68" s="35">
        <v>0</v>
      </c>
      <c r="W68" s="35">
        <v>-3371</v>
      </c>
      <c r="X68" s="35">
        <v>-4748</v>
      </c>
      <c r="Y68" s="35">
        <v>0</v>
      </c>
      <c r="Z68" s="35">
        <v>0</v>
      </c>
      <c r="AA68" s="35">
        <v>0</v>
      </c>
      <c r="AB68" s="35">
        <v>0</v>
      </c>
      <c r="AC68" s="35">
        <v>3297.1007600000003</v>
      </c>
      <c r="AD68" s="35">
        <v>0</v>
      </c>
      <c r="AE68" s="35">
        <v>0</v>
      </c>
      <c r="AF68" s="35">
        <v>0</v>
      </c>
      <c r="AG68" s="35">
        <v>0</v>
      </c>
      <c r="AH68" s="35">
        <v>0</v>
      </c>
    </row>
    <row r="69" spans="2:34" s="39" customFormat="1" x14ac:dyDescent="0.25">
      <c r="B69" s="12" t="s">
        <v>71</v>
      </c>
      <c r="C69" s="12" t="s">
        <v>256</v>
      </c>
      <c r="E69" s="35">
        <v>-50</v>
      </c>
      <c r="F69" s="35">
        <v>-52</v>
      </c>
      <c r="G69" s="35">
        <v>-57</v>
      </c>
      <c r="H69" s="35">
        <v>-123</v>
      </c>
      <c r="I69" s="35">
        <v>0</v>
      </c>
      <c r="J69" s="35">
        <v>0</v>
      </c>
      <c r="K69" s="35">
        <f t="shared" si="0"/>
        <v>-1900.66696</v>
      </c>
      <c r="L69" s="41"/>
      <c r="N69" s="35">
        <v>-15</v>
      </c>
      <c r="O69" s="35">
        <v>0</v>
      </c>
      <c r="P69" s="35">
        <v>-14</v>
      </c>
      <c r="Q69" s="35">
        <v>-28</v>
      </c>
      <c r="R69" s="35">
        <v>-24</v>
      </c>
      <c r="S69" s="35">
        <v>-24</v>
      </c>
      <c r="T69" s="35">
        <v>-31</v>
      </c>
      <c r="U69" s="35">
        <v>-44</v>
      </c>
      <c r="V69" s="35">
        <v>-1223</v>
      </c>
      <c r="W69" s="35">
        <v>52</v>
      </c>
      <c r="X69" s="35">
        <v>-86</v>
      </c>
      <c r="Y69" s="35">
        <v>0</v>
      </c>
      <c r="Z69" s="35">
        <v>-18</v>
      </c>
      <c r="AA69" s="35">
        <v>-34</v>
      </c>
      <c r="AB69" s="35">
        <v>-13</v>
      </c>
      <c r="AC69" s="35">
        <v>65</v>
      </c>
      <c r="AD69" s="35">
        <v>0</v>
      </c>
      <c r="AE69" s="35">
        <v>-783.98269205617862</v>
      </c>
      <c r="AF69" s="35">
        <v>-554.01730794382138</v>
      </c>
      <c r="AG69" s="35">
        <v>-562.66696000000002</v>
      </c>
      <c r="AH69" s="35">
        <v>-556.00444999999991</v>
      </c>
    </row>
    <row r="70" spans="2:34" s="39" customFormat="1" x14ac:dyDescent="0.25">
      <c r="B70" s="12" t="s">
        <v>72</v>
      </c>
      <c r="C70" s="12" t="s">
        <v>257</v>
      </c>
      <c r="E70" s="35">
        <v>0</v>
      </c>
      <c r="F70" s="35">
        <v>0</v>
      </c>
      <c r="G70" s="35">
        <v>-5168</v>
      </c>
      <c r="H70" s="35">
        <v>0</v>
      </c>
      <c r="I70" s="35">
        <v>0</v>
      </c>
      <c r="J70" s="35">
        <v>0</v>
      </c>
      <c r="K70" s="35">
        <f t="shared" si="0"/>
        <v>0</v>
      </c>
      <c r="L70" s="41"/>
      <c r="N70" s="35">
        <v>0</v>
      </c>
      <c r="O70" s="35">
        <v>-4494</v>
      </c>
      <c r="P70" s="35">
        <v>-666</v>
      </c>
      <c r="Q70" s="35">
        <v>-8</v>
      </c>
      <c r="R70" s="35">
        <v>-969</v>
      </c>
      <c r="S70" s="35">
        <v>0</v>
      </c>
      <c r="T70" s="35">
        <v>-7911</v>
      </c>
      <c r="U70" s="35">
        <v>8880</v>
      </c>
      <c r="V70" s="35">
        <v>0</v>
      </c>
      <c r="W70" s="35">
        <v>0</v>
      </c>
      <c r="X70" s="35">
        <v>0</v>
      </c>
      <c r="Y70" s="35">
        <v>0</v>
      </c>
      <c r="Z70" s="35">
        <v>0</v>
      </c>
      <c r="AA70" s="35">
        <v>0</v>
      </c>
      <c r="AB70" s="35">
        <v>0</v>
      </c>
      <c r="AC70" s="35">
        <v>0</v>
      </c>
      <c r="AD70" s="35">
        <v>0</v>
      </c>
      <c r="AE70" s="35">
        <v>0</v>
      </c>
      <c r="AF70" s="35">
        <v>0</v>
      </c>
      <c r="AG70" s="35">
        <v>0</v>
      </c>
      <c r="AH70" s="35">
        <v>0</v>
      </c>
    </row>
    <row r="71" spans="2:34" s="39" customFormat="1" ht="6" customHeight="1" x14ac:dyDescent="0.25">
      <c r="L71" s="41"/>
    </row>
    <row r="72" spans="2:34" s="39" customFormat="1" x14ac:dyDescent="0.25">
      <c r="B72" s="8" t="s">
        <v>73</v>
      </c>
      <c r="C72" s="8" t="s">
        <v>258</v>
      </c>
      <c r="D72" s="96"/>
      <c r="E72" s="27">
        <v>-11314</v>
      </c>
      <c r="F72" s="27">
        <v>-19300</v>
      </c>
      <c r="G72" s="27">
        <v>153366</v>
      </c>
      <c r="H72" s="27">
        <f>SUM(H61:H70)</f>
        <v>2292399</v>
      </c>
      <c r="I72" s="27">
        <f>SUM(I61:I70)</f>
        <v>53228</v>
      </c>
      <c r="J72" s="27">
        <f>SUM(J61:J70)</f>
        <v>-355898.04982413416</v>
      </c>
      <c r="K72" s="27">
        <f>SUM(K61:K70)</f>
        <v>-181563.57514019415</v>
      </c>
      <c r="L72" s="41"/>
      <c r="N72" s="27">
        <f>SUM(N61:N70)</f>
        <v>-1556</v>
      </c>
      <c r="O72" s="27">
        <f t="shared" ref="O72:AF72" si="6">SUM(O61:O70)</f>
        <v>9896</v>
      </c>
      <c r="P72" s="27">
        <f t="shared" si="6"/>
        <v>66498</v>
      </c>
      <c r="Q72" s="27">
        <f t="shared" si="6"/>
        <v>78528</v>
      </c>
      <c r="R72" s="27">
        <f t="shared" si="6"/>
        <v>130487</v>
      </c>
      <c r="S72" s="27">
        <f t="shared" si="6"/>
        <v>149401</v>
      </c>
      <c r="T72" s="27">
        <f t="shared" si="6"/>
        <v>991877.2876618756</v>
      </c>
      <c r="U72" s="27">
        <f t="shared" si="6"/>
        <v>1020633.7123381244</v>
      </c>
      <c r="V72" s="27">
        <f t="shared" si="6"/>
        <v>-116786.55080913886</v>
      </c>
      <c r="W72" s="27">
        <f t="shared" si="6"/>
        <v>-245999.44919086114</v>
      </c>
      <c r="X72" s="27">
        <f t="shared" si="6"/>
        <v>159673</v>
      </c>
      <c r="Y72" s="27">
        <f t="shared" si="6"/>
        <v>256341</v>
      </c>
      <c r="Z72" s="27">
        <f t="shared" si="6"/>
        <v>-140487.41303017898</v>
      </c>
      <c r="AA72" s="27">
        <f t="shared" si="6"/>
        <v>-57707.799590694383</v>
      </c>
      <c r="AB72" s="27">
        <f t="shared" si="6"/>
        <v>-90138.52048978534</v>
      </c>
      <c r="AC72" s="27">
        <f t="shared" si="6"/>
        <v>-67564.316713475404</v>
      </c>
      <c r="AD72" s="27">
        <f t="shared" si="6"/>
        <v>532079.52046357247</v>
      </c>
      <c r="AE72" s="27">
        <f t="shared" si="6"/>
        <v>-109535.21016580411</v>
      </c>
      <c r="AF72" s="27">
        <f t="shared" si="6"/>
        <v>-134085.72616767584</v>
      </c>
      <c r="AG72" s="27">
        <f t="shared" ref="AG72:AH72" si="7">SUM(AG61:AG70)</f>
        <v>-470022.1592702865</v>
      </c>
      <c r="AH72" s="27">
        <f t="shared" si="7"/>
        <v>-161969.56000658835</v>
      </c>
    </row>
    <row r="73" spans="2:34" s="39" customFormat="1" x14ac:dyDescent="0.25">
      <c r="L73" s="41"/>
    </row>
    <row r="74" spans="2:34" s="39" customFormat="1" x14ac:dyDescent="0.25">
      <c r="B74" s="8" t="s">
        <v>74</v>
      </c>
      <c r="C74" s="8" t="s">
        <v>259</v>
      </c>
      <c r="D74" s="96"/>
      <c r="E74" s="27">
        <v>170</v>
      </c>
      <c r="F74" s="27">
        <v>4333</v>
      </c>
      <c r="G74" s="27">
        <v>77974</v>
      </c>
      <c r="H74" s="27">
        <f>H72+H58+H49</f>
        <v>1583354.3755699999</v>
      </c>
      <c r="I74" s="27">
        <f>I72+I58+I49</f>
        <v>-729763</v>
      </c>
      <c r="J74" s="27">
        <f>J72+J58+J49</f>
        <v>-683952.48078011931</v>
      </c>
      <c r="K74" s="27">
        <f>K72+K58+K49</f>
        <v>-43145.595057861079</v>
      </c>
      <c r="L74" s="41"/>
      <c r="N74" s="27">
        <f t="shared" ref="N74:AE74" si="8">N72+N58+N49</f>
        <v>-2388</v>
      </c>
      <c r="O74" s="27">
        <f t="shared" si="8"/>
        <v>8967</v>
      </c>
      <c r="P74" s="27">
        <f t="shared" si="8"/>
        <v>35666.092210000003</v>
      </c>
      <c r="Q74" s="27">
        <f t="shared" si="8"/>
        <v>35728.907789999997</v>
      </c>
      <c r="R74" s="27">
        <f t="shared" si="8"/>
        <v>24196</v>
      </c>
      <c r="S74" s="27">
        <f t="shared" si="8"/>
        <v>25962</v>
      </c>
      <c r="T74" s="27">
        <f t="shared" si="8"/>
        <v>757486.2876618756</v>
      </c>
      <c r="U74" s="27">
        <f t="shared" si="8"/>
        <v>775710.08790812432</v>
      </c>
      <c r="V74" s="27">
        <f t="shared" si="8"/>
        <v>-315142.43392181455</v>
      </c>
      <c r="W74" s="27">
        <f t="shared" si="8"/>
        <v>-469020.56607818545</v>
      </c>
      <c r="X74" s="27">
        <f t="shared" si="8"/>
        <v>-24604.000000000058</v>
      </c>
      <c r="Y74" s="27">
        <f t="shared" si="8"/>
        <v>79004</v>
      </c>
      <c r="Z74" s="27">
        <f t="shared" si="8"/>
        <v>-68968.743739999743</v>
      </c>
      <c r="AA74" s="27">
        <f t="shared" si="8"/>
        <v>-106410.85573834412</v>
      </c>
      <c r="AB74" s="27">
        <f t="shared" si="8"/>
        <v>-383540.56430484337</v>
      </c>
      <c r="AC74" s="27">
        <f t="shared" si="8"/>
        <v>-125032.94542574169</v>
      </c>
      <c r="AD74" s="27">
        <f t="shared" si="8"/>
        <v>10224.185270000395</v>
      </c>
      <c r="AE74" s="27">
        <f t="shared" si="8"/>
        <v>-21633.901064060134</v>
      </c>
      <c r="AF74" s="27">
        <f>AF72+AF58+AF49</f>
        <v>142204.87827400453</v>
      </c>
      <c r="AG74" s="27">
        <f>AG72+AG58+AG49</f>
        <v>-174288.75753780562</v>
      </c>
      <c r="AH74" s="27">
        <f>AH72+AH58+AH49</f>
        <v>259727.99682872024</v>
      </c>
    </row>
    <row r="75" spans="2:34" s="39" customFormat="1" x14ac:dyDescent="0.25">
      <c r="H75" s="35"/>
      <c r="I75" s="35"/>
      <c r="J75" s="35"/>
      <c r="K75" s="35">
        <f t="shared" ref="K75" si="9">SUM(AD75:AG75)</f>
        <v>0</v>
      </c>
      <c r="L75" s="41"/>
      <c r="T75" s="35"/>
      <c r="U75" s="35"/>
      <c r="V75" s="35"/>
      <c r="W75" s="35"/>
      <c r="X75" s="35"/>
      <c r="Y75" s="35"/>
      <c r="Z75" s="35"/>
      <c r="AA75" s="35"/>
      <c r="AB75" s="35"/>
      <c r="AC75" s="35"/>
      <c r="AD75" s="35"/>
      <c r="AE75" s="35"/>
      <c r="AF75" s="35"/>
      <c r="AG75" s="35"/>
      <c r="AH75" s="35"/>
    </row>
    <row r="76" spans="2:34" s="39" customFormat="1" x14ac:dyDescent="0.25">
      <c r="B76" s="12" t="s">
        <v>75</v>
      </c>
      <c r="C76" s="12" t="s">
        <v>260</v>
      </c>
      <c r="E76" s="35">
        <v>2290</v>
      </c>
      <c r="F76" s="35">
        <v>3828</v>
      </c>
      <c r="G76" s="35">
        <v>6793</v>
      </c>
      <c r="H76" s="35">
        <f>G77</f>
        <v>84767</v>
      </c>
      <c r="I76" s="35">
        <f>H77</f>
        <v>1668121.3755699999</v>
      </c>
      <c r="J76" s="35">
        <f>I77</f>
        <v>938358.37556999992</v>
      </c>
      <c r="K76" s="35">
        <f>AC77</f>
        <v>254405.26636107077</v>
      </c>
      <c r="L76" s="41"/>
      <c r="N76" s="35">
        <v>6793</v>
      </c>
      <c r="O76" s="35">
        <f t="shared" ref="O76:Q76" si="10">N77</f>
        <v>4405</v>
      </c>
      <c r="P76" s="35">
        <f t="shared" si="10"/>
        <v>13372</v>
      </c>
      <c r="Q76" s="35">
        <f t="shared" si="10"/>
        <v>49038.092210000003</v>
      </c>
      <c r="R76" s="35">
        <f>Q77</f>
        <v>84767</v>
      </c>
      <c r="S76" s="35">
        <f t="shared" ref="S76" si="11">R77</f>
        <v>108963</v>
      </c>
      <c r="T76" s="35">
        <f>S77</f>
        <v>134925</v>
      </c>
      <c r="U76" s="35">
        <f t="shared" ref="U76" si="12">T77</f>
        <v>892411.2876618756</v>
      </c>
      <c r="V76" s="35">
        <f t="shared" ref="V76:Z76" si="13">U77</f>
        <v>1668121.3755699999</v>
      </c>
      <c r="W76" s="35">
        <f t="shared" si="13"/>
        <v>1352978.9416481853</v>
      </c>
      <c r="X76" s="35">
        <f t="shared" si="13"/>
        <v>883958.3755699998</v>
      </c>
      <c r="Y76" s="35">
        <f t="shared" si="13"/>
        <v>859354.37556999968</v>
      </c>
      <c r="Z76" s="35">
        <f t="shared" si="13"/>
        <v>938358.37556999968</v>
      </c>
      <c r="AA76" s="35">
        <f t="shared" ref="AA76:AF76" si="14">Z77</f>
        <v>869389.63182999997</v>
      </c>
      <c r="AB76" s="35">
        <f t="shared" si="14"/>
        <v>762978.77609165583</v>
      </c>
      <c r="AC76" s="35">
        <f t="shared" si="14"/>
        <v>379438.21178681246</v>
      </c>
      <c r="AD76" s="35">
        <f t="shared" si="14"/>
        <v>254405.26636107077</v>
      </c>
      <c r="AE76" s="35">
        <f t="shared" si="14"/>
        <v>264629.45163107116</v>
      </c>
      <c r="AF76" s="35">
        <f t="shared" si="14"/>
        <v>242994.55056701103</v>
      </c>
      <c r="AG76" s="35">
        <f>AF77</f>
        <v>385200</v>
      </c>
      <c r="AH76" s="35">
        <f>AG77</f>
        <v>210912.24246219438</v>
      </c>
    </row>
    <row r="77" spans="2:34" s="39" customFormat="1" x14ac:dyDescent="0.25">
      <c r="B77" s="12" t="s">
        <v>76</v>
      </c>
      <c r="C77" s="12" t="s">
        <v>261</v>
      </c>
      <c r="E77" s="35">
        <v>3828</v>
      </c>
      <c r="F77" s="35">
        <v>6794</v>
      </c>
      <c r="G77" s="35">
        <v>84767</v>
      </c>
      <c r="H77" s="35">
        <f>H74+H76</f>
        <v>1668121.3755699999</v>
      </c>
      <c r="I77" s="35">
        <f>I74+I76</f>
        <v>938358.37556999992</v>
      </c>
      <c r="J77" s="35">
        <f>J74+J76</f>
        <v>254405.89478988061</v>
      </c>
      <c r="K77" s="35">
        <f>K76+SUM(AD74:AG74)</f>
        <v>210911.67130320994</v>
      </c>
      <c r="L77" s="41"/>
      <c r="N77" s="35">
        <f>N74+N76</f>
        <v>4405</v>
      </c>
      <c r="O77" s="35">
        <f t="shared" ref="O77" si="15">O74+O76</f>
        <v>13372</v>
      </c>
      <c r="P77" s="35">
        <f t="shared" ref="P77" si="16">P74+P76</f>
        <v>49038.092210000003</v>
      </c>
      <c r="Q77" s="35">
        <f t="shared" ref="Q77" si="17">Q74+Q76</f>
        <v>84767</v>
      </c>
      <c r="R77" s="35">
        <f t="shared" ref="R77" si="18">R74+R76</f>
        <v>108963</v>
      </c>
      <c r="S77" s="35">
        <f t="shared" ref="S77" si="19">S74+S76</f>
        <v>134925</v>
      </c>
      <c r="T77" s="35">
        <f t="shared" ref="T77" si="20">T74+T76</f>
        <v>892411.2876618756</v>
      </c>
      <c r="U77" s="35">
        <f t="shared" ref="U77:Z77" si="21">U74+U76</f>
        <v>1668121.3755699999</v>
      </c>
      <c r="V77" s="35">
        <f t="shared" si="21"/>
        <v>1352978.9416481853</v>
      </c>
      <c r="W77" s="35">
        <f t="shared" si="21"/>
        <v>883958.3755699998</v>
      </c>
      <c r="X77" s="35">
        <f t="shared" si="21"/>
        <v>859354.37556999968</v>
      </c>
      <c r="Y77" s="35">
        <f t="shared" si="21"/>
        <v>938358.37556999968</v>
      </c>
      <c r="Z77" s="35">
        <f t="shared" si="21"/>
        <v>869389.63182999997</v>
      </c>
      <c r="AA77" s="35">
        <f t="shared" ref="AA77:AB77" si="22">AA74+AA76</f>
        <v>762978.77609165583</v>
      </c>
      <c r="AB77" s="35">
        <f t="shared" si="22"/>
        <v>379438.21178681246</v>
      </c>
      <c r="AC77" s="35">
        <f t="shared" ref="AC77:AD77" si="23">AC74+AC76</f>
        <v>254405.26636107077</v>
      </c>
      <c r="AD77" s="35">
        <f t="shared" si="23"/>
        <v>264629.45163107116</v>
      </c>
      <c r="AE77" s="35">
        <f>AE74+AE76-1</f>
        <v>242994.55056701103</v>
      </c>
      <c r="AF77" s="35">
        <v>385200</v>
      </c>
      <c r="AG77" s="35">
        <f>AG74+AG76+1</f>
        <v>210912.24246219438</v>
      </c>
      <c r="AH77" s="35">
        <f>AH74+AH76</f>
        <v>470640.23929091461</v>
      </c>
    </row>
    <row r="78" spans="2:34" s="39" customFormat="1" x14ac:dyDescent="0.25">
      <c r="AF78" s="62"/>
    </row>
    <row r="79" spans="2:34" s="39" customFormat="1" x14ac:dyDescent="0.25">
      <c r="B79" s="16" t="s">
        <v>94</v>
      </c>
      <c r="AF79" s="62"/>
      <c r="AG79" s="62"/>
    </row>
    <row r="80" spans="2:34" s="39" customFormat="1" x14ac:dyDescent="0.25">
      <c r="B80" s="16" t="s">
        <v>262</v>
      </c>
    </row>
    <row r="81" spans="33:34" s="39" customFormat="1" x14ac:dyDescent="0.25"/>
    <row r="82" spans="33:34" s="39" customFormat="1" x14ac:dyDescent="0.25"/>
    <row r="83" spans="33:34" s="39" customFormat="1" x14ac:dyDescent="0.25">
      <c r="AG83" s="62"/>
      <c r="AH83" s="62"/>
    </row>
    <row r="84" spans="33:34" s="39" customFormat="1" x14ac:dyDescent="0.25"/>
  </sheetData>
  <phoneticPr fontId="12" type="noConversion"/>
  <pageMargins left="0.7" right="0.7" top="0.75" bottom="0.75" header="0.3" footer="0.3"/>
  <pageSetup paperSize="9" orientation="portrait" r:id="rId1"/>
  <ignoredErrors>
    <ignoredError sqref="K6:K26 K29:K47 K61:K70 K52:K56"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A42BF-05A3-4972-8F5D-409B99B5E76F}">
  <sheetPr>
    <tabColor theme="4" tint="-0.249977111117893"/>
  </sheetPr>
  <dimension ref="A1:AN139"/>
  <sheetViews>
    <sheetView showGridLines="0" tabSelected="1" zoomScale="85" zoomScaleNormal="85" workbookViewId="0">
      <pane xSplit="3" ySplit="4" topLeftCell="R18" activePane="bottomRight" state="frozen"/>
      <selection pane="topRight" activeCell="D1" sqref="D1"/>
      <selection pane="bottomLeft" activeCell="A5" sqref="A5"/>
      <selection pane="bottomRight" activeCell="A96" sqref="A96"/>
    </sheetView>
  </sheetViews>
  <sheetFormatPr defaultRowHeight="15" outlineLevelRow="1" outlineLevelCol="1" x14ac:dyDescent="0.25"/>
  <cols>
    <col min="1" max="1" width="2.7109375" customWidth="1"/>
    <col min="2" max="2" width="58.140625" customWidth="1"/>
    <col min="3" max="3" width="74.42578125" hidden="1" customWidth="1" outlineLevel="1"/>
    <col min="4" max="4" width="18.7109375" customWidth="1" collapsed="1"/>
    <col min="5" max="6" width="11.42578125" customWidth="1" outlineLevel="1"/>
    <col min="7" max="7" width="12.42578125" customWidth="1" outlineLevel="1"/>
    <col min="8" max="9" width="11.5703125" customWidth="1" outlineLevel="1"/>
    <col min="10" max="11" width="13.28515625" customWidth="1" outlineLevel="1"/>
    <col min="12" max="13" width="10.7109375" customWidth="1" outlineLevel="1"/>
    <col min="14" max="14" width="2.7109375" customWidth="1" outlineLevel="1"/>
    <col min="15" max="15" width="2.7109375" customWidth="1"/>
    <col min="16" max="18" width="10.7109375" customWidth="1" outlineLevel="1"/>
    <col min="19" max="19" width="9.28515625" customWidth="1" outlineLevel="1"/>
    <col min="20" max="27" width="10.7109375" customWidth="1" outlineLevel="1"/>
    <col min="28" max="38" width="10.7109375" customWidth="1"/>
    <col min="40" max="40" width="10.140625" bestFit="1" customWidth="1"/>
  </cols>
  <sheetData>
    <row r="1" spans="1:40" ht="12" customHeight="1" x14ac:dyDescent="0.25"/>
    <row r="2" spans="1:40" ht="21" x14ac:dyDescent="0.25">
      <c r="B2" s="14" t="s">
        <v>77</v>
      </c>
      <c r="C2" s="14" t="s">
        <v>263</v>
      </c>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row>
    <row r="3" spans="1:40" ht="12" customHeight="1" x14ac:dyDescent="0.35">
      <c r="B3" s="1"/>
      <c r="C3" s="1"/>
      <c r="P3" s="19" t="s">
        <v>306</v>
      </c>
      <c r="Q3" s="19" t="s">
        <v>307</v>
      </c>
      <c r="R3" s="19" t="s">
        <v>308</v>
      </c>
      <c r="S3" s="19" t="s">
        <v>309</v>
      </c>
      <c r="T3" s="19" t="s">
        <v>310</v>
      </c>
      <c r="U3" s="19" t="s">
        <v>311</v>
      </c>
      <c r="V3" s="19" t="s">
        <v>312</v>
      </c>
      <c r="W3" s="19" t="s">
        <v>313</v>
      </c>
      <c r="X3" s="19" t="s">
        <v>314</v>
      </c>
      <c r="Y3" s="19" t="s">
        <v>315</v>
      </c>
      <c r="Z3" s="19" t="s">
        <v>316</v>
      </c>
      <c r="AA3" s="19" t="s">
        <v>318</v>
      </c>
      <c r="AB3" s="19" t="s">
        <v>345</v>
      </c>
      <c r="AC3" s="19" t="s">
        <v>361</v>
      </c>
      <c r="AD3" s="19" t="s">
        <v>367</v>
      </c>
      <c r="AE3" s="19" t="s">
        <v>375</v>
      </c>
      <c r="AF3" s="19" t="s">
        <v>389</v>
      </c>
      <c r="AG3" s="19" t="s">
        <v>405</v>
      </c>
      <c r="AH3" s="19" t="s">
        <v>407</v>
      </c>
      <c r="AI3" s="19" t="s">
        <v>418</v>
      </c>
      <c r="AJ3" s="19" t="s">
        <v>428</v>
      </c>
    </row>
    <row r="4" spans="1:40" ht="18" x14ac:dyDescent="0.25">
      <c r="A4" s="38"/>
      <c r="B4" s="2" t="s">
        <v>0</v>
      </c>
      <c r="C4" s="2" t="s">
        <v>165</v>
      </c>
      <c r="D4" s="3"/>
      <c r="E4" s="18">
        <v>2018</v>
      </c>
      <c r="F4" s="18">
        <v>2019</v>
      </c>
      <c r="G4" s="18">
        <v>2020</v>
      </c>
      <c r="H4" s="18">
        <v>2021</v>
      </c>
      <c r="I4" s="18">
        <v>2022</v>
      </c>
      <c r="J4" s="18">
        <v>2023</v>
      </c>
      <c r="K4" s="18">
        <v>2024</v>
      </c>
      <c r="L4" s="19" t="s">
        <v>374</v>
      </c>
      <c r="M4" s="19" t="s">
        <v>417</v>
      </c>
      <c r="N4" s="58"/>
      <c r="O4" s="6"/>
      <c r="P4" s="19" t="s">
        <v>86</v>
      </c>
      <c r="Q4" s="19" t="s">
        <v>87</v>
      </c>
      <c r="R4" s="19" t="s">
        <v>95</v>
      </c>
      <c r="S4" s="19" t="s">
        <v>96</v>
      </c>
      <c r="T4" s="19" t="s">
        <v>1</v>
      </c>
      <c r="U4" s="19" t="s">
        <v>2</v>
      </c>
      <c r="V4" s="19" t="s">
        <v>97</v>
      </c>
      <c r="W4" s="19" t="s">
        <v>143</v>
      </c>
      <c r="X4" s="19" t="s">
        <v>158</v>
      </c>
      <c r="Y4" s="19" t="s">
        <v>185</v>
      </c>
      <c r="Z4" s="19" t="s">
        <v>305</v>
      </c>
      <c r="AA4" s="19" t="s">
        <v>319</v>
      </c>
      <c r="AB4" s="19" t="s">
        <v>346</v>
      </c>
      <c r="AC4" s="19" t="s">
        <v>362</v>
      </c>
      <c r="AD4" s="19" t="s">
        <v>368</v>
      </c>
      <c r="AE4" s="19" t="s">
        <v>376</v>
      </c>
      <c r="AF4" s="19" t="s">
        <v>390</v>
      </c>
      <c r="AG4" s="19" t="s">
        <v>406</v>
      </c>
      <c r="AH4" s="19" t="s">
        <v>408</v>
      </c>
      <c r="AI4" s="19" t="s">
        <v>419</v>
      </c>
      <c r="AJ4" s="19" t="s">
        <v>429</v>
      </c>
      <c r="AK4" s="19" t="s">
        <v>105</v>
      </c>
      <c r="AL4" s="19" t="s">
        <v>106</v>
      </c>
    </row>
    <row r="5" spans="1:40" ht="6" customHeight="1" x14ac:dyDescent="0.25">
      <c r="A5" s="38"/>
      <c r="B5" s="76"/>
      <c r="C5" s="76"/>
      <c r="D5" s="75"/>
      <c r="E5" s="74"/>
      <c r="F5" s="74"/>
      <c r="G5" s="74"/>
      <c r="H5" s="74"/>
      <c r="I5" s="74"/>
      <c r="J5" s="74"/>
      <c r="K5" s="74"/>
      <c r="L5" s="73"/>
      <c r="M5" s="73"/>
      <c r="N5" s="58"/>
      <c r="O5" s="6"/>
      <c r="P5" s="73"/>
      <c r="Q5" s="73"/>
      <c r="R5" s="73"/>
      <c r="S5" s="73"/>
      <c r="T5" s="73"/>
      <c r="U5" s="73"/>
      <c r="V5" s="73"/>
      <c r="W5" s="73"/>
      <c r="X5" s="73"/>
      <c r="Y5" s="73"/>
      <c r="Z5" s="73"/>
      <c r="AA5" s="73"/>
      <c r="AB5" s="73"/>
      <c r="AC5" s="73"/>
      <c r="AD5" s="73"/>
      <c r="AE5" s="73"/>
      <c r="AF5" s="73"/>
      <c r="AG5" s="73"/>
      <c r="AH5" s="73"/>
      <c r="AI5" s="73"/>
      <c r="AJ5" s="73"/>
      <c r="AK5" s="73"/>
      <c r="AL5" s="73"/>
    </row>
    <row r="6" spans="1:40" ht="6" customHeight="1" x14ac:dyDescent="0.25">
      <c r="A6" s="38"/>
      <c r="N6" s="59"/>
    </row>
    <row r="7" spans="1:40" s="39" customFormat="1" ht="18" x14ac:dyDescent="0.25">
      <c r="A7" s="81"/>
      <c r="B7" s="8" t="s">
        <v>113</v>
      </c>
      <c r="C7" s="8" t="s">
        <v>264</v>
      </c>
      <c r="D7" s="47"/>
      <c r="E7" s="47"/>
      <c r="F7" s="47"/>
      <c r="G7" s="47"/>
      <c r="H7" s="47"/>
      <c r="I7" s="47"/>
      <c r="J7" s="47"/>
      <c r="K7" s="47"/>
      <c r="L7" s="47"/>
      <c r="M7" s="47"/>
      <c r="N7" s="60"/>
      <c r="P7" s="47"/>
      <c r="Q7" s="47"/>
      <c r="R7" s="47"/>
      <c r="S7" s="47"/>
      <c r="T7" s="47"/>
      <c r="U7" s="47"/>
      <c r="V7" s="47"/>
      <c r="W7" s="47"/>
      <c r="X7" s="47"/>
      <c r="Y7" s="47"/>
      <c r="Z7" s="47"/>
      <c r="AA7" s="47"/>
      <c r="AB7" s="47"/>
      <c r="AC7" s="47"/>
      <c r="AD7" s="47"/>
      <c r="AE7" s="47"/>
      <c r="AF7" s="47"/>
      <c r="AG7" s="47"/>
      <c r="AH7" s="47"/>
      <c r="AI7" s="47"/>
      <c r="AJ7" s="47"/>
      <c r="AK7" s="47"/>
      <c r="AL7" s="47"/>
    </row>
    <row r="8" spans="1:40" s="39" customFormat="1" ht="6.75" customHeight="1" outlineLevel="1" x14ac:dyDescent="0.25">
      <c r="A8" s="81"/>
      <c r="N8" s="60"/>
    </row>
    <row r="9" spans="1:40" s="39" customFormat="1" ht="18" outlineLevel="1" x14ac:dyDescent="0.25">
      <c r="A9" s="81"/>
      <c r="B9" s="5" t="s">
        <v>152</v>
      </c>
      <c r="C9" s="5" t="s">
        <v>265</v>
      </c>
      <c r="D9" s="48"/>
      <c r="E9" s="37">
        <v>259</v>
      </c>
      <c r="F9" s="37">
        <v>424</v>
      </c>
      <c r="G9" s="37">
        <v>1046</v>
      </c>
      <c r="H9" s="37">
        <f>W9</f>
        <v>6225</v>
      </c>
      <c r="I9" s="37">
        <f>AA9</f>
        <v>9483</v>
      </c>
      <c r="J9" s="37">
        <f>AE9</f>
        <v>10206</v>
      </c>
      <c r="K9" s="37">
        <v>11247</v>
      </c>
      <c r="L9" s="36">
        <f>J9/I9-1</f>
        <v>7.6241695665928422E-2</v>
      </c>
      <c r="M9" s="36">
        <f>K9/J9-1</f>
        <v>0.10199882422104634</v>
      </c>
      <c r="N9" s="71"/>
      <c r="O9" s="48"/>
      <c r="P9" s="37">
        <v>510</v>
      </c>
      <c r="Q9" s="37">
        <v>603</v>
      </c>
      <c r="R9" s="37">
        <v>879</v>
      </c>
      <c r="S9" s="37">
        <v>1046</v>
      </c>
      <c r="T9" s="37">
        <v>1403</v>
      </c>
      <c r="U9" s="37">
        <v>1902</v>
      </c>
      <c r="V9" s="37">
        <v>2776</v>
      </c>
      <c r="W9" s="37">
        <v>6225</v>
      </c>
      <c r="X9" s="37">
        <v>6898</v>
      </c>
      <c r="Y9" s="37">
        <v>7522</v>
      </c>
      <c r="Z9" s="37">
        <v>8823</v>
      </c>
      <c r="AA9" s="37">
        <v>9483</v>
      </c>
      <c r="AB9" s="37">
        <v>9498</v>
      </c>
      <c r="AC9" s="37">
        <v>9852</v>
      </c>
      <c r="AD9" s="37">
        <v>10125</v>
      </c>
      <c r="AE9" s="37">
        <v>10206</v>
      </c>
      <c r="AF9" s="37">
        <v>10226</v>
      </c>
      <c r="AG9" s="37">
        <v>10634</v>
      </c>
      <c r="AH9" s="37">
        <v>11258</v>
      </c>
      <c r="AI9" s="37">
        <v>11247</v>
      </c>
      <c r="AJ9" s="37">
        <v>11525</v>
      </c>
      <c r="AK9" s="36">
        <f>AJ9/AF9-1</f>
        <v>0.12702914140426369</v>
      </c>
      <c r="AL9" s="36">
        <f>AJ9/AI9-1</f>
        <v>2.4717702498443961E-2</v>
      </c>
    </row>
    <row r="10" spans="1:40" s="39" customFormat="1" ht="18" outlineLevel="1" x14ac:dyDescent="0.25">
      <c r="A10" s="81"/>
      <c r="B10" s="7" t="s">
        <v>421</v>
      </c>
      <c r="C10" s="5" t="s">
        <v>332</v>
      </c>
      <c r="D10" s="48"/>
      <c r="E10" s="37">
        <v>82898.879416949989</v>
      </c>
      <c r="F10" s="37">
        <v>126715.25690694999</v>
      </c>
      <c r="G10" s="37">
        <v>335603.05056695006</v>
      </c>
      <c r="H10" s="37">
        <v>1139095</v>
      </c>
      <c r="I10" s="37">
        <v>2285585</v>
      </c>
      <c r="J10" s="37">
        <v>2630513</v>
      </c>
      <c r="K10" s="37">
        <v>3075979</v>
      </c>
      <c r="L10" s="36">
        <f t="shared" ref="L10:L11" si="0">J10/I10-1</f>
        <v>0.15091453610344829</v>
      </c>
      <c r="M10" s="36">
        <f t="shared" ref="M10:M11" si="1">K10/J10-1</f>
        <v>0.16934567515917998</v>
      </c>
      <c r="N10" s="71"/>
      <c r="O10" s="48"/>
      <c r="P10" s="37">
        <v>154721.22585694998</v>
      </c>
      <c r="Q10" s="37">
        <v>186668.95594695001</v>
      </c>
      <c r="R10" s="37">
        <v>275215.48913695</v>
      </c>
      <c r="S10" s="37">
        <v>335603.05056695006</v>
      </c>
      <c r="T10" s="37">
        <v>450574.35834695003</v>
      </c>
      <c r="U10" s="37">
        <v>633148.69215695013</v>
      </c>
      <c r="V10" s="37">
        <v>906832.99571695004</v>
      </c>
      <c r="W10" s="37">
        <v>1211985.4615511724</v>
      </c>
      <c r="X10" s="37">
        <v>1410541.5655011737</v>
      </c>
      <c r="Y10" s="37">
        <v>1616888.0421541212</v>
      </c>
      <c r="Z10" s="37">
        <v>2102444.1217245571</v>
      </c>
      <c r="AA10" s="37">
        <v>2353715.0692337635</v>
      </c>
      <c r="AB10" s="37">
        <v>2405070.0288414513</v>
      </c>
      <c r="AC10" s="37">
        <v>2494188.7731314516</v>
      </c>
      <c r="AD10" s="37">
        <v>2566524</v>
      </c>
      <c r="AE10" s="37">
        <v>2630513</v>
      </c>
      <c r="AF10" s="37">
        <v>2663696</v>
      </c>
      <c r="AG10" s="37">
        <v>2912189</v>
      </c>
      <c r="AH10" s="37">
        <v>3080833</v>
      </c>
      <c r="AI10" s="37">
        <v>3075979</v>
      </c>
      <c r="AJ10" s="37">
        <v>2976827</v>
      </c>
      <c r="AK10" s="36">
        <f t="shared" ref="AK10:AK11" si="2">AJ10/AF10-1</f>
        <v>0.11755508136063564</v>
      </c>
      <c r="AL10" s="36">
        <f t="shared" ref="AL10:AL11" si="3">AJ10/AI10-1</f>
        <v>-3.2234290286117018E-2</v>
      </c>
      <c r="AN10" s="62"/>
    </row>
    <row r="11" spans="1:40" s="39" customFormat="1" ht="18" outlineLevel="1" x14ac:dyDescent="0.25">
      <c r="A11" s="81"/>
      <c r="B11" s="7" t="s">
        <v>422</v>
      </c>
      <c r="C11" s="5" t="s">
        <v>266</v>
      </c>
      <c r="D11" s="72"/>
      <c r="E11" s="37">
        <v>66740.391924642288</v>
      </c>
      <c r="F11" s="37">
        <v>102040.52627925768</v>
      </c>
      <c r="G11" s="37">
        <v>214699.97944002692</v>
      </c>
      <c r="H11" s="37">
        <v>718596</v>
      </c>
      <c r="I11" s="37">
        <v>1634894</v>
      </c>
      <c r="J11" s="37">
        <v>2444837.75</v>
      </c>
      <c r="K11" s="37">
        <v>2877491</v>
      </c>
      <c r="L11" s="36">
        <f t="shared" si="0"/>
        <v>0.49541055872735473</v>
      </c>
      <c r="M11" s="36">
        <f t="shared" si="1"/>
        <v>0.17696603793032883</v>
      </c>
      <c r="N11" s="71"/>
      <c r="O11" s="48"/>
      <c r="P11" s="37">
        <v>142357.92208444999</v>
      </c>
      <c r="Q11" s="37">
        <v>167279.85818944999</v>
      </c>
      <c r="R11" s="37">
        <v>229311.65104194998</v>
      </c>
      <c r="S11" s="37">
        <v>309466.91959945002</v>
      </c>
      <c r="T11" s="37">
        <v>389469.73689945001</v>
      </c>
      <c r="U11" s="37">
        <v>539950.87958945008</v>
      </c>
      <c r="V11" s="37">
        <v>767947.10714695009</v>
      </c>
      <c r="W11" s="37">
        <v>1111680.3102980598</v>
      </c>
      <c r="X11" s="37">
        <v>1309587.0384411735</v>
      </c>
      <c r="Y11" s="37">
        <v>1507233.9188134801</v>
      </c>
      <c r="Z11" s="37">
        <v>1856707.3991091801</v>
      </c>
      <c r="AA11" s="37">
        <v>2233682.7334078862</v>
      </c>
      <c r="AB11" s="37">
        <v>2373895.5839881855</v>
      </c>
      <c r="AC11" s="37">
        <v>2447514.8731864514</v>
      </c>
      <c r="AD11" s="37">
        <v>2563869.2608142565</v>
      </c>
      <c r="AE11" s="37">
        <f t="shared" ref="AE11:AJ11" si="4">AVERAGE(AD10:AE10)</f>
        <v>2598518.5</v>
      </c>
      <c r="AF11" s="37">
        <f t="shared" si="4"/>
        <v>2647104.5</v>
      </c>
      <c r="AG11" s="37">
        <f t="shared" si="4"/>
        <v>2787942.5</v>
      </c>
      <c r="AH11" s="37">
        <f t="shared" si="4"/>
        <v>2996511</v>
      </c>
      <c r="AI11" s="37">
        <f t="shared" si="4"/>
        <v>3078406</v>
      </c>
      <c r="AJ11" s="37">
        <f t="shared" si="4"/>
        <v>3026403</v>
      </c>
      <c r="AK11" s="36">
        <f t="shared" si="2"/>
        <v>0.14328807192915893</v>
      </c>
      <c r="AL11" s="36">
        <f t="shared" si="3"/>
        <v>-1.6892833498895254E-2</v>
      </c>
      <c r="AN11" s="62"/>
    </row>
    <row r="12" spans="1:40" s="39" customFormat="1" ht="18" outlineLevel="1" x14ac:dyDescent="0.25">
      <c r="A12" s="81"/>
      <c r="B12" s="7" t="s">
        <v>423</v>
      </c>
      <c r="C12" s="50" t="s">
        <v>267</v>
      </c>
      <c r="D12" s="46"/>
      <c r="E12" s="51"/>
      <c r="F12" s="51"/>
      <c r="G12" s="51"/>
      <c r="H12" s="78"/>
      <c r="I12" s="78"/>
      <c r="J12" s="78"/>
      <c r="K12" s="78"/>
      <c r="L12" s="36"/>
      <c r="M12" s="36"/>
      <c r="N12" s="60"/>
      <c r="P12" s="51"/>
      <c r="Q12" s="51"/>
      <c r="R12" s="51"/>
      <c r="S12" s="51"/>
      <c r="T12" s="51"/>
      <c r="U12" s="51"/>
      <c r="V12" s="51"/>
      <c r="W12" s="51"/>
      <c r="X12" s="51"/>
      <c r="Y12" s="51"/>
      <c r="Z12" s="51"/>
      <c r="AA12" s="51"/>
      <c r="AB12" s="51"/>
      <c r="AC12" s="51"/>
      <c r="AD12" s="51"/>
      <c r="AE12" s="114"/>
      <c r="AG12" s="118"/>
      <c r="AH12" s="118"/>
      <c r="AI12" s="118"/>
      <c r="AJ12" s="118"/>
      <c r="AK12" s="37"/>
      <c r="AL12" s="10"/>
    </row>
    <row r="13" spans="1:40" s="39" customFormat="1" ht="18" outlineLevel="1" x14ac:dyDescent="0.25">
      <c r="A13" s="81"/>
      <c r="B13" s="50"/>
      <c r="C13" s="50"/>
      <c r="D13" s="46"/>
      <c r="E13" s="51"/>
      <c r="F13" s="51"/>
      <c r="G13" s="51"/>
      <c r="H13" s="78"/>
      <c r="I13" s="78"/>
      <c r="J13" s="78"/>
      <c r="K13" s="78"/>
      <c r="L13" s="36"/>
      <c r="M13" s="36"/>
      <c r="N13" s="60"/>
      <c r="P13" s="51"/>
      <c r="Q13" s="51"/>
      <c r="R13" s="51"/>
      <c r="S13" s="51"/>
      <c r="T13" s="51"/>
      <c r="U13" s="51"/>
      <c r="V13" s="37"/>
      <c r="W13" s="37"/>
      <c r="X13" s="37"/>
      <c r="Y13" s="37"/>
      <c r="Z13" s="37"/>
      <c r="AA13" s="37"/>
      <c r="AB13" s="37"/>
      <c r="AC13" s="37"/>
      <c r="AD13" s="37"/>
      <c r="AE13" s="37"/>
      <c r="AF13" s="37"/>
      <c r="AG13" s="116"/>
      <c r="AH13" s="116"/>
      <c r="AI13" s="116"/>
      <c r="AJ13" s="116"/>
      <c r="AK13" s="10"/>
      <c r="AL13" s="10"/>
    </row>
    <row r="14" spans="1:40" s="39" customFormat="1" ht="18" outlineLevel="1" x14ac:dyDescent="0.25">
      <c r="A14" s="81"/>
      <c r="B14" s="7" t="s">
        <v>432</v>
      </c>
      <c r="C14" s="7" t="s">
        <v>365</v>
      </c>
      <c r="D14" s="46"/>
      <c r="E14" s="122">
        <f>'DRE - Income Statement'!E7</f>
        <v>45902</v>
      </c>
      <c r="F14" s="122">
        <f>'DRE - Income Statement'!F7</f>
        <v>66829</v>
      </c>
      <c r="G14" s="122">
        <f>'DRE - Income Statement'!G7</f>
        <v>122902</v>
      </c>
      <c r="H14" s="122">
        <f>'DRE - Income Statement'!H7</f>
        <v>426630</v>
      </c>
      <c r="I14" s="122">
        <f>'DRE - Income Statement'!I7</f>
        <v>989762</v>
      </c>
      <c r="J14" s="122">
        <f>'DRE - Income Statement'!J7</f>
        <v>1382753</v>
      </c>
      <c r="K14" s="122">
        <f>SUM(AF14:AI14)</f>
        <v>1741970.1341931133</v>
      </c>
      <c r="L14" s="36"/>
      <c r="M14" s="36"/>
      <c r="N14" s="60"/>
      <c r="P14" s="51"/>
      <c r="Q14" s="51"/>
      <c r="R14" s="51"/>
      <c r="S14" s="51"/>
      <c r="T14" s="102">
        <f>'DRE - Income Statement'!T7</f>
        <v>55140</v>
      </c>
      <c r="U14" s="102">
        <f>'DRE - Income Statement'!U7</f>
        <v>78621</v>
      </c>
      <c r="V14" s="102">
        <f>'DRE - Income Statement'!V7</f>
        <v>109291</v>
      </c>
      <c r="W14" s="102">
        <f>'DRE - Income Statement'!W7</f>
        <v>183578</v>
      </c>
      <c r="X14" s="102">
        <f>'DRE - Income Statement'!X7</f>
        <v>206273</v>
      </c>
      <c r="Y14" s="102">
        <f>'DRE - Income Statement'!Y7</f>
        <v>238394</v>
      </c>
      <c r="Z14" s="102">
        <f>'DRE - Income Statement'!Z7</f>
        <v>255166</v>
      </c>
      <c r="AA14" s="102">
        <f>'DRE - Income Statement'!AA7</f>
        <v>289929</v>
      </c>
      <c r="AB14" s="102">
        <f>'DRE - Income Statement'!AB7</f>
        <v>283195</v>
      </c>
      <c r="AC14" s="102">
        <f>'DRE - Income Statement'!AC7</f>
        <v>324146</v>
      </c>
      <c r="AD14" s="102">
        <f>'DRE - Income Statement'!AD7</f>
        <v>372429</v>
      </c>
      <c r="AE14" s="102">
        <f>'DRE - Income Statement'!AE7</f>
        <v>402983</v>
      </c>
      <c r="AF14" s="102">
        <f>'DRE - Income Statement'!AF7</f>
        <v>404827</v>
      </c>
      <c r="AG14" s="102">
        <v>423066.13419311331</v>
      </c>
      <c r="AH14" s="102">
        <v>470790</v>
      </c>
      <c r="AI14" s="102">
        <v>443287</v>
      </c>
      <c r="AJ14" s="102">
        <v>403887.78434751648</v>
      </c>
      <c r="AK14" s="10"/>
      <c r="AL14" s="10"/>
    </row>
    <row r="15" spans="1:40" s="39" customFormat="1" ht="18" outlineLevel="1" x14ac:dyDescent="0.25">
      <c r="A15" s="81"/>
      <c r="B15" s="5" t="s">
        <v>363</v>
      </c>
      <c r="C15" s="5" t="s">
        <v>366</v>
      </c>
      <c r="D15" s="46"/>
      <c r="E15" s="51">
        <f>E14/E11</f>
        <v>0.68776941034192196</v>
      </c>
      <c r="F15" s="51">
        <f t="shared" ref="F15:K15" si="5">F14/F11</f>
        <v>0.65492606160327771</v>
      </c>
      <c r="G15" s="51">
        <f t="shared" si="5"/>
        <v>0.57243601196678617</v>
      </c>
      <c r="H15" s="51">
        <f t="shared" si="5"/>
        <v>0.59369938045856085</v>
      </c>
      <c r="I15" s="51">
        <f t="shared" si="5"/>
        <v>0.60539827046891115</v>
      </c>
      <c r="J15" s="51">
        <f t="shared" si="5"/>
        <v>0.56558068117199189</v>
      </c>
      <c r="K15" s="51">
        <f t="shared" si="5"/>
        <v>0.60537813469898372</v>
      </c>
      <c r="L15" s="36"/>
      <c r="M15" s="36"/>
      <c r="N15" s="60"/>
      <c r="P15" s="51"/>
      <c r="Q15" s="51"/>
      <c r="R15" s="51"/>
      <c r="S15" s="51"/>
      <c r="T15" s="103">
        <f t="shared" ref="T15:AH15" si="6">T14*4/T11</f>
        <v>0.56630844223191157</v>
      </c>
      <c r="U15" s="103">
        <f t="shared" si="6"/>
        <v>0.58243075784804144</v>
      </c>
      <c r="V15" s="103">
        <f t="shared" si="6"/>
        <v>0.56926316400114618</v>
      </c>
      <c r="W15" s="103">
        <f t="shared" si="6"/>
        <v>0.66054241781355183</v>
      </c>
      <c r="X15" s="103">
        <f t="shared" si="6"/>
        <v>0.63003983376478956</v>
      </c>
      <c r="Y15" s="103">
        <f t="shared" si="6"/>
        <v>0.63266622924109295</v>
      </c>
      <c r="Z15" s="103">
        <f t="shared" si="6"/>
        <v>0.54971720395453749</v>
      </c>
      <c r="AA15" s="103">
        <f t="shared" si="6"/>
        <v>0.51919459404632806</v>
      </c>
      <c r="AB15" s="103">
        <f t="shared" si="6"/>
        <v>0.47718189782252768</v>
      </c>
      <c r="AC15" s="103">
        <f t="shared" si="6"/>
        <v>0.52975530984698793</v>
      </c>
      <c r="AD15" s="103">
        <f t="shared" si="6"/>
        <v>0.58104210802343437</v>
      </c>
      <c r="AE15" s="103">
        <f t="shared" si="6"/>
        <v>0.62032731342878644</v>
      </c>
      <c r="AF15" s="103">
        <f t="shared" si="6"/>
        <v>0.61172802207090804</v>
      </c>
      <c r="AG15" s="103">
        <f t="shared" si="6"/>
        <v>0.60699405987478339</v>
      </c>
      <c r="AH15" s="103">
        <f t="shared" si="6"/>
        <v>0.62845088838318963</v>
      </c>
      <c r="AI15" s="103">
        <f t="shared" ref="AI15:AJ15" si="7">AI14*4/AI11</f>
        <v>0.57599549896927171</v>
      </c>
      <c r="AJ15" s="103">
        <f t="shared" si="7"/>
        <v>0.53381890560842882</v>
      </c>
      <c r="AK15" s="36">
        <f t="shared" ref="AK15" si="8">AJ15/AF15-1</f>
        <v>-0.12735907732120932</v>
      </c>
      <c r="AL15" s="36">
        <f t="shared" ref="AL15" si="9">AJ15/AI15-1</f>
        <v>-7.3223824554734862E-2</v>
      </c>
      <c r="AM15" s="61"/>
    </row>
    <row r="16" spans="1:40" s="39" customFormat="1" x14ac:dyDescent="0.25">
      <c r="A16" s="82" t="s">
        <v>145</v>
      </c>
      <c r="B16" s="5"/>
      <c r="C16" s="5"/>
      <c r="D16" s="48"/>
      <c r="E16" s="37"/>
      <c r="F16" s="37"/>
      <c r="G16" s="37"/>
      <c r="H16" s="37"/>
      <c r="I16" s="37"/>
      <c r="J16" s="37"/>
      <c r="K16" s="37"/>
      <c r="L16" s="36"/>
      <c r="M16" s="36"/>
      <c r="N16" s="60"/>
      <c r="T16" s="37"/>
      <c r="U16" s="37"/>
      <c r="V16" s="37"/>
      <c r="W16" s="37"/>
      <c r="X16" s="37"/>
      <c r="Y16" s="37"/>
      <c r="Z16" s="37"/>
      <c r="AA16" s="83"/>
      <c r="AB16" s="83"/>
      <c r="AC16" s="83"/>
      <c r="AD16" s="83"/>
      <c r="AE16" s="83"/>
      <c r="AF16" s="83"/>
      <c r="AG16" s="83"/>
      <c r="AH16" s="83"/>
      <c r="AI16" s="83"/>
      <c r="AJ16" s="83"/>
      <c r="AK16" s="36"/>
      <c r="AL16" s="36"/>
    </row>
    <row r="17" spans="1:40" s="39" customFormat="1" ht="18" x14ac:dyDescent="0.25">
      <c r="A17" s="81"/>
      <c r="B17" s="8" t="s">
        <v>3</v>
      </c>
      <c r="C17" s="8" t="s">
        <v>3</v>
      </c>
      <c r="D17" s="47"/>
      <c r="E17" s="47"/>
      <c r="F17" s="47"/>
      <c r="G17" s="47"/>
      <c r="H17" s="47"/>
      <c r="I17" s="47"/>
      <c r="J17" s="47"/>
      <c r="K17" s="47"/>
      <c r="L17" s="47"/>
      <c r="M17" s="47"/>
      <c r="N17" s="60"/>
      <c r="P17" s="47"/>
      <c r="Q17" s="47"/>
      <c r="R17" s="47"/>
      <c r="S17" s="47"/>
      <c r="T17" s="47"/>
      <c r="U17" s="47"/>
      <c r="V17" s="47"/>
      <c r="W17" s="105"/>
      <c r="X17" s="105"/>
      <c r="Y17" s="105"/>
      <c r="Z17" s="105"/>
      <c r="AA17" s="105"/>
      <c r="AB17" s="105"/>
      <c r="AC17" s="105"/>
      <c r="AD17" s="105"/>
      <c r="AE17" s="105"/>
      <c r="AF17" s="105"/>
      <c r="AG17" s="105"/>
      <c r="AH17" s="105"/>
      <c r="AI17" s="105"/>
      <c r="AJ17" s="105"/>
      <c r="AK17" s="47"/>
      <c r="AL17" s="47"/>
    </row>
    <row r="18" spans="1:40" s="39" customFormat="1" ht="6.75" customHeight="1" outlineLevel="1" x14ac:dyDescent="0.25">
      <c r="A18" s="81"/>
      <c r="N18" s="60"/>
    </row>
    <row r="19" spans="1:40" s="39" customFormat="1" ht="18" outlineLevel="1" x14ac:dyDescent="0.25">
      <c r="A19" s="81"/>
      <c r="B19" s="7" t="s">
        <v>58</v>
      </c>
      <c r="C19" s="7" t="s">
        <v>268</v>
      </c>
      <c r="E19" s="35">
        <v>1795</v>
      </c>
      <c r="F19" s="35">
        <v>2837</v>
      </c>
      <c r="G19" s="35">
        <f>SUM(P19:S19)</f>
        <v>101279</v>
      </c>
      <c r="H19" s="35">
        <f>SUM(T19:W19)</f>
        <v>645819</v>
      </c>
      <c r="I19" s="35">
        <f>SUM(X19:AA19)</f>
        <v>1017461</v>
      </c>
      <c r="J19" s="35">
        <f>SUM(AB19:AE19)</f>
        <v>177238.85429303569</v>
      </c>
      <c r="K19" s="35">
        <f>SUM(AF19:AI19)</f>
        <v>267359.41993027052</v>
      </c>
      <c r="N19" s="60"/>
      <c r="P19" s="35">
        <v>2500</v>
      </c>
      <c r="Q19" s="35">
        <v>11436</v>
      </c>
      <c r="R19" s="35">
        <v>39254</v>
      </c>
      <c r="S19" s="35">
        <v>48089</v>
      </c>
      <c r="T19" s="35">
        <v>106279</v>
      </c>
      <c r="U19" s="35">
        <v>136982</v>
      </c>
      <c r="V19" s="35">
        <v>239861</v>
      </c>
      <c r="W19" s="35">
        <v>162697</v>
      </c>
      <c r="X19" s="35">
        <v>215710.01175996353</v>
      </c>
      <c r="Y19" s="35">
        <v>228206.98824003647</v>
      </c>
      <c r="Z19" s="35">
        <v>421924.00000000006</v>
      </c>
      <c r="AA19" s="35">
        <v>151620</v>
      </c>
      <c r="AB19" s="35">
        <v>46553</v>
      </c>
      <c r="AC19" s="35">
        <v>38531.3542930357</v>
      </c>
      <c r="AD19" s="35">
        <v>62628.440356740997</v>
      </c>
      <c r="AE19" s="35">
        <v>29526.059643258999</v>
      </c>
      <c r="AF19" s="35">
        <v>51816</v>
      </c>
      <c r="AG19" s="35">
        <v>93344.794854707099</v>
      </c>
      <c r="AH19" s="35">
        <v>76860.865304717212</v>
      </c>
      <c r="AI19" s="35">
        <f>45.3377597708462*1000</f>
        <v>45337.759770846198</v>
      </c>
      <c r="AJ19" s="35">
        <f>103.622026164569*1000</f>
        <v>103622.02616456899</v>
      </c>
      <c r="AN19" s="85"/>
    </row>
    <row r="20" spans="1:40" s="39" customFormat="1" ht="18" outlineLevel="1" x14ac:dyDescent="0.25">
      <c r="A20" s="81"/>
      <c r="B20" s="7" t="s">
        <v>347</v>
      </c>
      <c r="C20" s="7" t="s">
        <v>364</v>
      </c>
      <c r="E20" s="35">
        <v>35541</v>
      </c>
      <c r="F20" s="35">
        <v>45228</v>
      </c>
      <c r="G20" s="35">
        <f>SUM(P20:S20)</f>
        <v>125216</v>
      </c>
      <c r="H20" s="35">
        <f>SUM(T20:W20)</f>
        <v>194742.64067845896</v>
      </c>
      <c r="I20" s="35">
        <f>SUM(X20:AA20)</f>
        <v>235920.97247855557</v>
      </c>
      <c r="J20" s="35">
        <f>SUM(AB20:AE20)</f>
        <v>389720</v>
      </c>
      <c r="K20" s="35">
        <f t="shared" ref="K20:K25" si="10">SUM(AF20:AI20)</f>
        <v>372367</v>
      </c>
      <c r="N20" s="60"/>
      <c r="P20" s="35">
        <v>24970</v>
      </c>
      <c r="Q20" s="35">
        <v>23774</v>
      </c>
      <c r="R20" s="35">
        <v>45000</v>
      </c>
      <c r="S20" s="35">
        <v>31472</v>
      </c>
      <c r="T20" s="35">
        <v>33687</v>
      </c>
      <c r="U20" s="35">
        <v>70987</v>
      </c>
      <c r="V20" s="35">
        <v>41287.732678458982</v>
      </c>
      <c r="W20" s="35">
        <v>48780.907999999996</v>
      </c>
      <c r="X20" s="35">
        <v>11998</v>
      </c>
      <c r="Y20" s="35">
        <v>12385.313</v>
      </c>
      <c r="Z20" s="35">
        <v>115773.5338576556</v>
      </c>
      <c r="AA20" s="35">
        <v>95764.125620899998</v>
      </c>
      <c r="AB20" s="35">
        <v>75669</v>
      </c>
      <c r="AC20" s="35">
        <v>92272</v>
      </c>
      <c r="AD20" s="35">
        <v>125667.584726015</v>
      </c>
      <c r="AE20" s="35">
        <v>96111.415273984996</v>
      </c>
      <c r="AF20" s="35">
        <v>46329</v>
      </c>
      <c r="AG20" s="35">
        <v>224000.93608295301</v>
      </c>
      <c r="AH20" s="35">
        <v>75675.813175081974</v>
      </c>
      <c r="AI20" s="35">
        <f>26.361250741965*1000</f>
        <v>26361.250741965003</v>
      </c>
      <c r="AJ20" s="35">
        <f>26.005*1000</f>
        <v>26005</v>
      </c>
      <c r="AN20" s="85"/>
    </row>
    <row r="21" spans="1:40" s="39" customFormat="1" ht="18" outlineLevel="1" x14ac:dyDescent="0.25">
      <c r="A21" s="81"/>
      <c r="B21" s="11" t="s">
        <v>63</v>
      </c>
      <c r="C21" s="11" t="s">
        <v>247</v>
      </c>
      <c r="D21" s="42"/>
      <c r="E21" s="43">
        <v>110</v>
      </c>
      <c r="F21" s="43">
        <v>0</v>
      </c>
      <c r="G21" s="43">
        <f>SUM(P21:S21)</f>
        <v>410</v>
      </c>
      <c r="H21" s="43">
        <f>SUM(T21:W21)</f>
        <v>1138</v>
      </c>
      <c r="I21" s="43">
        <f>SUM(X21:AA21)</f>
        <v>4912</v>
      </c>
      <c r="J21" s="43">
        <f>SUM(AB21:AE21)</f>
        <v>8945</v>
      </c>
      <c r="K21" s="43">
        <f t="shared" si="10"/>
        <v>868.97500000000582</v>
      </c>
      <c r="L21" s="45"/>
      <c r="M21" s="45"/>
      <c r="N21" s="60"/>
      <c r="P21" s="43">
        <v>11</v>
      </c>
      <c r="Q21" s="43">
        <v>0</v>
      </c>
      <c r="R21" s="43">
        <v>169</v>
      </c>
      <c r="S21" s="43">
        <v>230</v>
      </c>
      <c r="T21" s="43">
        <v>73</v>
      </c>
      <c r="U21" s="43">
        <v>98</v>
      </c>
      <c r="V21" s="43">
        <v>332</v>
      </c>
      <c r="W21" s="43">
        <v>635</v>
      </c>
      <c r="X21" s="43">
        <v>599</v>
      </c>
      <c r="Y21" s="43">
        <v>436</v>
      </c>
      <c r="Z21" s="43">
        <v>784</v>
      </c>
      <c r="AA21" s="43">
        <v>3093</v>
      </c>
      <c r="AB21" s="43">
        <v>4615</v>
      </c>
      <c r="AC21" s="43">
        <v>5066</v>
      </c>
      <c r="AD21" s="43">
        <v>3627.4</v>
      </c>
      <c r="AE21" s="43">
        <v>-4363.3999999999996</v>
      </c>
      <c r="AF21" s="43">
        <v>0</v>
      </c>
      <c r="AG21" s="43">
        <v>0</v>
      </c>
      <c r="AH21" s="43">
        <v>868.97500000000582</v>
      </c>
      <c r="AI21" s="43">
        <v>0</v>
      </c>
      <c r="AJ21" s="43">
        <v>0</v>
      </c>
      <c r="AK21" s="45"/>
      <c r="AL21" s="45"/>
      <c r="AN21" s="85"/>
    </row>
    <row r="22" spans="1:40" s="39" customFormat="1" ht="18" outlineLevel="1" x14ac:dyDescent="0.25">
      <c r="A22" s="81"/>
      <c r="B22" s="5" t="s">
        <v>114</v>
      </c>
      <c r="C22" s="5" t="s">
        <v>303</v>
      </c>
      <c r="D22" s="46"/>
      <c r="E22" s="37">
        <f t="shared" ref="E22:J22" si="11">SUM(E19:E21)</f>
        <v>37446</v>
      </c>
      <c r="F22" s="37">
        <f t="shared" si="11"/>
        <v>48065</v>
      </c>
      <c r="G22" s="37">
        <f t="shared" si="11"/>
        <v>226905</v>
      </c>
      <c r="H22" s="37">
        <f t="shared" si="11"/>
        <v>841699.64067845896</v>
      </c>
      <c r="I22" s="37">
        <f t="shared" si="11"/>
        <v>1258293.9724785555</v>
      </c>
      <c r="J22" s="37">
        <f t="shared" si="11"/>
        <v>575903.85429303569</v>
      </c>
      <c r="K22" s="37">
        <f>SUM(AF22:AI22)</f>
        <v>640595.3949302705</v>
      </c>
      <c r="L22" s="36">
        <f t="shared" ref="L22:L23" si="12">J22/I22-1</f>
        <v>-0.54231374631904583</v>
      </c>
      <c r="M22" s="36">
        <f t="shared" ref="M22:M23" si="13">K22/J22-1</f>
        <v>0.11233045265281039</v>
      </c>
      <c r="N22" s="60"/>
      <c r="P22" s="37">
        <f t="shared" ref="P22:X22" si="14">SUM(P19:P21)</f>
        <v>27481</v>
      </c>
      <c r="Q22" s="37">
        <f t="shared" si="14"/>
        <v>35210</v>
      </c>
      <c r="R22" s="37">
        <f t="shared" si="14"/>
        <v>84423</v>
      </c>
      <c r="S22" s="37">
        <f t="shared" si="14"/>
        <v>79791</v>
      </c>
      <c r="T22" s="37">
        <f t="shared" si="14"/>
        <v>140039</v>
      </c>
      <c r="U22" s="37">
        <f t="shared" si="14"/>
        <v>208067</v>
      </c>
      <c r="V22" s="37">
        <f t="shared" si="14"/>
        <v>281480.73267845897</v>
      </c>
      <c r="W22" s="37">
        <f t="shared" si="14"/>
        <v>212112.908</v>
      </c>
      <c r="X22" s="37">
        <f t="shared" si="14"/>
        <v>228307.01175996353</v>
      </c>
      <c r="Y22" s="37">
        <v>241028.30124003647</v>
      </c>
      <c r="Z22" s="37">
        <f t="shared" ref="Z22:AF22" si="15">SUM(Z19:Z21)</f>
        <v>538481.53385765571</v>
      </c>
      <c r="AA22" s="37">
        <f t="shared" si="15"/>
        <v>250477.12562090001</v>
      </c>
      <c r="AB22" s="37">
        <f t="shared" si="15"/>
        <v>126837</v>
      </c>
      <c r="AC22" s="37">
        <f t="shared" si="15"/>
        <v>135869.35429303569</v>
      </c>
      <c r="AD22" s="37">
        <f t="shared" si="15"/>
        <v>191923.425082756</v>
      </c>
      <c r="AE22" s="37">
        <f t="shared" si="15"/>
        <v>121274.074917244</v>
      </c>
      <c r="AF22" s="37">
        <f t="shared" si="15"/>
        <v>98145</v>
      </c>
      <c r="AG22" s="37">
        <f t="shared" ref="AG22:AH22" si="16">SUM(AG19:AG21)</f>
        <v>317345.73093766009</v>
      </c>
      <c r="AH22" s="37">
        <f t="shared" si="16"/>
        <v>153405.65347979919</v>
      </c>
      <c r="AI22" s="37">
        <f t="shared" ref="AI22:AJ22" si="17">SUM(AI19:AI21)</f>
        <v>71699.010512811205</v>
      </c>
      <c r="AJ22" s="37">
        <f t="shared" si="17"/>
        <v>129627.02616456899</v>
      </c>
      <c r="AK22" s="36">
        <f t="shared" ref="AK22:AK23" si="18">AJ22/AF22-1</f>
        <v>0.32077055544927391</v>
      </c>
      <c r="AL22" s="36">
        <f t="shared" ref="AL22:AL23" si="19">AJ22/AI22-1</f>
        <v>0.80793326487270267</v>
      </c>
    </row>
    <row r="23" spans="1:40" s="39" customFormat="1" ht="18" outlineLevel="1" x14ac:dyDescent="0.25">
      <c r="A23" s="81"/>
      <c r="B23" s="67" t="s">
        <v>153</v>
      </c>
      <c r="C23" s="67" t="s">
        <v>304</v>
      </c>
      <c r="D23" s="70"/>
      <c r="E23" s="49">
        <f t="shared" ref="E23:J23" si="20">E22/12</f>
        <v>3120.5</v>
      </c>
      <c r="F23" s="49">
        <f t="shared" si="20"/>
        <v>4005.4166666666665</v>
      </c>
      <c r="G23" s="49">
        <f t="shared" si="20"/>
        <v>18908.75</v>
      </c>
      <c r="H23" s="49">
        <f t="shared" si="20"/>
        <v>70141.636723204909</v>
      </c>
      <c r="I23" s="49">
        <f t="shared" si="20"/>
        <v>104857.83103987963</v>
      </c>
      <c r="J23" s="49">
        <f t="shared" si="20"/>
        <v>47991.987857752974</v>
      </c>
      <c r="K23" s="49">
        <f t="shared" si="10"/>
        <v>213531.79831009015</v>
      </c>
      <c r="L23" s="66">
        <f t="shared" si="12"/>
        <v>-0.54231374631904594</v>
      </c>
      <c r="M23" s="66">
        <f t="shared" si="13"/>
        <v>3.4493218106112407</v>
      </c>
      <c r="N23" s="69"/>
      <c r="O23" s="68"/>
      <c r="P23" s="49">
        <f t="shared" ref="P23:X23" si="21">P22/3</f>
        <v>9160.3333333333339</v>
      </c>
      <c r="Q23" s="49">
        <f t="shared" si="21"/>
        <v>11736.666666666666</v>
      </c>
      <c r="R23" s="49">
        <f t="shared" si="21"/>
        <v>28141</v>
      </c>
      <c r="S23" s="49">
        <f t="shared" si="21"/>
        <v>26597</v>
      </c>
      <c r="T23" s="49">
        <f t="shared" si="21"/>
        <v>46679.666666666664</v>
      </c>
      <c r="U23" s="49">
        <f t="shared" si="21"/>
        <v>69355.666666666672</v>
      </c>
      <c r="V23" s="49">
        <f t="shared" si="21"/>
        <v>93826.910892819651</v>
      </c>
      <c r="W23" s="49">
        <f t="shared" si="21"/>
        <v>70704.30266666667</v>
      </c>
      <c r="X23" s="49">
        <f t="shared" si="21"/>
        <v>76102.33725332118</v>
      </c>
      <c r="Y23" s="49">
        <v>80342.767080012156</v>
      </c>
      <c r="Z23" s="49">
        <f t="shared" ref="Z23:AF23" si="22">Z22/3</f>
        <v>179493.84461921858</v>
      </c>
      <c r="AA23" s="49">
        <f t="shared" si="22"/>
        <v>83492.375206966666</v>
      </c>
      <c r="AB23" s="49">
        <f t="shared" si="22"/>
        <v>42279</v>
      </c>
      <c r="AC23" s="49">
        <f t="shared" si="22"/>
        <v>45289.784764345233</v>
      </c>
      <c r="AD23" s="49">
        <f t="shared" si="22"/>
        <v>63974.475027585337</v>
      </c>
      <c r="AE23" s="49">
        <f t="shared" si="22"/>
        <v>40424.691639081335</v>
      </c>
      <c r="AF23" s="49">
        <f t="shared" si="22"/>
        <v>32715</v>
      </c>
      <c r="AG23" s="49">
        <f t="shared" ref="AG23:AH23" si="23">AG22/3</f>
        <v>105781.91031255336</v>
      </c>
      <c r="AH23" s="49">
        <f t="shared" si="23"/>
        <v>51135.217826599728</v>
      </c>
      <c r="AI23" s="49">
        <f t="shared" ref="AI23:AJ23" si="24">AI22/3</f>
        <v>23899.670170937068</v>
      </c>
      <c r="AJ23" s="49">
        <f t="shared" si="24"/>
        <v>43209.008721522994</v>
      </c>
      <c r="AK23" s="66">
        <f t="shared" si="18"/>
        <v>0.32077055544927391</v>
      </c>
      <c r="AL23" s="66">
        <f t="shared" si="19"/>
        <v>0.80793326487270245</v>
      </c>
      <c r="AM23" s="68"/>
    </row>
    <row r="24" spans="1:40" s="39" customFormat="1" ht="18" outlineLevel="1" x14ac:dyDescent="0.25">
      <c r="A24" s="81"/>
      <c r="B24" s="11" t="s">
        <v>115</v>
      </c>
      <c r="C24" s="11" t="s">
        <v>269</v>
      </c>
      <c r="D24" s="42"/>
      <c r="E24" s="43">
        <v>0</v>
      </c>
      <c r="F24" s="43">
        <v>0</v>
      </c>
      <c r="G24" s="43">
        <v>0</v>
      </c>
      <c r="H24" s="43">
        <f>SUM(T24:W24)</f>
        <v>295578.55537000002</v>
      </c>
      <c r="I24" s="43">
        <f>SUM(X24:AA24)</f>
        <v>0</v>
      </c>
      <c r="J24" s="43">
        <f>SUM(AB24:AE24)</f>
        <v>0</v>
      </c>
      <c r="K24" s="43">
        <f t="shared" si="10"/>
        <v>65000</v>
      </c>
      <c r="L24" s="45"/>
      <c r="M24" s="45"/>
      <c r="N24" s="60"/>
      <c r="P24" s="43">
        <v>0</v>
      </c>
      <c r="Q24" s="43">
        <v>0</v>
      </c>
      <c r="R24" s="43">
        <v>0</v>
      </c>
      <c r="S24" s="43">
        <v>0</v>
      </c>
      <c r="T24" s="43">
        <v>0</v>
      </c>
      <c r="U24" s="43">
        <v>0</v>
      </c>
      <c r="V24" s="43">
        <v>42317.096270000002</v>
      </c>
      <c r="W24" s="43">
        <v>253261.45910000001</v>
      </c>
      <c r="X24" s="43">
        <v>0</v>
      </c>
      <c r="Y24" s="43">
        <v>0</v>
      </c>
      <c r="Z24" s="43">
        <v>0</v>
      </c>
      <c r="AA24" s="43">
        <v>0</v>
      </c>
      <c r="AB24" s="43">
        <v>0</v>
      </c>
      <c r="AC24" s="43">
        <v>0</v>
      </c>
      <c r="AD24" s="43">
        <v>0</v>
      </c>
      <c r="AE24" s="43">
        <v>0</v>
      </c>
      <c r="AF24" s="43">
        <v>0</v>
      </c>
      <c r="AG24" s="43">
        <v>0</v>
      </c>
      <c r="AH24" s="43">
        <v>65000</v>
      </c>
      <c r="AI24" s="43">
        <v>0</v>
      </c>
      <c r="AJ24" s="43">
        <v>0</v>
      </c>
      <c r="AK24" s="45"/>
      <c r="AL24" s="45"/>
    </row>
    <row r="25" spans="1:40" s="39" customFormat="1" ht="18" outlineLevel="1" x14ac:dyDescent="0.25">
      <c r="A25" s="81"/>
      <c r="B25" s="5" t="s">
        <v>116</v>
      </c>
      <c r="C25" s="5" t="s">
        <v>270</v>
      </c>
      <c r="D25" s="46"/>
      <c r="E25" s="37">
        <f t="shared" ref="E25:J25" si="25">E24+E22</f>
        <v>37446</v>
      </c>
      <c r="F25" s="37">
        <f t="shared" si="25"/>
        <v>48065</v>
      </c>
      <c r="G25" s="37">
        <f t="shared" si="25"/>
        <v>226905</v>
      </c>
      <c r="H25" s="37">
        <f t="shared" si="25"/>
        <v>1137278.196048459</v>
      </c>
      <c r="I25" s="37">
        <f t="shared" si="25"/>
        <v>1258293.9724785555</v>
      </c>
      <c r="J25" s="37">
        <f t="shared" si="25"/>
        <v>575903.85429303569</v>
      </c>
      <c r="K25" s="37">
        <f t="shared" si="10"/>
        <v>705595.3949302705</v>
      </c>
      <c r="L25" s="36">
        <f t="shared" ref="L25:L26" si="26">J25/I25-1</f>
        <v>-0.54231374631904583</v>
      </c>
      <c r="M25" s="36">
        <f t="shared" ref="M25:M26" si="27">K25/J25-1</f>
        <v>0.22519651443632149</v>
      </c>
      <c r="N25" s="60"/>
      <c r="P25" s="37">
        <f t="shared" ref="P25:Z25" si="28">P24+P22</f>
        <v>27481</v>
      </c>
      <c r="Q25" s="37">
        <f t="shared" si="28"/>
        <v>35210</v>
      </c>
      <c r="R25" s="37">
        <f t="shared" si="28"/>
        <v>84423</v>
      </c>
      <c r="S25" s="37">
        <f t="shared" si="28"/>
        <v>79791</v>
      </c>
      <c r="T25" s="37">
        <f t="shared" si="28"/>
        <v>140039</v>
      </c>
      <c r="U25" s="37">
        <f t="shared" si="28"/>
        <v>208067</v>
      </c>
      <c r="V25" s="37">
        <f t="shared" si="28"/>
        <v>323797.82894845895</v>
      </c>
      <c r="W25" s="37">
        <f t="shared" si="28"/>
        <v>465374.36710000003</v>
      </c>
      <c r="X25" s="37">
        <f t="shared" si="28"/>
        <v>228307.01175996353</v>
      </c>
      <c r="Y25" s="37">
        <v>241028.30124003647</v>
      </c>
      <c r="Z25" s="37">
        <f t="shared" si="28"/>
        <v>538481.53385765571</v>
      </c>
      <c r="AA25" s="37">
        <f t="shared" ref="AA25:AD25" si="29">AA24+AA22</f>
        <v>250477.12562090001</v>
      </c>
      <c r="AB25" s="37">
        <f t="shared" si="29"/>
        <v>126837</v>
      </c>
      <c r="AC25" s="37">
        <f t="shared" si="29"/>
        <v>135869.35429303569</v>
      </c>
      <c r="AD25" s="37">
        <f t="shared" si="29"/>
        <v>191923.425082756</v>
      </c>
      <c r="AE25" s="37">
        <f t="shared" ref="AE25:AF25" si="30">AE24+AE22</f>
        <v>121274.074917244</v>
      </c>
      <c r="AF25" s="37">
        <f t="shared" si="30"/>
        <v>98145</v>
      </c>
      <c r="AG25" s="37">
        <f t="shared" ref="AG25:AH25" si="31">AG24+AG22</f>
        <v>317345.73093766009</v>
      </c>
      <c r="AH25" s="37">
        <f t="shared" si="31"/>
        <v>218405.65347979919</v>
      </c>
      <c r="AI25" s="37">
        <f t="shared" ref="AI25:AJ25" si="32">AI24+AI22</f>
        <v>71699.010512811205</v>
      </c>
      <c r="AJ25" s="37">
        <f t="shared" si="32"/>
        <v>129627.02616456899</v>
      </c>
      <c r="AK25" s="36">
        <f t="shared" ref="AK25:AK26" si="33">AJ25/AF25-1</f>
        <v>0.32077055544927391</v>
      </c>
      <c r="AL25" s="36">
        <f t="shared" ref="AL25:AL26" si="34">AJ25/AI25-1</f>
        <v>0.80793326487270267</v>
      </c>
    </row>
    <row r="26" spans="1:40" s="39" customFormat="1" ht="18" outlineLevel="1" x14ac:dyDescent="0.25">
      <c r="A26" s="81"/>
      <c r="B26" s="67" t="s">
        <v>154</v>
      </c>
      <c r="C26" s="67" t="s">
        <v>271</v>
      </c>
      <c r="D26" s="46"/>
      <c r="E26" s="49">
        <f t="shared" ref="E26:J26" si="35">E25/12</f>
        <v>3120.5</v>
      </c>
      <c r="F26" s="49">
        <f t="shared" si="35"/>
        <v>4005.4166666666665</v>
      </c>
      <c r="G26" s="49">
        <f t="shared" si="35"/>
        <v>18908.75</v>
      </c>
      <c r="H26" s="49">
        <f t="shared" si="35"/>
        <v>94773.183004038248</v>
      </c>
      <c r="I26" s="49">
        <f t="shared" si="35"/>
        <v>104857.83103987963</v>
      </c>
      <c r="J26" s="49">
        <f t="shared" si="35"/>
        <v>47991.987857752974</v>
      </c>
      <c r="K26" s="49">
        <f>K25/12</f>
        <v>58799.616244189208</v>
      </c>
      <c r="L26" s="66">
        <f t="shared" si="26"/>
        <v>-0.54231374631904594</v>
      </c>
      <c r="M26" s="66">
        <f t="shared" si="27"/>
        <v>0.22519651443632149</v>
      </c>
      <c r="N26" s="60"/>
      <c r="P26" s="49">
        <f t="shared" ref="P26:W26" si="36">P25/3</f>
        <v>9160.3333333333339</v>
      </c>
      <c r="Q26" s="49">
        <f t="shared" si="36"/>
        <v>11736.666666666666</v>
      </c>
      <c r="R26" s="49">
        <f t="shared" si="36"/>
        <v>28141</v>
      </c>
      <c r="S26" s="49">
        <f t="shared" si="36"/>
        <v>26597</v>
      </c>
      <c r="T26" s="49">
        <f t="shared" si="36"/>
        <v>46679.666666666664</v>
      </c>
      <c r="U26" s="49">
        <f t="shared" si="36"/>
        <v>69355.666666666672</v>
      </c>
      <c r="V26" s="49">
        <f t="shared" si="36"/>
        <v>107932.60964948632</v>
      </c>
      <c r="W26" s="49">
        <f t="shared" si="36"/>
        <v>155124.78903333333</v>
      </c>
      <c r="X26" s="49">
        <f t="shared" ref="X26:AD26" si="37">X25/3</f>
        <v>76102.33725332118</v>
      </c>
      <c r="Y26" s="49">
        <f t="shared" si="37"/>
        <v>80342.767080012156</v>
      </c>
      <c r="Z26" s="49">
        <f t="shared" si="37"/>
        <v>179493.84461921858</v>
      </c>
      <c r="AA26" s="49">
        <f t="shared" si="37"/>
        <v>83492.375206966666</v>
      </c>
      <c r="AB26" s="49">
        <f t="shared" si="37"/>
        <v>42279</v>
      </c>
      <c r="AC26" s="49">
        <f t="shared" si="37"/>
        <v>45289.784764345233</v>
      </c>
      <c r="AD26" s="49">
        <f t="shared" si="37"/>
        <v>63974.475027585337</v>
      </c>
      <c r="AE26" s="49">
        <f t="shared" ref="AE26:AF26" si="38">AE25/3</f>
        <v>40424.691639081335</v>
      </c>
      <c r="AF26" s="49">
        <f t="shared" si="38"/>
        <v>32715</v>
      </c>
      <c r="AG26" s="49">
        <f t="shared" ref="AG26:AH26" si="39">AG25/3</f>
        <v>105781.91031255336</v>
      </c>
      <c r="AH26" s="49">
        <f t="shared" si="39"/>
        <v>72801.884493266392</v>
      </c>
      <c r="AI26" s="49">
        <f t="shared" ref="AI26:AJ26" si="40">AI25/3</f>
        <v>23899.670170937068</v>
      </c>
      <c r="AJ26" s="49">
        <f t="shared" si="40"/>
        <v>43209.008721522994</v>
      </c>
      <c r="AK26" s="66">
        <f t="shared" si="33"/>
        <v>0.32077055544927391</v>
      </c>
      <c r="AL26" s="66">
        <f t="shared" si="34"/>
        <v>0.80793326487270245</v>
      </c>
    </row>
    <row r="27" spans="1:40" s="39" customFormat="1" x14ac:dyDescent="0.25">
      <c r="A27" s="82" t="s">
        <v>145</v>
      </c>
      <c r="N27" s="60"/>
    </row>
    <row r="28" spans="1:40" s="39" customFormat="1" ht="18" x14ac:dyDescent="0.25">
      <c r="A28" s="81"/>
      <c r="B28" s="8" t="s">
        <v>393</v>
      </c>
      <c r="C28" s="8" t="s">
        <v>395</v>
      </c>
      <c r="D28" s="47"/>
      <c r="E28" s="47"/>
      <c r="F28" s="47"/>
      <c r="G28" s="47"/>
      <c r="H28" s="47"/>
      <c r="I28" s="47"/>
      <c r="J28" s="47"/>
      <c r="K28" s="47"/>
      <c r="L28" s="47"/>
      <c r="M28" s="47"/>
      <c r="N28" s="60"/>
      <c r="P28" s="47"/>
      <c r="Q28" s="47"/>
      <c r="R28" s="47"/>
      <c r="S28" s="47"/>
      <c r="T28" s="47"/>
      <c r="U28" s="47"/>
      <c r="V28" s="47"/>
      <c r="W28" s="47"/>
      <c r="X28" s="47"/>
      <c r="Y28" s="47"/>
      <c r="Z28" s="47"/>
      <c r="AA28" s="47"/>
      <c r="AB28" s="47"/>
      <c r="AC28" s="47"/>
      <c r="AD28" s="47"/>
      <c r="AE28" s="47"/>
      <c r="AF28" s="47"/>
      <c r="AG28" s="47"/>
      <c r="AH28" s="47"/>
      <c r="AI28" s="47"/>
      <c r="AJ28" s="47"/>
      <c r="AK28" s="47"/>
      <c r="AL28" s="47"/>
    </row>
    <row r="29" spans="1:40" s="39" customFormat="1" ht="6.75" customHeight="1" outlineLevel="1" x14ac:dyDescent="0.25">
      <c r="A29" s="81"/>
      <c r="N29" s="60"/>
    </row>
    <row r="30" spans="1:40" s="39" customFormat="1" ht="18" outlineLevel="1" x14ac:dyDescent="0.25">
      <c r="A30" s="81"/>
      <c r="B30" s="5" t="s">
        <v>14</v>
      </c>
      <c r="C30" s="5" t="s">
        <v>184</v>
      </c>
      <c r="D30" s="48"/>
      <c r="E30" s="37">
        <v>6320</v>
      </c>
      <c r="F30" s="37">
        <v>9164</v>
      </c>
      <c r="G30" s="37">
        <v>17533</v>
      </c>
      <c r="H30" s="37">
        <f t="shared" ref="H30:H34" si="41">SUM(T30:W30)</f>
        <v>58064.225367912382</v>
      </c>
      <c r="I30" s="37">
        <f t="shared" ref="I30:I37" si="42">SUM(X30:AA30)</f>
        <v>148592</v>
      </c>
      <c r="J30" s="37">
        <f>SUM(AB30:AE30)</f>
        <v>163283.19999999995</v>
      </c>
      <c r="K30" s="37">
        <f>SUM(AF30:AI30)</f>
        <v>175638.83733274933</v>
      </c>
      <c r="L30" s="36"/>
      <c r="M30" s="36"/>
      <c r="N30" s="60"/>
      <c r="P30" s="37">
        <f>'DRE - Income Statement'!P41</f>
        <v>3048</v>
      </c>
      <c r="Q30" s="37">
        <f>'DRE - Income Statement'!Q41</f>
        <v>3422</v>
      </c>
      <c r="R30" s="37">
        <f>'DRE - Income Statement'!R41</f>
        <v>3933.8117800000005</v>
      </c>
      <c r="S30" s="37">
        <f>'DRE - Income Statement'!S41</f>
        <v>7129.1882200000036</v>
      </c>
      <c r="T30" s="37">
        <f>'DRE - Income Statement'!T41</f>
        <v>7665</v>
      </c>
      <c r="U30" s="37">
        <f>'DRE - Income Statement'!U41</f>
        <v>10804</v>
      </c>
      <c r="V30" s="37">
        <f>'DRE - Income Statement'!V41</f>
        <v>13676</v>
      </c>
      <c r="W30" s="37">
        <f>'DRE - Income Statement'!W41</f>
        <v>25919.225367912379</v>
      </c>
      <c r="X30" s="37">
        <f>'DRE - Income Statement'!X41</f>
        <v>27965</v>
      </c>
      <c r="Y30" s="37">
        <v>30837</v>
      </c>
      <c r="Z30" s="37">
        <f>'DRE - Income Statement'!Z41</f>
        <v>38835</v>
      </c>
      <c r="AA30" s="37">
        <v>50955</v>
      </c>
      <c r="AB30" s="37">
        <v>26222</v>
      </c>
      <c r="AC30" s="37">
        <v>43435</v>
      </c>
      <c r="AD30" s="37">
        <v>47873.599999999977</v>
      </c>
      <c r="AE30" s="37">
        <v>45752.599999999977</v>
      </c>
      <c r="AF30" s="37">
        <v>53114</v>
      </c>
      <c r="AG30" s="37">
        <v>50394.917447484244</v>
      </c>
      <c r="AH30" s="37">
        <v>60839.093936685531</v>
      </c>
      <c r="AI30" s="37">
        <f>'DRE - Income Statement'!AI41</f>
        <v>11290.825948579546</v>
      </c>
      <c r="AJ30" s="37">
        <f>'DRE - Income Statement'!AJ41</f>
        <v>12512.005410000091</v>
      </c>
      <c r="AK30" s="36"/>
      <c r="AL30" s="36"/>
    </row>
    <row r="31" spans="1:40" s="39" customFormat="1" ht="18" outlineLevel="1" x14ac:dyDescent="0.25">
      <c r="A31" s="81"/>
      <c r="B31" s="17" t="s">
        <v>103</v>
      </c>
      <c r="C31" s="17" t="s">
        <v>272</v>
      </c>
      <c r="E31" s="35">
        <v>3334</v>
      </c>
      <c r="F31" s="35">
        <v>5924</v>
      </c>
      <c r="G31" s="35">
        <v>6946</v>
      </c>
      <c r="H31" s="35">
        <f t="shared" si="41"/>
        <v>31524.774632087621</v>
      </c>
      <c r="I31" s="35">
        <f t="shared" si="42"/>
        <v>19399</v>
      </c>
      <c r="J31" s="35">
        <f t="shared" ref="J31:J40" si="43">SUM(AB31:AE31)</f>
        <v>35552</v>
      </c>
      <c r="K31" s="35">
        <f t="shared" ref="K31:K34" si="44">SUM(AF31:AI31)</f>
        <v>50203.914000000004</v>
      </c>
      <c r="N31" s="60"/>
      <c r="P31" s="35">
        <v>1878</v>
      </c>
      <c r="Q31" s="35">
        <v>1787</v>
      </c>
      <c r="R31" s="35">
        <v>2386.8052000000002</v>
      </c>
      <c r="S31" s="35">
        <v>894.1947999999993</v>
      </c>
      <c r="T31" s="35">
        <v>4313</v>
      </c>
      <c r="U31" s="35">
        <v>6447</v>
      </c>
      <c r="V31" s="35">
        <v>7253</v>
      </c>
      <c r="W31" s="65">
        <v>13511.774632087621</v>
      </c>
      <c r="X31" s="65">
        <v>8852</v>
      </c>
      <c r="Y31" s="65">
        <v>9709</v>
      </c>
      <c r="Z31" s="65">
        <v>11840</v>
      </c>
      <c r="AA31" s="65">
        <v>-11002</v>
      </c>
      <c r="AB31" s="65">
        <v>4510</v>
      </c>
      <c r="AC31" s="65">
        <v>4290</v>
      </c>
      <c r="AD31" s="65">
        <v>15078</v>
      </c>
      <c r="AE31" s="65">
        <v>11674</v>
      </c>
      <c r="AF31" s="65">
        <v>15035</v>
      </c>
      <c r="AG31" s="65">
        <v>14322</v>
      </c>
      <c r="AH31" s="65">
        <v>13591.383000000002</v>
      </c>
      <c r="AI31" s="65">
        <f>-'DRE - Income Statement'!AI37</f>
        <v>7255.530999999999</v>
      </c>
      <c r="AJ31" s="65">
        <f>-'DRE - Income Statement'!AJ37</f>
        <v>-5253.7420000000002</v>
      </c>
    </row>
    <row r="32" spans="1:40" s="39" customFormat="1" ht="18" outlineLevel="1" x14ac:dyDescent="0.25">
      <c r="A32" s="81"/>
      <c r="B32" s="17" t="s">
        <v>104</v>
      </c>
      <c r="C32" s="17" t="s">
        <v>273</v>
      </c>
      <c r="E32" s="35">
        <v>5473</v>
      </c>
      <c r="F32" s="35">
        <v>7813</v>
      </c>
      <c r="G32" s="35">
        <v>16200</v>
      </c>
      <c r="H32" s="35">
        <f t="shared" si="41"/>
        <v>67544</v>
      </c>
      <c r="I32" s="35">
        <f t="shared" si="42"/>
        <v>279296</v>
      </c>
      <c r="J32" s="35">
        <f t="shared" si="43"/>
        <v>355307.4</v>
      </c>
      <c r="K32" s="35">
        <f t="shared" si="44"/>
        <v>414725.89200000011</v>
      </c>
      <c r="N32" s="60"/>
      <c r="P32" s="35">
        <v>2498</v>
      </c>
      <c r="Q32" s="35">
        <v>3010</v>
      </c>
      <c r="R32" s="35">
        <v>4239.9753400000009</v>
      </c>
      <c r="S32" s="35">
        <v>6452.0246599999991</v>
      </c>
      <c r="T32" s="35">
        <v>7443</v>
      </c>
      <c r="U32" s="35">
        <v>10673</v>
      </c>
      <c r="V32" s="35">
        <v>16830</v>
      </c>
      <c r="W32" s="35">
        <v>32598</v>
      </c>
      <c r="X32" s="35">
        <v>64465</v>
      </c>
      <c r="Y32" s="35">
        <v>63711</v>
      </c>
      <c r="Z32" s="35">
        <v>70442</v>
      </c>
      <c r="AA32" s="35">
        <v>80678</v>
      </c>
      <c r="AB32" s="35">
        <v>91020</v>
      </c>
      <c r="AC32" s="35">
        <v>89044</v>
      </c>
      <c r="AD32" s="35">
        <v>87767.000000000029</v>
      </c>
      <c r="AE32" s="35">
        <v>87476.400000000023</v>
      </c>
      <c r="AF32" s="35">
        <v>87202</v>
      </c>
      <c r="AG32" s="35">
        <v>104038.644</v>
      </c>
      <c r="AH32" s="35">
        <v>108721.95599999998</v>
      </c>
      <c r="AI32" s="35">
        <f>-'DRE - Income Statement'!AI32</f>
        <v>114763.2920000001</v>
      </c>
      <c r="AJ32" s="35">
        <f>-'DRE - Income Statement'!AJ32</f>
        <v>105214.08099999999</v>
      </c>
    </row>
    <row r="33" spans="1:40" s="39" customFormat="1" ht="18" outlineLevel="1" x14ac:dyDescent="0.25">
      <c r="A33" s="81"/>
      <c r="B33" s="17" t="s">
        <v>91</v>
      </c>
      <c r="C33" s="17" t="s">
        <v>274</v>
      </c>
      <c r="E33" s="35">
        <v>-563</v>
      </c>
      <c r="F33" s="35">
        <v>-296</v>
      </c>
      <c r="G33" s="35">
        <v>-859</v>
      </c>
      <c r="H33" s="35">
        <f t="shared" si="41"/>
        <v>-27692</v>
      </c>
      <c r="I33" s="35">
        <f t="shared" si="42"/>
        <v>-126974</v>
      </c>
      <c r="J33" s="35">
        <f t="shared" si="43"/>
        <v>-99055.6</v>
      </c>
      <c r="K33" s="35">
        <f t="shared" si="44"/>
        <v>-117515.69500000001</v>
      </c>
      <c r="N33" s="60"/>
      <c r="P33" s="35">
        <v>-125</v>
      </c>
      <c r="Q33" s="35">
        <v>-33</v>
      </c>
      <c r="R33" s="35">
        <v>-70.755319999999998</v>
      </c>
      <c r="S33" s="35">
        <v>-630.24468000000002</v>
      </c>
      <c r="T33" s="35">
        <v>-447</v>
      </c>
      <c r="U33" s="35">
        <v>-567</v>
      </c>
      <c r="V33" s="35">
        <v>-9378</v>
      </c>
      <c r="W33" s="35">
        <v>-17300</v>
      </c>
      <c r="X33" s="35">
        <v>-38592</v>
      </c>
      <c r="Y33" s="35">
        <v>-29335</v>
      </c>
      <c r="Z33" s="35">
        <v>-31475</v>
      </c>
      <c r="AA33" s="35">
        <v>-27572</v>
      </c>
      <c r="AB33" s="35">
        <v>-28107</v>
      </c>
      <c r="AC33" s="35">
        <v>-25253</v>
      </c>
      <c r="AD33" s="35">
        <v>-23878.600000000006</v>
      </c>
      <c r="AE33" s="35">
        <v>-21817</v>
      </c>
      <c r="AF33" s="35">
        <v>-21400</v>
      </c>
      <c r="AG33" s="35">
        <v>-31689.232999999993</v>
      </c>
      <c r="AH33" s="35">
        <v>-29504.135999999999</v>
      </c>
      <c r="AI33" s="35">
        <f>-'DRE - Income Statement'!AI31</f>
        <v>-34922.326000000015</v>
      </c>
      <c r="AJ33" s="35">
        <f>-'DRE - Income Statement'!AJ31</f>
        <v>-20045.397000000001</v>
      </c>
    </row>
    <row r="34" spans="1:40" s="39" customFormat="1" ht="18" outlineLevel="1" x14ac:dyDescent="0.25">
      <c r="A34" s="81"/>
      <c r="B34" s="11" t="s">
        <v>44</v>
      </c>
      <c r="C34" s="11" t="s">
        <v>275</v>
      </c>
      <c r="D34" s="42"/>
      <c r="E34" s="43">
        <v>4557</v>
      </c>
      <c r="F34" s="43">
        <v>7001</v>
      </c>
      <c r="G34" s="43">
        <v>16127</v>
      </c>
      <c r="H34" s="43">
        <f t="shared" si="41"/>
        <v>54614</v>
      </c>
      <c r="I34" s="43">
        <f t="shared" si="42"/>
        <v>137167</v>
      </c>
      <c r="J34" s="43">
        <f t="shared" si="43"/>
        <v>185652</v>
      </c>
      <c r="K34" s="43">
        <f t="shared" si="44"/>
        <v>203479.147</v>
      </c>
      <c r="L34" s="45"/>
      <c r="M34" s="45"/>
      <c r="N34" s="60"/>
      <c r="P34" s="43">
        <v>2384</v>
      </c>
      <c r="Q34" s="43">
        <v>3244</v>
      </c>
      <c r="R34" s="43">
        <v>4051</v>
      </c>
      <c r="S34" s="43">
        <v>6448.0000000000018</v>
      </c>
      <c r="T34" s="43">
        <v>8082</v>
      </c>
      <c r="U34" s="43">
        <v>11248</v>
      </c>
      <c r="V34" s="43">
        <v>11751</v>
      </c>
      <c r="W34" s="43">
        <v>23533</v>
      </c>
      <c r="X34" s="43">
        <v>27027</v>
      </c>
      <c r="Y34" s="43">
        <v>31014</v>
      </c>
      <c r="Z34" s="43">
        <v>36068</v>
      </c>
      <c r="AA34" s="43">
        <v>43058</v>
      </c>
      <c r="AB34" s="43">
        <v>41718</v>
      </c>
      <c r="AC34" s="43">
        <v>43989</v>
      </c>
      <c r="AD34" s="43">
        <v>47879</v>
      </c>
      <c r="AE34" s="43">
        <v>52066</v>
      </c>
      <c r="AF34" s="43">
        <v>44250</v>
      </c>
      <c r="AG34" s="43">
        <v>35248</v>
      </c>
      <c r="AH34" s="43">
        <v>42512</v>
      </c>
      <c r="AI34" s="43">
        <f>'DFC - Cash Flow Statement'!AG9</f>
        <v>81469.146999999997</v>
      </c>
      <c r="AJ34" s="43">
        <f>'DFC - Cash Flow Statement'!AH9</f>
        <v>56326</v>
      </c>
      <c r="AK34" s="45"/>
      <c r="AL34" s="45"/>
    </row>
    <row r="35" spans="1:40" s="39" customFormat="1" ht="18" outlineLevel="1" x14ac:dyDescent="0.25">
      <c r="A35" s="81"/>
      <c r="B35" s="5" t="s">
        <v>300</v>
      </c>
      <c r="C35" s="5" t="s">
        <v>300</v>
      </c>
      <c r="D35" s="48"/>
      <c r="E35" s="37">
        <f t="shared" ref="E35:K35" si="45">SUM(E27:E34)</f>
        <v>19121</v>
      </c>
      <c r="F35" s="37">
        <f t="shared" si="45"/>
        <v>29606</v>
      </c>
      <c r="G35" s="37">
        <f t="shared" si="45"/>
        <v>55947</v>
      </c>
      <c r="H35" s="37">
        <f t="shared" si="45"/>
        <v>184055</v>
      </c>
      <c r="I35" s="37">
        <f t="shared" si="45"/>
        <v>457480</v>
      </c>
      <c r="J35" s="37">
        <f t="shared" si="45"/>
        <v>640739</v>
      </c>
      <c r="K35" s="37">
        <f t="shared" si="45"/>
        <v>726532.09533274942</v>
      </c>
      <c r="L35" s="36"/>
      <c r="M35" s="36"/>
      <c r="N35" s="71"/>
      <c r="O35" s="48"/>
      <c r="P35" s="37">
        <f>SUM(P30:P34)</f>
        <v>9683</v>
      </c>
      <c r="Q35" s="37">
        <f t="shared" ref="Q35:AH35" si="46">SUM(Q30:Q34)</f>
        <v>11430</v>
      </c>
      <c r="R35" s="37">
        <f t="shared" si="46"/>
        <v>14540.837000000001</v>
      </c>
      <c r="S35" s="37">
        <f t="shared" si="46"/>
        <v>20293.163000000004</v>
      </c>
      <c r="T35" s="37">
        <f t="shared" si="46"/>
        <v>27056</v>
      </c>
      <c r="U35" s="37">
        <f t="shared" si="46"/>
        <v>38605</v>
      </c>
      <c r="V35" s="37">
        <f t="shared" si="46"/>
        <v>40132</v>
      </c>
      <c r="W35" s="37">
        <f t="shared" si="46"/>
        <v>78262</v>
      </c>
      <c r="X35" s="37">
        <f t="shared" si="46"/>
        <v>89717</v>
      </c>
      <c r="Y35" s="37">
        <f t="shared" si="46"/>
        <v>105936</v>
      </c>
      <c r="Z35" s="37">
        <f t="shared" si="46"/>
        <v>125710</v>
      </c>
      <c r="AA35" s="37">
        <f t="shared" si="46"/>
        <v>136117</v>
      </c>
      <c r="AB35" s="37">
        <f t="shared" si="46"/>
        <v>135363</v>
      </c>
      <c r="AC35" s="37">
        <f t="shared" si="46"/>
        <v>155505</v>
      </c>
      <c r="AD35" s="37">
        <f t="shared" si="46"/>
        <v>174719</v>
      </c>
      <c r="AE35" s="37">
        <f t="shared" si="46"/>
        <v>175152</v>
      </c>
      <c r="AF35" s="37">
        <f t="shared" si="46"/>
        <v>178201</v>
      </c>
      <c r="AG35" s="37">
        <f t="shared" si="46"/>
        <v>172314.32844748424</v>
      </c>
      <c r="AH35" s="37">
        <f t="shared" si="46"/>
        <v>196160.29693668551</v>
      </c>
      <c r="AI35" s="37">
        <f t="shared" ref="AI35:AJ35" si="47">SUM(AI30:AI34)</f>
        <v>179856.46994857962</v>
      </c>
      <c r="AJ35" s="37">
        <f t="shared" si="47"/>
        <v>148752.94741000008</v>
      </c>
      <c r="AK35" s="36">
        <f t="shared" ref="AK35" si="48">AJ35/AF35-1</f>
        <v>-0.16525189303090282</v>
      </c>
      <c r="AL35" s="36">
        <f t="shared" ref="AL35" si="49">AJ35/AI35-1</f>
        <v>-0.17293524412812022</v>
      </c>
      <c r="AM35" s="62"/>
    </row>
    <row r="36" spans="1:40" s="39" customFormat="1" ht="6" customHeight="1" outlineLevel="1" x14ac:dyDescent="0.25">
      <c r="A36" s="81"/>
      <c r="B36" s="7"/>
      <c r="C36" s="7"/>
      <c r="E36" s="10"/>
      <c r="F36" s="10"/>
      <c r="G36" s="10"/>
      <c r="H36" s="10"/>
      <c r="I36" s="10"/>
      <c r="J36" s="10"/>
      <c r="K36" s="10"/>
      <c r="N36" s="60"/>
      <c r="P36" s="10"/>
      <c r="Q36" s="10"/>
      <c r="R36" s="10"/>
      <c r="S36" s="10"/>
      <c r="T36" s="10"/>
      <c r="U36" s="10"/>
      <c r="V36" s="10"/>
      <c r="W36" s="10"/>
      <c r="X36" s="10"/>
      <c r="Y36" s="10"/>
      <c r="Z36" s="10"/>
      <c r="AA36" s="10"/>
      <c r="AB36" s="10"/>
      <c r="AC36" s="10"/>
      <c r="AD36" s="10"/>
      <c r="AE36" s="10"/>
      <c r="AF36" s="10"/>
      <c r="AG36" s="10"/>
      <c r="AH36" s="10"/>
      <c r="AI36" s="10"/>
      <c r="AJ36" s="10"/>
    </row>
    <row r="37" spans="1:40" s="39" customFormat="1" ht="18" outlineLevel="1" x14ac:dyDescent="0.25">
      <c r="A37" s="81"/>
      <c r="B37" s="11" t="s">
        <v>102</v>
      </c>
      <c r="C37" s="11" t="s">
        <v>277</v>
      </c>
      <c r="D37" s="42"/>
      <c r="E37" s="43">
        <v>0</v>
      </c>
      <c r="F37" s="43">
        <v>0</v>
      </c>
      <c r="G37" s="43">
        <v>0</v>
      </c>
      <c r="H37" s="43">
        <f>SUM(T37:W37)</f>
        <v>12962</v>
      </c>
      <c r="I37" s="43">
        <f t="shared" si="42"/>
        <v>0</v>
      </c>
      <c r="J37" s="43">
        <f t="shared" si="43"/>
        <v>0</v>
      </c>
      <c r="K37" s="43">
        <v>2696</v>
      </c>
      <c r="L37" s="45"/>
      <c r="M37" s="45"/>
      <c r="N37" s="60"/>
      <c r="P37" s="43">
        <v>0</v>
      </c>
      <c r="Q37" s="43">
        <v>0</v>
      </c>
      <c r="R37" s="43">
        <v>0</v>
      </c>
      <c r="S37" s="43">
        <v>0</v>
      </c>
      <c r="T37" s="43">
        <v>0</v>
      </c>
      <c r="U37" s="43">
        <v>0</v>
      </c>
      <c r="V37" s="43">
        <v>12962</v>
      </c>
      <c r="W37" s="43">
        <v>0</v>
      </c>
      <c r="X37" s="43">
        <v>0</v>
      </c>
      <c r="Y37" s="43">
        <v>0</v>
      </c>
      <c r="Z37" s="43">
        <v>0</v>
      </c>
      <c r="AA37" s="43">
        <v>0</v>
      </c>
      <c r="AB37" s="43">
        <v>0</v>
      </c>
      <c r="AC37" s="43">
        <v>0</v>
      </c>
      <c r="AD37" s="43">
        <v>0</v>
      </c>
      <c r="AE37" s="43">
        <v>0</v>
      </c>
      <c r="AF37" s="43">
        <v>0</v>
      </c>
      <c r="AG37" s="43">
        <v>0</v>
      </c>
      <c r="AH37" s="43">
        <v>2696</v>
      </c>
      <c r="AI37" s="43">
        <v>0</v>
      </c>
      <c r="AJ37" s="43"/>
      <c r="AK37" s="45"/>
      <c r="AL37" s="45"/>
    </row>
    <row r="38" spans="1:40" s="39" customFormat="1" ht="18" outlineLevel="1" x14ac:dyDescent="0.25">
      <c r="A38" s="81"/>
      <c r="B38" s="5" t="s">
        <v>415</v>
      </c>
      <c r="C38" s="5" t="s">
        <v>300</v>
      </c>
      <c r="D38" s="48"/>
      <c r="E38" s="37">
        <f t="shared" ref="E38:K38" si="50">SUM(E35:E37)</f>
        <v>19121</v>
      </c>
      <c r="F38" s="37">
        <f t="shared" si="50"/>
        <v>29606</v>
      </c>
      <c r="G38" s="37">
        <f t="shared" si="50"/>
        <v>55947</v>
      </c>
      <c r="H38" s="37">
        <f t="shared" si="50"/>
        <v>197017</v>
      </c>
      <c r="I38" s="37">
        <f t="shared" si="50"/>
        <v>457480</v>
      </c>
      <c r="J38" s="37">
        <f t="shared" si="50"/>
        <v>640739</v>
      </c>
      <c r="K38" s="37">
        <f t="shared" si="50"/>
        <v>729228.09533274942</v>
      </c>
      <c r="L38" s="36"/>
      <c r="M38" s="36"/>
      <c r="N38" s="71"/>
      <c r="O38" s="48"/>
      <c r="P38" s="37">
        <f>SUM(P35:P37)</f>
        <v>9683</v>
      </c>
      <c r="Q38" s="37">
        <f t="shared" ref="Q38:AH38" si="51">SUM(Q35:Q37)</f>
        <v>11430</v>
      </c>
      <c r="R38" s="37">
        <f t="shared" si="51"/>
        <v>14540.837000000001</v>
      </c>
      <c r="S38" s="37">
        <f t="shared" si="51"/>
        <v>20293.163000000004</v>
      </c>
      <c r="T38" s="37">
        <f t="shared" si="51"/>
        <v>27056</v>
      </c>
      <c r="U38" s="37">
        <f t="shared" si="51"/>
        <v>38605</v>
      </c>
      <c r="V38" s="37">
        <f t="shared" si="51"/>
        <v>53094</v>
      </c>
      <c r="W38" s="37">
        <f t="shared" si="51"/>
        <v>78262</v>
      </c>
      <c r="X38" s="37">
        <f t="shared" si="51"/>
        <v>89717</v>
      </c>
      <c r="Y38" s="37">
        <f t="shared" si="51"/>
        <v>105936</v>
      </c>
      <c r="Z38" s="37">
        <f t="shared" si="51"/>
        <v>125710</v>
      </c>
      <c r="AA38" s="37">
        <f t="shared" si="51"/>
        <v>136117</v>
      </c>
      <c r="AB38" s="37">
        <f t="shared" si="51"/>
        <v>135363</v>
      </c>
      <c r="AC38" s="37">
        <f t="shared" si="51"/>
        <v>155505</v>
      </c>
      <c r="AD38" s="37">
        <f t="shared" si="51"/>
        <v>174719</v>
      </c>
      <c r="AE38" s="37">
        <f t="shared" si="51"/>
        <v>175152</v>
      </c>
      <c r="AF38" s="37">
        <f t="shared" si="51"/>
        <v>178201</v>
      </c>
      <c r="AG38" s="37">
        <f t="shared" si="51"/>
        <v>172314.32844748424</v>
      </c>
      <c r="AH38" s="37">
        <f t="shared" si="51"/>
        <v>198856.29693668551</v>
      </c>
      <c r="AI38" s="37">
        <f t="shared" ref="AI38:AJ38" si="52">SUM(AI35:AI37)</f>
        <v>179856.46994857962</v>
      </c>
      <c r="AJ38" s="37">
        <f t="shared" si="52"/>
        <v>148752.94741000008</v>
      </c>
      <c r="AK38" s="36">
        <f t="shared" ref="AK38" si="53">AJ38/AF38-1</f>
        <v>-0.16525189303090282</v>
      </c>
      <c r="AL38" s="36">
        <f t="shared" ref="AL38" si="54">AJ38/AI38-1</f>
        <v>-0.17293524412812022</v>
      </c>
      <c r="AN38" s="120"/>
    </row>
    <row r="39" spans="1:40" s="39" customFormat="1" ht="6" customHeight="1" outlineLevel="1" x14ac:dyDescent="0.25">
      <c r="A39" s="81"/>
      <c r="B39" s="7"/>
      <c r="C39" s="7"/>
      <c r="E39" s="10"/>
      <c r="F39" s="10"/>
      <c r="G39" s="10"/>
      <c r="H39" s="10"/>
      <c r="I39" s="10"/>
      <c r="J39" s="10"/>
      <c r="K39" s="10"/>
      <c r="N39" s="60"/>
      <c r="P39" s="10"/>
      <c r="Q39" s="10"/>
      <c r="R39" s="10"/>
      <c r="S39" s="10"/>
      <c r="T39" s="10"/>
      <c r="U39" s="10"/>
      <c r="V39" s="10"/>
      <c r="W39" s="10"/>
      <c r="X39" s="10"/>
      <c r="Y39" s="10"/>
      <c r="Z39" s="10"/>
      <c r="AA39" s="10"/>
      <c r="AB39" s="10"/>
      <c r="AC39" s="10"/>
      <c r="AD39" s="10"/>
      <c r="AE39" s="10"/>
      <c r="AF39" s="10"/>
      <c r="AG39" s="10"/>
      <c r="AH39" s="10"/>
      <c r="AI39" s="10"/>
      <c r="AJ39" s="10"/>
    </row>
    <row r="40" spans="1:40" s="39" customFormat="1" ht="18" outlineLevel="1" x14ac:dyDescent="0.25">
      <c r="A40" s="81"/>
      <c r="B40" s="17" t="s">
        <v>151</v>
      </c>
      <c r="C40" s="17" t="s">
        <v>276</v>
      </c>
      <c r="E40" s="35">
        <v>382</v>
      </c>
      <c r="F40" s="35">
        <v>439</v>
      </c>
      <c r="G40" s="35">
        <v>645</v>
      </c>
      <c r="H40" s="35">
        <f>SUM(T40:W40)</f>
        <v>-1440</v>
      </c>
      <c r="I40" s="35">
        <f>SUM(X40:AA40)</f>
        <v>-23029</v>
      </c>
      <c r="J40" s="35">
        <f t="shared" si="43"/>
        <v>-34836</v>
      </c>
      <c r="K40" s="35">
        <f t="shared" ref="K40" si="55">SUM(AF40:AI40)</f>
        <v>-22704.68293000001</v>
      </c>
      <c r="N40" s="60"/>
      <c r="P40" s="35">
        <v>0</v>
      </c>
      <c r="Q40" s="35">
        <v>99</v>
      </c>
      <c r="R40" s="35">
        <v>162</v>
      </c>
      <c r="S40" s="35">
        <v>384</v>
      </c>
      <c r="T40" s="35">
        <v>62</v>
      </c>
      <c r="U40" s="35">
        <v>-170</v>
      </c>
      <c r="V40" s="35">
        <v>-117</v>
      </c>
      <c r="W40" s="35">
        <v>-1215</v>
      </c>
      <c r="X40" s="35">
        <v>-2064</v>
      </c>
      <c r="Y40" s="35">
        <v>-3182</v>
      </c>
      <c r="Z40" s="35">
        <v>-7787</v>
      </c>
      <c r="AA40" s="35">
        <v>-9996</v>
      </c>
      <c r="AB40" s="35">
        <v>-15492</v>
      </c>
      <c r="AC40" s="35">
        <v>-4769</v>
      </c>
      <c r="AD40" s="35">
        <v>-5964</v>
      </c>
      <c r="AE40" s="35">
        <v>-8611</v>
      </c>
      <c r="AF40" s="35">
        <v>-4910</v>
      </c>
      <c r="AG40" s="35">
        <v>-3961</v>
      </c>
      <c r="AH40" s="35">
        <v>-7669.5</v>
      </c>
      <c r="AI40" s="35">
        <f>-6.16418293000001*1000</f>
        <v>-6164.1829300000099</v>
      </c>
      <c r="AJ40" s="35">
        <f>-6.13358055*1000</f>
        <v>-6133.5805499999997</v>
      </c>
      <c r="AK40" s="85"/>
      <c r="AL40" s="62"/>
    </row>
    <row r="41" spans="1:40" s="39" customFormat="1" ht="18" outlineLevel="1" x14ac:dyDescent="0.25">
      <c r="A41" s="81"/>
      <c r="B41" s="11" t="s">
        <v>416</v>
      </c>
      <c r="C41" s="11"/>
      <c r="D41" s="42"/>
      <c r="E41" s="43"/>
      <c r="F41" s="43"/>
      <c r="G41" s="43"/>
      <c r="H41" s="43"/>
      <c r="I41" s="43"/>
      <c r="J41" s="43"/>
      <c r="K41" s="43"/>
      <c r="L41" s="45"/>
      <c r="M41" s="45"/>
      <c r="N41" s="60"/>
      <c r="P41" s="43"/>
      <c r="Q41" s="43"/>
      <c r="R41" s="43"/>
      <c r="S41" s="43"/>
      <c r="T41" s="43"/>
      <c r="U41" s="43"/>
      <c r="V41" s="43"/>
      <c r="W41" s="43"/>
      <c r="X41" s="43"/>
      <c r="Y41" s="43"/>
      <c r="Z41" s="43"/>
      <c r="AA41" s="43"/>
      <c r="AB41" s="43"/>
      <c r="AC41" s="43"/>
      <c r="AD41" s="43"/>
      <c r="AE41" s="43"/>
      <c r="AF41" s="43"/>
      <c r="AG41" s="43">
        <v>-1125</v>
      </c>
      <c r="AH41" s="43">
        <v>-5370</v>
      </c>
      <c r="AI41" s="43">
        <f>-8.35723104667059*1000</f>
        <v>-8357.2310466705894</v>
      </c>
      <c r="AJ41" s="43">
        <f>-1.68700000000002*1000</f>
        <v>-1687.00000000002</v>
      </c>
      <c r="AK41" s="45"/>
      <c r="AL41" s="45"/>
      <c r="AN41" s="104"/>
    </row>
    <row r="42" spans="1:40" s="39" customFormat="1" ht="18" outlineLevel="1" x14ac:dyDescent="0.25">
      <c r="A42" s="81"/>
      <c r="B42" s="5" t="s">
        <v>424</v>
      </c>
      <c r="C42" s="5" t="s">
        <v>395</v>
      </c>
      <c r="D42" s="46"/>
      <c r="E42" s="37">
        <f t="shared" ref="E42:J42" si="56">SUM(E38:E40)</f>
        <v>19503</v>
      </c>
      <c r="F42" s="37">
        <f t="shared" si="56"/>
        <v>30045</v>
      </c>
      <c r="G42" s="37">
        <f t="shared" si="56"/>
        <v>56592</v>
      </c>
      <c r="H42" s="37">
        <f t="shared" si="56"/>
        <v>195577</v>
      </c>
      <c r="I42" s="37">
        <f t="shared" si="56"/>
        <v>434451</v>
      </c>
      <c r="J42" s="37">
        <f t="shared" si="56"/>
        <v>605903</v>
      </c>
      <c r="K42" s="37">
        <f>SUM(AF42:AI42)</f>
        <v>688975.18135607871</v>
      </c>
      <c r="L42" s="36">
        <f t="shared" ref="L42" si="57">J42/I42-1</f>
        <v>0.39464059237980798</v>
      </c>
      <c r="M42" s="36">
        <f t="shared" ref="M42" si="58">K42/J42-1</f>
        <v>0.13710475332863292</v>
      </c>
      <c r="N42" s="60"/>
      <c r="P42" s="37">
        <f t="shared" ref="P42:AF42" si="59">SUM(P38:P41)</f>
        <v>9683</v>
      </c>
      <c r="Q42" s="37">
        <f t="shared" si="59"/>
        <v>11529</v>
      </c>
      <c r="R42" s="37">
        <f t="shared" si="59"/>
        <v>14702.837000000001</v>
      </c>
      <c r="S42" s="37">
        <f t="shared" si="59"/>
        <v>20677.163000000004</v>
      </c>
      <c r="T42" s="37">
        <f t="shared" si="59"/>
        <v>27118</v>
      </c>
      <c r="U42" s="37">
        <f t="shared" si="59"/>
        <v>38435</v>
      </c>
      <c r="V42" s="37">
        <f t="shared" si="59"/>
        <v>52977</v>
      </c>
      <c r="W42" s="37">
        <f t="shared" si="59"/>
        <v>77047</v>
      </c>
      <c r="X42" s="37">
        <f t="shared" si="59"/>
        <v>87653</v>
      </c>
      <c r="Y42" s="37">
        <f t="shared" si="59"/>
        <v>102754</v>
      </c>
      <c r="Z42" s="37">
        <f t="shared" si="59"/>
        <v>117923</v>
      </c>
      <c r="AA42" s="37">
        <f t="shared" si="59"/>
        <v>126121</v>
      </c>
      <c r="AB42" s="37">
        <f t="shared" si="59"/>
        <v>119871</v>
      </c>
      <c r="AC42" s="37">
        <f t="shared" si="59"/>
        <v>150736</v>
      </c>
      <c r="AD42" s="37">
        <f t="shared" si="59"/>
        <v>168755</v>
      </c>
      <c r="AE42" s="37">
        <f t="shared" si="59"/>
        <v>166541</v>
      </c>
      <c r="AF42" s="37">
        <f t="shared" si="59"/>
        <v>173291</v>
      </c>
      <c r="AG42" s="37">
        <f>SUM(AG38:AG41)</f>
        <v>167228.32844748424</v>
      </c>
      <c r="AH42" s="37">
        <f>SUM(AH38:AH41)-2696</f>
        <v>183120.79693668551</v>
      </c>
      <c r="AI42" s="37">
        <f>SUM(AI38:AI41)</f>
        <v>165335.05597190902</v>
      </c>
      <c r="AJ42" s="37">
        <f>SUM(AJ38:AJ41)</f>
        <v>140932.36686000004</v>
      </c>
      <c r="AK42" s="36">
        <f t="shared" ref="AK42" si="60">AJ42/AF42-1</f>
        <v>-0.18673002717971487</v>
      </c>
      <c r="AL42" s="36">
        <f t="shared" ref="AL42" si="61">AJ42/AI42-1</f>
        <v>-0.14759537212758489</v>
      </c>
    </row>
    <row r="43" spans="1:40" s="39" customFormat="1" ht="18" outlineLevel="1" x14ac:dyDescent="0.25">
      <c r="A43" s="81"/>
      <c r="B43" s="7" t="s">
        <v>425</v>
      </c>
      <c r="C43" s="7" t="s">
        <v>333</v>
      </c>
      <c r="E43" s="10">
        <f>E42/'DRE - Income Statement'!E16</f>
        <v>0.47533512064343164</v>
      </c>
      <c r="F43" s="10">
        <f>F42/'DRE - Income Statement'!F16</f>
        <v>0.50071661889207386</v>
      </c>
      <c r="G43" s="10">
        <f>G42/'DRE - Income Statement'!G16</f>
        <v>0.51162622500271215</v>
      </c>
      <c r="H43" s="10">
        <f>H42/'DRE - Income Statement'!H16</f>
        <v>0.50833285682353369</v>
      </c>
      <c r="I43" s="10">
        <f>I42/'DRE - Income Statement'!I16</f>
        <v>0.48753804235606746</v>
      </c>
      <c r="J43" s="10">
        <f>J42/'DRE - Income Statement'!J16</f>
        <v>0.48477165279992446</v>
      </c>
      <c r="K43" s="10">
        <f>K42/1559627</f>
        <v>0.44175638236326936</v>
      </c>
      <c r="N43" s="60"/>
      <c r="P43" s="10">
        <f>P42/'DRE - Income Statement'!P16</f>
        <v>0.48849762889718495</v>
      </c>
      <c r="Q43" s="10">
        <f>Q42/'DRE - Income Statement'!Q16</f>
        <v>0.5328126444218505</v>
      </c>
      <c r="R43" s="10">
        <f>R42/'DRE - Income Statement'!R16</f>
        <v>0.50757196119722447</v>
      </c>
      <c r="S43" s="10">
        <f>S42/'DRE - Income Statement'!S16</f>
        <v>0.51454928455891513</v>
      </c>
      <c r="T43" s="10">
        <f>T42/'DRE - Income Statement'!T16</f>
        <v>0.54481165243596186</v>
      </c>
      <c r="U43" s="10">
        <f>U42/'DRE - Income Statement'!U16</f>
        <v>0.54178824657109426</v>
      </c>
      <c r="V43" s="10">
        <f>V42/'DRE - Income Statement'!V16</f>
        <v>0.53562437441232669</v>
      </c>
      <c r="W43" s="10">
        <f>W42/'DRE - Income Statement'!W16</f>
        <v>0.46661498676711949</v>
      </c>
      <c r="X43" s="10">
        <f>X42/'DRE - Income Statement'!X16</f>
        <v>0.47150872247833503</v>
      </c>
      <c r="Y43" s="10">
        <v>0.48070247663245352</v>
      </c>
      <c r="Z43" s="10">
        <f>Z42/'DRE - Income Statement'!Z16</f>
        <v>0.51229663097074096</v>
      </c>
      <c r="AA43" s="10">
        <f>AA42/'DRE - Income Statement'!AA16</f>
        <v>0.48272285375282276</v>
      </c>
      <c r="AB43" s="10">
        <f>AB42/'DRE - Income Statement'!AB16</f>
        <v>0.46828999593711912</v>
      </c>
      <c r="AC43" s="10">
        <f>AC42/'DRE - Income Statement'!AC16</f>
        <v>0.51570700331862196</v>
      </c>
      <c r="AD43" s="10">
        <f>AD42/'DRE - Income Statement'!AD16</f>
        <v>0.50028459791650604</v>
      </c>
      <c r="AE43" s="10">
        <f>AE42/'DRE - Income Statement'!AE16</f>
        <v>0.45716724907971418</v>
      </c>
      <c r="AF43" s="10">
        <f>AF42/'DRE - Income Statement'!AF16</f>
        <v>0.47797557315916062</v>
      </c>
      <c r="AG43" s="10">
        <f>AG42/377769</f>
        <v>0.44267350801014438</v>
      </c>
      <c r="AH43" s="10">
        <f>AH42/421784</f>
        <v>0.43415776069430206</v>
      </c>
      <c r="AI43" s="10">
        <f>AI42/397018</f>
        <v>0.41644221665493508</v>
      </c>
      <c r="AJ43" s="10">
        <f>AJ42/362444</f>
        <v>0.38883901198529991</v>
      </c>
    </row>
    <row r="44" spans="1:40" s="39" customFormat="1" ht="6" customHeight="1" outlineLevel="1" x14ac:dyDescent="0.25">
      <c r="A44" s="81"/>
      <c r="B44" s="7"/>
      <c r="C44" s="7"/>
      <c r="E44" s="10"/>
      <c r="F44" s="10"/>
      <c r="G44" s="10"/>
      <c r="H44" s="10"/>
      <c r="I44" s="10"/>
      <c r="J44" s="10"/>
      <c r="K44" s="10"/>
      <c r="N44" s="60"/>
      <c r="P44" s="10"/>
      <c r="Q44" s="10"/>
      <c r="R44" s="10"/>
      <c r="S44" s="10"/>
      <c r="T44" s="10"/>
      <c r="U44" s="10"/>
      <c r="V44" s="10"/>
      <c r="W44" s="10"/>
      <c r="X44" s="10"/>
      <c r="Y44" s="10"/>
      <c r="Z44" s="10"/>
      <c r="AA44" s="10"/>
      <c r="AB44" s="10"/>
      <c r="AC44" s="10"/>
      <c r="AD44" s="10"/>
      <c r="AE44" s="10"/>
      <c r="AF44" s="10"/>
      <c r="AG44" s="10"/>
      <c r="AH44" s="10"/>
      <c r="AI44" s="10"/>
      <c r="AJ44" s="10"/>
    </row>
    <row r="45" spans="1:40" s="48" customFormat="1" ht="18" outlineLevel="1" x14ac:dyDescent="0.25">
      <c r="A45" s="115"/>
      <c r="B45" s="5" t="s">
        <v>426</v>
      </c>
      <c r="C45" s="5" t="s">
        <v>396</v>
      </c>
      <c r="E45" s="37">
        <f t="shared" ref="E45:J45" si="62">E42-E34</f>
        <v>14946</v>
      </c>
      <c r="F45" s="37">
        <f t="shared" si="62"/>
        <v>23044</v>
      </c>
      <c r="G45" s="37">
        <f t="shared" si="62"/>
        <v>40465</v>
      </c>
      <c r="H45" s="37">
        <f t="shared" si="62"/>
        <v>140963</v>
      </c>
      <c r="I45" s="37">
        <f t="shared" si="62"/>
        <v>297284</v>
      </c>
      <c r="J45" s="37">
        <f t="shared" si="62"/>
        <v>420251</v>
      </c>
      <c r="K45" s="37">
        <f>SUM(AF45:AI45)+2696</f>
        <v>485496.03435607877</v>
      </c>
      <c r="N45" s="71"/>
      <c r="P45" s="37">
        <f t="shared" ref="P45:X45" si="63">P42-P34</f>
        <v>7299</v>
      </c>
      <c r="Q45" s="37">
        <f t="shared" si="63"/>
        <v>8285</v>
      </c>
      <c r="R45" s="37">
        <f t="shared" si="63"/>
        <v>10651.837000000001</v>
      </c>
      <c r="S45" s="37">
        <f t="shared" si="63"/>
        <v>14229.163000000002</v>
      </c>
      <c r="T45" s="37">
        <f t="shared" si="63"/>
        <v>19036</v>
      </c>
      <c r="U45" s="37">
        <f t="shared" si="63"/>
        <v>27187</v>
      </c>
      <c r="V45" s="37">
        <f t="shared" si="63"/>
        <v>41226</v>
      </c>
      <c r="W45" s="37">
        <f t="shared" si="63"/>
        <v>53514</v>
      </c>
      <c r="X45" s="37">
        <f t="shared" si="63"/>
        <v>60626</v>
      </c>
      <c r="Y45" s="37">
        <v>71740</v>
      </c>
      <c r="Z45" s="37">
        <f t="shared" ref="Z45:AG45" si="64">Z42-Z34</f>
        <v>81855</v>
      </c>
      <c r="AA45" s="37">
        <f t="shared" si="64"/>
        <v>83063</v>
      </c>
      <c r="AB45" s="37">
        <f t="shared" si="64"/>
        <v>78153</v>
      </c>
      <c r="AC45" s="37">
        <f t="shared" si="64"/>
        <v>106747</v>
      </c>
      <c r="AD45" s="37">
        <f t="shared" si="64"/>
        <v>120876</v>
      </c>
      <c r="AE45" s="37">
        <f t="shared" si="64"/>
        <v>114475</v>
      </c>
      <c r="AF45" s="37">
        <f t="shared" si="64"/>
        <v>129041</v>
      </c>
      <c r="AG45" s="37">
        <f t="shared" si="64"/>
        <v>131980.32844748424</v>
      </c>
      <c r="AH45" s="37">
        <f>AH42-AH34-2696</f>
        <v>137912.79693668551</v>
      </c>
      <c r="AI45" s="37">
        <f t="shared" ref="AI45:AJ45" si="65">AI42-AI34</f>
        <v>83865.908971909026</v>
      </c>
      <c r="AJ45" s="37">
        <f t="shared" si="65"/>
        <v>84606.366860000038</v>
      </c>
      <c r="AM45" s="121"/>
    </row>
    <row r="46" spans="1:40" s="39" customFormat="1" ht="18" outlineLevel="1" x14ac:dyDescent="0.25">
      <c r="A46" s="81"/>
      <c r="B46" s="7" t="s">
        <v>155</v>
      </c>
      <c r="C46" s="7" t="s">
        <v>333</v>
      </c>
      <c r="E46" s="10">
        <f>E45/'DRE - Income Statement'!E16</f>
        <v>0.36427004630757981</v>
      </c>
      <c r="F46" s="10">
        <f>F45/'DRE - Income Statement'!F16</f>
        <v>0.38404106392907139</v>
      </c>
      <c r="G46" s="10">
        <f>G45/'DRE - Income Statement'!G16</f>
        <v>0.36582830072686506</v>
      </c>
      <c r="H46" s="10">
        <f>H45/'DRE - Income Statement'!H16</f>
        <v>0.36638318665495317</v>
      </c>
      <c r="I46" s="10">
        <f>I45/'DRE - Income Statement'!I16</f>
        <v>0.33361014103726577</v>
      </c>
      <c r="J46" s="10">
        <f>J45/'DRE - Income Statement'!J16</f>
        <v>0.33623496147208554</v>
      </c>
      <c r="K46" s="10">
        <f>K45/1559627</f>
        <v>0.31128983683667877</v>
      </c>
      <c r="N46" s="60"/>
      <c r="P46" s="10">
        <f>P45/'DRE - Income Statement'!P16</f>
        <v>0.36822722227827664</v>
      </c>
      <c r="Q46" s="10">
        <f>Q45/'DRE - Income Statement'!Q16</f>
        <v>0.38289120990849429</v>
      </c>
      <c r="R46" s="10">
        <f>R45/'DRE - Income Statement'!R16</f>
        <v>0.36772316774260372</v>
      </c>
      <c r="S46" s="10">
        <f>S45/'DRE - Income Statement'!S16</f>
        <v>0.35409140226452662</v>
      </c>
      <c r="T46" s="10">
        <f>T45/'DRE - Income Statement'!T16</f>
        <v>0.38244098442993468</v>
      </c>
      <c r="U46" s="10">
        <f>U45/'DRE - Income Statement'!U16</f>
        <v>0.38323395497667073</v>
      </c>
      <c r="V46" s="10">
        <f>V45/'DRE - Income Statement'!V16</f>
        <v>0.4168157966574661</v>
      </c>
      <c r="W46" s="10">
        <f>W45/'DRE - Income Statement'!W16</f>
        <v>0.32409353254319612</v>
      </c>
      <c r="X46" s="10">
        <f>X45/'DRE - Income Statement'!X16</f>
        <v>0.32612332503133423</v>
      </c>
      <c r="Y46" s="10">
        <v>0.33561317003340224</v>
      </c>
      <c r="Z46" s="10">
        <f>Z45/'DRE - Income Statement'!Z16</f>
        <v>0.35560527401872405</v>
      </c>
      <c r="AA46" s="10">
        <f>AA45/'DRE - Income Statement'!AA16</f>
        <v>0.31792015922226052</v>
      </c>
      <c r="AB46" s="10">
        <f>AB45/'DRE - Income Statement'!AB16</f>
        <v>0.30531377941682031</v>
      </c>
      <c r="AC46" s="10">
        <f>AC45/'DRE - Income Statement'!AC16</f>
        <v>0.36520921003113349</v>
      </c>
      <c r="AD46" s="10">
        <f>AD45/'DRE - Income Statement'!AD16</f>
        <v>0.35834435162072587</v>
      </c>
      <c r="AE46" s="10">
        <f>AE45/'DRE - Income Statement'!AE16</f>
        <v>0.31424226369722941</v>
      </c>
      <c r="AF46" s="10">
        <f>AF45/'DRE - Income Statement'!AF16</f>
        <v>0.35592411571305632</v>
      </c>
      <c r="AG46" s="10">
        <f>AG45/377769</f>
        <v>0.34936781061305783</v>
      </c>
      <c r="AH46" s="10">
        <f>AH45/421784</f>
        <v>0.32697493725860988</v>
      </c>
      <c r="AI46" s="10">
        <f>AI45/397018</f>
        <v>0.21123956337473118</v>
      </c>
      <c r="AJ46" s="10">
        <f>AJ45/362444</f>
        <v>0.23343293546037466</v>
      </c>
    </row>
    <row r="47" spans="1:40" s="39" customFormat="1" ht="18" outlineLevel="1" x14ac:dyDescent="0.25">
      <c r="A47" s="81"/>
      <c r="B47" s="7" t="s">
        <v>427</v>
      </c>
      <c r="C47" s="7"/>
      <c r="E47" s="10"/>
      <c r="F47" s="10"/>
      <c r="G47" s="10"/>
      <c r="H47" s="10"/>
      <c r="I47" s="10"/>
      <c r="J47" s="10"/>
      <c r="K47" s="10"/>
      <c r="N47" s="60"/>
      <c r="P47" s="10"/>
      <c r="Q47" s="10"/>
      <c r="R47" s="10"/>
      <c r="S47" s="10"/>
      <c r="T47" s="10"/>
      <c r="U47" s="10"/>
      <c r="V47" s="10"/>
      <c r="W47" s="10"/>
      <c r="X47" s="10"/>
      <c r="Y47" s="10"/>
      <c r="Z47" s="10"/>
      <c r="AA47" s="10"/>
      <c r="AB47" s="10"/>
      <c r="AC47" s="10"/>
      <c r="AD47" s="10"/>
      <c r="AE47" s="10"/>
      <c r="AF47" s="10"/>
      <c r="AG47" s="10"/>
      <c r="AH47" s="10"/>
      <c r="AI47" s="10"/>
      <c r="AJ47" s="10"/>
    </row>
    <row r="48" spans="1:40" s="39" customFormat="1" x14ac:dyDescent="0.25">
      <c r="A48" s="82" t="s">
        <v>145</v>
      </c>
      <c r="N48" s="60"/>
      <c r="P48" s="61"/>
      <c r="V48" s="106"/>
      <c r="AC48" s="106"/>
      <c r="AD48" s="106"/>
      <c r="AE48" s="106"/>
      <c r="AF48" s="106"/>
      <c r="AG48" s="106"/>
      <c r="AH48" s="106"/>
      <c r="AI48" s="106"/>
      <c r="AJ48" s="106"/>
    </row>
    <row r="49" spans="1:38" s="39" customFormat="1" ht="18" x14ac:dyDescent="0.25">
      <c r="A49" s="81"/>
      <c r="B49" s="8" t="s">
        <v>129</v>
      </c>
      <c r="C49" s="8" t="s">
        <v>278</v>
      </c>
      <c r="D49" s="47"/>
      <c r="E49" s="47"/>
      <c r="F49" s="47"/>
      <c r="G49" s="47"/>
      <c r="H49" s="47"/>
      <c r="I49" s="47"/>
      <c r="J49" s="47"/>
      <c r="K49" s="47"/>
      <c r="L49" s="47"/>
      <c r="M49" s="47"/>
      <c r="N49" s="60"/>
      <c r="P49" s="47"/>
      <c r="Q49" s="47"/>
      <c r="R49" s="47"/>
      <c r="S49" s="47"/>
      <c r="T49" s="47"/>
      <c r="U49" s="47"/>
      <c r="V49" s="47"/>
      <c r="W49" s="47"/>
      <c r="X49" s="47"/>
      <c r="Y49" s="47"/>
      <c r="Z49" s="47"/>
      <c r="AA49" s="47"/>
      <c r="AB49" s="47"/>
      <c r="AC49" s="47"/>
      <c r="AD49" s="47"/>
      <c r="AE49" s="47"/>
      <c r="AF49" s="47"/>
      <c r="AG49" s="47"/>
      <c r="AH49" s="47"/>
      <c r="AI49" s="47"/>
      <c r="AJ49" s="47"/>
      <c r="AK49" s="47"/>
      <c r="AL49" s="47"/>
    </row>
    <row r="50" spans="1:38" s="39" customFormat="1" ht="6.75" customHeight="1" outlineLevel="1" x14ac:dyDescent="0.25">
      <c r="A50" s="81"/>
      <c r="N50" s="60"/>
    </row>
    <row r="51" spans="1:38" s="39" customFormat="1" ht="18" outlineLevel="1" x14ac:dyDescent="0.25">
      <c r="A51" s="81"/>
      <c r="B51" s="5" t="s">
        <v>88</v>
      </c>
      <c r="C51" s="5" t="s">
        <v>279</v>
      </c>
      <c r="D51" s="48"/>
      <c r="E51" s="37">
        <v>11594</v>
      </c>
      <c r="F51" s="37">
        <v>23633</v>
      </c>
      <c r="G51" s="37">
        <v>-74982</v>
      </c>
      <c r="H51" s="37">
        <f t="shared" ref="H51:H65" si="66">SUM(T51:W51)</f>
        <v>-592585.39179000002</v>
      </c>
      <c r="I51" s="37">
        <v>-693606</v>
      </c>
      <c r="J51" s="37">
        <v>125875.49404401478</v>
      </c>
      <c r="K51" s="37">
        <f>SUM(AF51:AI51)</f>
        <v>38135.52272536364</v>
      </c>
      <c r="L51" s="36"/>
      <c r="M51" s="36"/>
      <c r="N51" s="60"/>
      <c r="P51" s="37">
        <v>-821</v>
      </c>
      <c r="Q51" s="37">
        <v>-929</v>
      </c>
      <c r="R51" s="37">
        <v>-30662.907790000001</v>
      </c>
      <c r="S51" s="37">
        <v>-42569.092210000003</v>
      </c>
      <c r="T51" s="37">
        <v>-106218</v>
      </c>
      <c r="U51" s="37">
        <v>-123341</v>
      </c>
      <c r="V51" s="37">
        <v>-212392</v>
      </c>
      <c r="W51" s="37">
        <v>-150634.39178999999</v>
      </c>
      <c r="X51" s="37">
        <v>-113358.88311267571</v>
      </c>
      <c r="Y51" s="37">
        <v>-222585.11688732429</v>
      </c>
      <c r="Z51" s="37">
        <v>-188808.00000000006</v>
      </c>
      <c r="AA51" s="37">
        <v>-168854</v>
      </c>
      <c r="AB51" s="37">
        <v>76134.408110179254</v>
      </c>
      <c r="AC51" s="37">
        <v>-43637.056147649739</v>
      </c>
      <c r="AD51" s="37">
        <v>119699.35618494198</v>
      </c>
      <c r="AE51" s="37">
        <v>-26321.028712266336</v>
      </c>
      <c r="AF51" s="37">
        <v>68400</v>
      </c>
      <c r="AG51" s="37">
        <v>-98873.554501288454</v>
      </c>
      <c r="AH51" s="37">
        <v>106496.09105418675</v>
      </c>
      <c r="AI51" s="37">
        <f>'DFC - Cash Flow Statement'!AG49</f>
        <v>-37887.013827534654</v>
      </c>
      <c r="AJ51" s="37">
        <v>244518.65006368241</v>
      </c>
      <c r="AK51" s="36"/>
      <c r="AL51" s="36"/>
    </row>
    <row r="52" spans="1:38" s="39" customFormat="1" ht="18" outlineLevel="1" x14ac:dyDescent="0.25">
      <c r="A52" s="81"/>
      <c r="B52" s="7" t="s">
        <v>388</v>
      </c>
      <c r="C52" s="7"/>
      <c r="E52" s="35">
        <v>0</v>
      </c>
      <c r="F52" s="35">
        <v>0</v>
      </c>
      <c r="G52" s="35">
        <v>0</v>
      </c>
      <c r="H52" s="35">
        <v>0</v>
      </c>
      <c r="I52" s="35">
        <v>-49795</v>
      </c>
      <c r="J52" s="35">
        <v>74115</v>
      </c>
      <c r="K52" s="35">
        <f t="shared" ref="K52:K66" si="67">SUM(AF52:AI52)</f>
        <v>6342.3220900000015</v>
      </c>
      <c r="L52" s="35"/>
      <c r="M52" s="35"/>
      <c r="N52" s="60"/>
      <c r="O52" s="35"/>
      <c r="P52" s="35"/>
      <c r="Q52" s="35"/>
      <c r="R52" s="35"/>
      <c r="S52" s="35"/>
      <c r="T52" s="35"/>
      <c r="U52" s="35"/>
      <c r="V52" s="35"/>
      <c r="W52" s="35"/>
      <c r="X52" s="35"/>
      <c r="Y52" s="35"/>
      <c r="Z52" s="35">
        <v>-261423</v>
      </c>
      <c r="AA52" s="35">
        <v>177093</v>
      </c>
      <c r="AB52" s="35">
        <v>34486</v>
      </c>
      <c r="AC52" s="35">
        <v>37692</v>
      </c>
      <c r="AD52" s="35">
        <v>-7974</v>
      </c>
      <c r="AE52" s="35">
        <v>9911</v>
      </c>
      <c r="AF52" s="35">
        <v>8909.1527100000021</v>
      </c>
      <c r="AG52" s="35">
        <v>1305.8472899999979</v>
      </c>
      <c r="AH52" s="35">
        <v>-6983.4155099999989</v>
      </c>
      <c r="AI52" s="35">
        <v>3110.7376000000004</v>
      </c>
      <c r="AJ52" s="35">
        <v>-34186.577020000004</v>
      </c>
      <c r="AK52" s="35"/>
      <c r="AL52" s="35"/>
    </row>
    <row r="53" spans="1:38" s="39" customFormat="1" ht="18" outlineLevel="1" x14ac:dyDescent="0.25">
      <c r="A53" s="81"/>
      <c r="B53" s="7" t="s">
        <v>58</v>
      </c>
      <c r="C53" s="7" t="s">
        <v>241</v>
      </c>
      <c r="E53" s="35">
        <v>1795</v>
      </c>
      <c r="F53" s="35">
        <v>2837</v>
      </c>
      <c r="G53" s="35">
        <v>101279</v>
      </c>
      <c r="H53" s="35">
        <f t="shared" si="66"/>
        <v>645819</v>
      </c>
      <c r="I53" s="35">
        <v>1017461</v>
      </c>
      <c r="J53" s="35">
        <v>177238.5</v>
      </c>
      <c r="K53" s="35">
        <f t="shared" si="67"/>
        <v>267359.41993027058</v>
      </c>
      <c r="L53" s="35"/>
      <c r="M53" s="35"/>
      <c r="N53" s="60"/>
      <c r="O53" s="35"/>
      <c r="P53" s="35">
        <v>2500</v>
      </c>
      <c r="Q53" s="35">
        <v>11436</v>
      </c>
      <c r="R53" s="35">
        <v>39254</v>
      </c>
      <c r="S53" s="35">
        <v>48089</v>
      </c>
      <c r="T53" s="35">
        <v>106279</v>
      </c>
      <c r="U53" s="35">
        <v>136982</v>
      </c>
      <c r="V53" s="35">
        <v>239861</v>
      </c>
      <c r="W53" s="35">
        <v>162697</v>
      </c>
      <c r="X53" s="35">
        <v>215710.01175996353</v>
      </c>
      <c r="Y53" s="35">
        <v>228206.98824003647</v>
      </c>
      <c r="Z53" s="35">
        <v>421924.00000000006</v>
      </c>
      <c r="AA53" s="35">
        <v>151620</v>
      </c>
      <c r="AB53" s="35">
        <v>46553</v>
      </c>
      <c r="AC53" s="35">
        <v>38531.354293035678</v>
      </c>
      <c r="AD53" s="35">
        <v>62628.44035674099</v>
      </c>
      <c r="AE53" s="35">
        <v>29526.05964325901</v>
      </c>
      <c r="AF53" s="35">
        <v>51816</v>
      </c>
      <c r="AG53" s="35">
        <v>93344.794854707143</v>
      </c>
      <c r="AH53" s="35">
        <v>76860.865304717212</v>
      </c>
      <c r="AI53" s="35">
        <v>45337.759770846227</v>
      </c>
      <c r="AJ53" s="35">
        <v>103622.02616456924</v>
      </c>
      <c r="AK53" s="35"/>
      <c r="AL53" s="35"/>
    </row>
    <row r="54" spans="1:38" s="39" customFormat="1" ht="18" outlineLevel="1" x14ac:dyDescent="0.25">
      <c r="A54" s="81"/>
      <c r="B54" s="7" t="s">
        <v>59</v>
      </c>
      <c r="C54" s="7" t="s">
        <v>334</v>
      </c>
      <c r="E54" s="35">
        <v>-1708</v>
      </c>
      <c r="F54" s="35">
        <v>-1368</v>
      </c>
      <c r="G54" s="35">
        <v>-130</v>
      </c>
      <c r="H54" s="35">
        <f t="shared" si="66"/>
        <v>-5012</v>
      </c>
      <c r="I54" s="35">
        <v>-60642</v>
      </c>
      <c r="J54" s="35">
        <v>-111094</v>
      </c>
      <c r="K54" s="35">
        <f t="shared" si="67"/>
        <v>-138484.68293000001</v>
      </c>
      <c r="L54" s="35"/>
      <c r="M54" s="35"/>
      <c r="N54" s="60"/>
      <c r="O54" s="35"/>
      <c r="P54" s="35">
        <v>0</v>
      </c>
      <c r="Q54" s="35">
        <v>0</v>
      </c>
      <c r="R54" s="35">
        <v>-377</v>
      </c>
      <c r="S54" s="35">
        <v>247</v>
      </c>
      <c r="T54" s="35">
        <v>-1880</v>
      </c>
      <c r="U54" s="35">
        <v>-750</v>
      </c>
      <c r="V54" s="35">
        <v>-439</v>
      </c>
      <c r="W54" s="35">
        <v>-1943</v>
      </c>
      <c r="X54" s="35">
        <v>-9517</v>
      </c>
      <c r="Y54" s="35">
        <v>-12105</v>
      </c>
      <c r="Z54" s="35">
        <v>-20412</v>
      </c>
      <c r="AA54" s="35">
        <v>-18608</v>
      </c>
      <c r="AB54" s="35">
        <v>-35515</v>
      </c>
      <c r="AC54" s="35">
        <v>-18648</v>
      </c>
      <c r="AD54" s="35">
        <v>-22221</v>
      </c>
      <c r="AE54" s="35">
        <v>-34710</v>
      </c>
      <c r="AF54" s="35">
        <v>-25235</v>
      </c>
      <c r="AG54" s="35">
        <v>-20015</v>
      </c>
      <c r="AH54" s="35">
        <v>-47168.5</v>
      </c>
      <c r="AI54" s="35">
        <v>-46066.18293000001</v>
      </c>
      <c r="AJ54" s="35">
        <v>-63619.580549999999</v>
      </c>
      <c r="AK54" s="35"/>
      <c r="AL54" s="35"/>
    </row>
    <row r="55" spans="1:38" s="39" customFormat="1" ht="18" outlineLevel="1" x14ac:dyDescent="0.25">
      <c r="A55" s="81"/>
      <c r="B55" s="7" t="s">
        <v>55</v>
      </c>
      <c r="C55" s="7" t="s">
        <v>238</v>
      </c>
      <c r="E55" s="35">
        <v>4201</v>
      </c>
      <c r="F55" s="35">
        <v>6798</v>
      </c>
      <c r="G55" s="35">
        <v>12756</v>
      </c>
      <c r="H55" s="35">
        <f t="shared" si="66"/>
        <v>49538</v>
      </c>
      <c r="I55" s="35">
        <v>232727</v>
      </c>
      <c r="J55" s="35">
        <v>282115.1231201982</v>
      </c>
      <c r="K55" s="35">
        <f t="shared" si="67"/>
        <v>283896.29382731573</v>
      </c>
      <c r="L55" s="35"/>
      <c r="M55" s="35"/>
      <c r="N55" s="60"/>
      <c r="O55" s="35"/>
      <c r="P55" s="35">
        <v>2181</v>
      </c>
      <c r="Q55" s="35">
        <v>1954</v>
      </c>
      <c r="R55" s="35">
        <v>3553</v>
      </c>
      <c r="S55" s="35">
        <v>5068</v>
      </c>
      <c r="T55" s="35">
        <v>6947</v>
      </c>
      <c r="U55" s="35">
        <v>8430</v>
      </c>
      <c r="V55" s="35">
        <v>13398</v>
      </c>
      <c r="W55" s="35">
        <v>20763</v>
      </c>
      <c r="X55" s="35">
        <v>29220</v>
      </c>
      <c r="Y55" s="35">
        <v>80828</v>
      </c>
      <c r="Z55" s="35">
        <v>13147</v>
      </c>
      <c r="AA55" s="35">
        <v>109532</v>
      </c>
      <c r="AB55" s="35">
        <v>8964.3970340467476</v>
      </c>
      <c r="AC55" s="35">
        <v>132717.15177442326</v>
      </c>
      <c r="AD55" s="35">
        <v>8889.8663762409869</v>
      </c>
      <c r="AE55" s="35">
        <v>131543.70793548718</v>
      </c>
      <c r="AF55" s="35">
        <v>7379.8891530034662</v>
      </c>
      <c r="AG55" s="35">
        <v>115101.69130654534</v>
      </c>
      <c r="AH55" s="35">
        <v>49385.970169787644</v>
      </c>
      <c r="AI55" s="35">
        <v>112028.74319797929</v>
      </c>
      <c r="AJ55" s="35">
        <v>95130.768158974082</v>
      </c>
      <c r="AK55" s="35"/>
      <c r="AL55" s="35"/>
    </row>
    <row r="56" spans="1:38" s="39" customFormat="1" ht="18" outlineLevel="1" x14ac:dyDescent="0.25">
      <c r="A56" s="81"/>
      <c r="B56" s="7" t="s">
        <v>353</v>
      </c>
      <c r="C56" s="7" t="s">
        <v>356</v>
      </c>
      <c r="E56" s="35"/>
      <c r="F56" s="35"/>
      <c r="G56" s="35"/>
      <c r="H56" s="35"/>
      <c r="I56" s="35"/>
      <c r="J56" s="35">
        <v>14044.359925632571</v>
      </c>
      <c r="K56" s="35">
        <f t="shared" si="67"/>
        <v>40991.697528074204</v>
      </c>
      <c r="L56" s="35"/>
      <c r="M56" s="35"/>
      <c r="N56" s="60"/>
      <c r="O56" s="35"/>
      <c r="P56" s="35">
        <v>0</v>
      </c>
      <c r="Q56" s="35">
        <v>0</v>
      </c>
      <c r="R56" s="35">
        <v>0</v>
      </c>
      <c r="S56" s="35">
        <v>0</v>
      </c>
      <c r="T56" s="35">
        <v>0</v>
      </c>
      <c r="U56" s="35">
        <v>0</v>
      </c>
      <c r="V56" s="35">
        <v>0</v>
      </c>
      <c r="W56" s="35">
        <v>0</v>
      </c>
      <c r="X56" s="35">
        <v>0</v>
      </c>
      <c r="Y56" s="35">
        <v>0</v>
      </c>
      <c r="Z56" s="35">
        <v>0</v>
      </c>
      <c r="AA56" s="35">
        <v>0</v>
      </c>
      <c r="AB56" s="35">
        <v>4568</v>
      </c>
      <c r="AC56" s="35">
        <v>2751.9941101928998</v>
      </c>
      <c r="AD56" s="35">
        <v>6548.1342381048999</v>
      </c>
      <c r="AE56" s="35">
        <v>176.23157733477092</v>
      </c>
      <c r="AF56" s="35">
        <v>21332</v>
      </c>
      <c r="AG56" s="35">
        <v>15132.176932221031</v>
      </c>
      <c r="AH56" s="35">
        <v>11050.112431479007</v>
      </c>
      <c r="AI56" s="35">
        <v>-6522.5918356258335</v>
      </c>
      <c r="AJ56" s="35">
        <v>17236.651272781772</v>
      </c>
      <c r="AK56" s="35"/>
      <c r="AL56" s="35"/>
    </row>
    <row r="57" spans="1:38" s="39" customFormat="1" ht="18" outlineLevel="1" x14ac:dyDescent="0.25">
      <c r="A57" s="81"/>
      <c r="B57" s="7" t="s">
        <v>89</v>
      </c>
      <c r="C57" s="7" t="s">
        <v>280</v>
      </c>
      <c r="E57" s="35">
        <v>3137</v>
      </c>
      <c r="F57" s="35">
        <v>4152</v>
      </c>
      <c r="G57" s="35">
        <v>15912</v>
      </c>
      <c r="H57" s="35">
        <f t="shared" si="66"/>
        <v>37558.995716949998</v>
      </c>
      <c r="I57" s="35">
        <v>68448.972478555603</v>
      </c>
      <c r="J57" s="35">
        <v>0</v>
      </c>
      <c r="K57" s="35">
        <f t="shared" si="67"/>
        <v>0</v>
      </c>
      <c r="L57" s="35"/>
      <c r="M57" s="35"/>
      <c r="N57" s="60"/>
      <c r="O57" s="35"/>
      <c r="P57" s="35">
        <v>1995</v>
      </c>
      <c r="Q57" s="35">
        <v>3432</v>
      </c>
      <c r="R57" s="35">
        <v>6563</v>
      </c>
      <c r="S57" s="35">
        <v>3922</v>
      </c>
      <c r="T57" s="35">
        <v>7547</v>
      </c>
      <c r="U57" s="35">
        <v>15099</v>
      </c>
      <c r="V57" s="35">
        <v>14912.995716949998</v>
      </c>
      <c r="W57" s="35">
        <v>0</v>
      </c>
      <c r="X57" s="35">
        <v>11998</v>
      </c>
      <c r="Y57" s="35">
        <v>12385.313</v>
      </c>
      <c r="Z57" s="35">
        <v>27437.533857655599</v>
      </c>
      <c r="AA57" s="35">
        <v>16628.125620899998</v>
      </c>
      <c r="AB57" s="35">
        <v>0</v>
      </c>
      <c r="AC57" s="35">
        <v>0</v>
      </c>
      <c r="AD57" s="35">
        <v>0</v>
      </c>
      <c r="AE57" s="35">
        <v>0</v>
      </c>
      <c r="AF57" s="35">
        <v>0</v>
      </c>
      <c r="AG57" s="35">
        <v>0</v>
      </c>
      <c r="AH57" s="35">
        <v>0</v>
      </c>
      <c r="AI57" s="35">
        <v>0</v>
      </c>
      <c r="AJ57" s="35">
        <v>0</v>
      </c>
      <c r="AK57" s="35"/>
      <c r="AL57" s="35"/>
    </row>
    <row r="58" spans="1:38" s="39" customFormat="1" ht="18" outlineLevel="1" x14ac:dyDescent="0.25">
      <c r="A58" s="81"/>
      <c r="B58" s="7" t="s">
        <v>90</v>
      </c>
      <c r="C58" s="7" t="s">
        <v>255</v>
      </c>
      <c r="E58" s="35">
        <v>0</v>
      </c>
      <c r="F58" s="35">
        <v>0</v>
      </c>
      <c r="G58" s="35">
        <v>-693</v>
      </c>
      <c r="H58" s="35">
        <f t="shared" si="66"/>
        <v>-2624</v>
      </c>
      <c r="I58" s="35">
        <v>-5914</v>
      </c>
      <c r="J58" s="35">
        <v>-6560</v>
      </c>
      <c r="K58" s="35">
        <f t="shared" si="67"/>
        <v>-8834.8008126254426</v>
      </c>
      <c r="L58" s="35"/>
      <c r="M58" s="35"/>
      <c r="N58" s="60"/>
      <c r="O58" s="35"/>
      <c r="P58" s="35">
        <v>-78</v>
      </c>
      <c r="Q58" s="35">
        <v>-99</v>
      </c>
      <c r="R58" s="35">
        <v>-185</v>
      </c>
      <c r="S58" s="35">
        <v>-331</v>
      </c>
      <c r="T58" s="35">
        <v>-429</v>
      </c>
      <c r="U58" s="35">
        <v>-561</v>
      </c>
      <c r="V58" s="35">
        <v>-563</v>
      </c>
      <c r="W58" s="35">
        <v>-1071</v>
      </c>
      <c r="X58" s="35">
        <v>-1415.550809138867</v>
      </c>
      <c r="Y58" s="35">
        <v>-1851.449190861133</v>
      </c>
      <c r="Z58" s="35">
        <v>-1658</v>
      </c>
      <c r="AA58" s="35">
        <v>-989</v>
      </c>
      <c r="AB58" s="35">
        <v>-1489.6746042259847</v>
      </c>
      <c r="AC58" s="35">
        <v>-1356.9429581409954</v>
      </c>
      <c r="AD58" s="35">
        <v>-1634.7573548764399</v>
      </c>
      <c r="AE58" s="35">
        <v>-2078.62508275658</v>
      </c>
      <c r="AF58" s="35">
        <v>-1917</v>
      </c>
      <c r="AG58" s="35">
        <v>-2097.9108114481078</v>
      </c>
      <c r="AH58" s="35">
        <v>-2357.6251810928261</v>
      </c>
      <c r="AI58" s="35">
        <v>-2462.2648200845088</v>
      </c>
      <c r="AJ58" s="35">
        <v>-2438.7794942860151</v>
      </c>
      <c r="AK58" s="35"/>
      <c r="AL58" s="35"/>
    </row>
    <row r="59" spans="1:38" s="39" customFormat="1" ht="18" outlineLevel="1" x14ac:dyDescent="0.25">
      <c r="A59" s="81"/>
      <c r="B59" s="7" t="s">
        <v>71</v>
      </c>
      <c r="C59" s="7" t="s">
        <v>256</v>
      </c>
      <c r="E59" s="35">
        <v>-50</v>
      </c>
      <c r="F59" s="35">
        <v>-52</v>
      </c>
      <c r="G59" s="35">
        <v>-57</v>
      </c>
      <c r="H59" s="35">
        <f t="shared" si="66"/>
        <v>-123</v>
      </c>
      <c r="I59" s="35">
        <v>0</v>
      </c>
      <c r="J59" s="35">
        <v>0</v>
      </c>
      <c r="K59" s="35">
        <f t="shared" si="67"/>
        <v>-1900.66696</v>
      </c>
      <c r="L59" s="35"/>
      <c r="M59" s="35"/>
      <c r="N59" s="60"/>
      <c r="O59" s="35"/>
      <c r="P59" s="35">
        <v>-15</v>
      </c>
      <c r="Q59" s="35">
        <v>0</v>
      </c>
      <c r="R59" s="35">
        <v>-14</v>
      </c>
      <c r="S59" s="35">
        <v>-28</v>
      </c>
      <c r="T59" s="35">
        <v>-24</v>
      </c>
      <c r="U59" s="35">
        <v>-24</v>
      </c>
      <c r="V59" s="35">
        <v>-31</v>
      </c>
      <c r="W59" s="35">
        <v>-44</v>
      </c>
      <c r="X59" s="35">
        <v>-1223</v>
      </c>
      <c r="Y59" s="35">
        <v>52</v>
      </c>
      <c r="Z59" s="35">
        <v>-86</v>
      </c>
      <c r="AA59" s="35">
        <v>1257</v>
      </c>
      <c r="AB59" s="35">
        <v>-18</v>
      </c>
      <c r="AC59" s="35">
        <v>-34</v>
      </c>
      <c r="AD59" s="35">
        <v>-13</v>
      </c>
      <c r="AE59" s="35">
        <v>65</v>
      </c>
      <c r="AF59" s="35">
        <v>0</v>
      </c>
      <c r="AG59" s="35">
        <v>-783.98269205617862</v>
      </c>
      <c r="AH59" s="35">
        <v>-554.01730794382138</v>
      </c>
      <c r="AI59" s="35">
        <v>-562.66696000000002</v>
      </c>
      <c r="AJ59" s="35">
        <v>-556.00444999999991</v>
      </c>
      <c r="AK59" s="35"/>
      <c r="AL59" s="35"/>
    </row>
    <row r="60" spans="1:38" s="39" customFormat="1" ht="18" outlineLevel="1" x14ac:dyDescent="0.25">
      <c r="A60" s="81"/>
      <c r="B60" s="7" t="s">
        <v>156</v>
      </c>
      <c r="C60" s="7" t="s">
        <v>281</v>
      </c>
      <c r="E60" s="35">
        <v>100</v>
      </c>
      <c r="F60" s="35">
        <v>0</v>
      </c>
      <c r="G60" s="35">
        <v>317</v>
      </c>
      <c r="H60" s="35">
        <f t="shared" si="66"/>
        <v>1246</v>
      </c>
      <c r="I60" s="35">
        <v>0</v>
      </c>
      <c r="J60" s="35">
        <v>0</v>
      </c>
      <c r="K60" s="35">
        <f t="shared" si="67"/>
        <v>0</v>
      </c>
      <c r="L60" s="35"/>
      <c r="M60" s="35"/>
      <c r="N60" s="60"/>
      <c r="O60" s="35"/>
      <c r="P60" s="35">
        <v>34</v>
      </c>
      <c r="Q60" s="35">
        <v>266</v>
      </c>
      <c r="R60" s="35">
        <v>0</v>
      </c>
      <c r="S60" s="35">
        <v>17</v>
      </c>
      <c r="T60" s="35">
        <v>0</v>
      </c>
      <c r="U60" s="35">
        <v>0</v>
      </c>
      <c r="V60" s="35">
        <v>0</v>
      </c>
      <c r="W60" s="35">
        <v>1246</v>
      </c>
      <c r="X60" s="35">
        <v>0</v>
      </c>
      <c r="Y60" s="35">
        <v>0</v>
      </c>
      <c r="Z60" s="35">
        <v>0</v>
      </c>
      <c r="AA60" s="35">
        <v>0</v>
      </c>
      <c r="AB60" s="35">
        <v>0</v>
      </c>
      <c r="AC60" s="35">
        <v>0</v>
      </c>
      <c r="AD60" s="35">
        <v>0</v>
      </c>
      <c r="AE60" s="35">
        <v>0</v>
      </c>
      <c r="AF60" s="35">
        <v>0</v>
      </c>
      <c r="AG60" s="35">
        <v>0</v>
      </c>
      <c r="AH60" s="35">
        <v>0</v>
      </c>
      <c r="AI60" s="35">
        <v>0</v>
      </c>
      <c r="AJ60" s="35">
        <v>0</v>
      </c>
      <c r="AK60" s="35"/>
      <c r="AL60" s="35"/>
    </row>
    <row r="61" spans="1:38" s="39" customFormat="1" ht="18" outlineLevel="1" x14ac:dyDescent="0.25">
      <c r="A61" s="81"/>
      <c r="B61" s="7" t="s">
        <v>91</v>
      </c>
      <c r="C61" s="7" t="s">
        <v>274</v>
      </c>
      <c r="E61" s="35">
        <v>-563</v>
      </c>
      <c r="F61" s="35">
        <v>-296</v>
      </c>
      <c r="G61" s="35">
        <v>-859</v>
      </c>
      <c r="H61" s="35">
        <f t="shared" si="66"/>
        <v>-27692</v>
      </c>
      <c r="I61" s="35">
        <v>-126974</v>
      </c>
      <c r="J61" s="35">
        <v>-99055.6</v>
      </c>
      <c r="K61" s="35">
        <f t="shared" si="67"/>
        <v>-117515.69500000001</v>
      </c>
      <c r="L61" s="35"/>
      <c r="M61" s="35"/>
      <c r="N61" s="60"/>
      <c r="O61" s="35"/>
      <c r="P61" s="35">
        <v>-125</v>
      </c>
      <c r="Q61" s="35">
        <v>-33</v>
      </c>
      <c r="R61" s="35">
        <v>-70.755319999999998</v>
      </c>
      <c r="S61" s="35">
        <v>-630.24468000000002</v>
      </c>
      <c r="T61" s="35">
        <v>-447</v>
      </c>
      <c r="U61" s="35">
        <v>-567</v>
      </c>
      <c r="V61" s="35">
        <v>-9378</v>
      </c>
      <c r="W61" s="35">
        <v>-17300</v>
      </c>
      <c r="X61" s="35">
        <v>-38592</v>
      </c>
      <c r="Y61" s="35">
        <v>-29335</v>
      </c>
      <c r="Z61" s="35">
        <v>-31475</v>
      </c>
      <c r="AA61" s="35">
        <v>-27572</v>
      </c>
      <c r="AB61" s="35">
        <v>-28107</v>
      </c>
      <c r="AC61" s="35">
        <v>-25253</v>
      </c>
      <c r="AD61" s="35">
        <v>-23878.600000000006</v>
      </c>
      <c r="AE61" s="35">
        <v>-21817</v>
      </c>
      <c r="AF61" s="35">
        <v>-21400</v>
      </c>
      <c r="AG61" s="35">
        <v>-31689.232999999993</v>
      </c>
      <c r="AH61" s="35">
        <v>-29504.135999999999</v>
      </c>
      <c r="AI61" s="35">
        <v>-34922.326000000015</v>
      </c>
      <c r="AJ61" s="35">
        <v>-20045.397000000001</v>
      </c>
      <c r="AK61" s="35"/>
      <c r="AL61" s="35"/>
    </row>
    <row r="62" spans="1:38" s="39" customFormat="1" ht="18" outlineLevel="1" x14ac:dyDescent="0.25">
      <c r="A62" s="81"/>
      <c r="B62" s="7" t="s">
        <v>92</v>
      </c>
      <c r="C62" s="7" t="s">
        <v>335</v>
      </c>
      <c r="E62" s="35">
        <v>0</v>
      </c>
      <c r="F62" s="35">
        <v>0</v>
      </c>
      <c r="G62" s="35">
        <v>0</v>
      </c>
      <c r="H62" s="35">
        <f t="shared" si="66"/>
        <v>2934</v>
      </c>
      <c r="I62" s="35">
        <v>0</v>
      </c>
      <c r="J62" s="35">
        <v>0</v>
      </c>
      <c r="K62" s="35">
        <f t="shared" si="67"/>
        <v>0</v>
      </c>
      <c r="L62" s="35"/>
      <c r="M62" s="35"/>
      <c r="N62" s="60"/>
      <c r="O62" s="35"/>
      <c r="P62" s="35">
        <v>0</v>
      </c>
      <c r="Q62" s="35">
        <v>0</v>
      </c>
      <c r="R62" s="35">
        <v>0</v>
      </c>
      <c r="S62" s="35">
        <v>0</v>
      </c>
      <c r="T62" s="35">
        <v>0</v>
      </c>
      <c r="U62" s="35">
        <v>2934</v>
      </c>
      <c r="V62" s="35">
        <v>0</v>
      </c>
      <c r="W62" s="35">
        <v>0</v>
      </c>
      <c r="X62" s="35">
        <v>0</v>
      </c>
      <c r="Y62" s="35">
        <v>0</v>
      </c>
      <c r="Z62" s="35">
        <v>0</v>
      </c>
      <c r="AA62" s="35">
        <v>0</v>
      </c>
      <c r="AB62" s="35">
        <v>0</v>
      </c>
      <c r="AC62" s="35">
        <v>0</v>
      </c>
      <c r="AD62" s="35">
        <v>0</v>
      </c>
      <c r="AE62" s="35">
        <v>0</v>
      </c>
      <c r="AF62" s="35">
        <v>0</v>
      </c>
      <c r="AG62" s="35">
        <v>0</v>
      </c>
      <c r="AH62" s="35">
        <v>0</v>
      </c>
      <c r="AI62" s="35">
        <v>0</v>
      </c>
      <c r="AJ62" s="35">
        <v>0</v>
      </c>
      <c r="AK62" s="35"/>
      <c r="AL62" s="35"/>
    </row>
    <row r="63" spans="1:38" s="39" customFormat="1" ht="18" outlineLevel="1" x14ac:dyDescent="0.25">
      <c r="A63" s="81"/>
      <c r="B63" s="7" t="s">
        <v>299</v>
      </c>
      <c r="C63" s="7" t="s">
        <v>282</v>
      </c>
      <c r="E63" s="35">
        <v>0</v>
      </c>
      <c r="F63" s="35">
        <v>0</v>
      </c>
      <c r="G63" s="35">
        <v>0</v>
      </c>
      <c r="H63" s="35">
        <f t="shared" si="66"/>
        <v>12842.720700000002</v>
      </c>
      <c r="I63" s="35">
        <v>0</v>
      </c>
      <c r="J63" s="35">
        <v>0</v>
      </c>
      <c r="K63" s="35">
        <f t="shared" si="67"/>
        <v>0</v>
      </c>
      <c r="L63" s="35"/>
      <c r="M63" s="35"/>
      <c r="N63" s="60"/>
      <c r="O63" s="35"/>
      <c r="P63" s="35">
        <v>0</v>
      </c>
      <c r="Q63" s="35">
        <v>0</v>
      </c>
      <c r="R63" s="35">
        <v>0</v>
      </c>
      <c r="S63" s="35">
        <v>0</v>
      </c>
      <c r="T63" s="35">
        <v>0</v>
      </c>
      <c r="U63" s="35">
        <v>0</v>
      </c>
      <c r="V63" s="35">
        <v>2843.0962700000018</v>
      </c>
      <c r="W63" s="35">
        <v>9999.6244299999998</v>
      </c>
      <c r="X63" s="35">
        <v>0</v>
      </c>
      <c r="Y63" s="35">
        <v>0</v>
      </c>
      <c r="Z63" s="35">
        <v>0</v>
      </c>
      <c r="AA63" s="35">
        <v>0</v>
      </c>
      <c r="AB63" s="35">
        <v>0</v>
      </c>
      <c r="AC63" s="35">
        <v>0</v>
      </c>
      <c r="AD63" s="35">
        <v>0</v>
      </c>
      <c r="AE63" s="35">
        <v>0</v>
      </c>
      <c r="AF63" s="35">
        <v>0</v>
      </c>
      <c r="AG63" s="35">
        <v>0</v>
      </c>
      <c r="AH63" s="35">
        <v>0</v>
      </c>
      <c r="AI63" s="35">
        <v>0</v>
      </c>
      <c r="AJ63" s="35">
        <v>0</v>
      </c>
      <c r="AK63" s="35"/>
      <c r="AL63" s="35"/>
    </row>
    <row r="64" spans="1:38" s="39" customFormat="1" ht="18" outlineLevel="1" x14ac:dyDescent="0.25">
      <c r="A64" s="81"/>
      <c r="B64" s="7" t="s">
        <v>378</v>
      </c>
      <c r="C64" s="7" t="s">
        <v>391</v>
      </c>
      <c r="E64" s="35"/>
      <c r="F64" s="35"/>
      <c r="G64" s="35"/>
      <c r="H64" s="35"/>
      <c r="I64" s="35"/>
      <c r="J64" s="35"/>
      <c r="K64" s="35">
        <f t="shared" si="67"/>
        <v>79528.874911060455</v>
      </c>
      <c r="L64" s="35"/>
      <c r="M64" s="35"/>
      <c r="N64" s="60"/>
      <c r="O64" s="35"/>
      <c r="P64" s="35"/>
      <c r="Q64" s="35"/>
      <c r="R64" s="35"/>
      <c r="S64" s="35"/>
      <c r="T64" s="35"/>
      <c r="U64" s="35"/>
      <c r="V64" s="35"/>
      <c r="W64" s="35"/>
      <c r="X64" s="35"/>
      <c r="Y64" s="35"/>
      <c r="Z64" s="35"/>
      <c r="AA64" s="35"/>
      <c r="AB64" s="35"/>
      <c r="AC64" s="35"/>
      <c r="AD64" s="35"/>
      <c r="AE64" s="35">
        <v>32074</v>
      </c>
      <c r="AF64" s="35">
        <v>14896.217790259367</v>
      </c>
      <c r="AG64" s="35">
        <v>39141.963113291858</v>
      </c>
      <c r="AH64" s="35">
        <v>-941.96557167473657</v>
      </c>
      <c r="AI64" s="35">
        <v>26432.659579183965</v>
      </c>
      <c r="AJ64" s="35">
        <v>6410.3384682829219</v>
      </c>
      <c r="AK64" s="35"/>
      <c r="AL64" s="35"/>
    </row>
    <row r="65" spans="1:40" s="39" customFormat="1" ht="18" outlineLevel="1" x14ac:dyDescent="0.25">
      <c r="A65" s="81"/>
      <c r="B65" s="11" t="s">
        <v>130</v>
      </c>
      <c r="C65" s="11" t="s">
        <v>336</v>
      </c>
      <c r="D65" s="42"/>
      <c r="E65" s="43">
        <v>0</v>
      </c>
      <c r="F65" s="43">
        <v>0</v>
      </c>
      <c r="G65" s="43">
        <v>0</v>
      </c>
      <c r="H65" s="43">
        <f t="shared" si="66"/>
        <v>12059</v>
      </c>
      <c r="I65" s="43">
        <v>0</v>
      </c>
      <c r="J65" s="43">
        <v>0</v>
      </c>
      <c r="K65" s="43">
        <f t="shared" si="67"/>
        <v>0</v>
      </c>
      <c r="L65" s="45"/>
      <c r="M65" s="45"/>
      <c r="N65" s="60"/>
      <c r="P65" s="43">
        <v>0</v>
      </c>
      <c r="Q65" s="43">
        <v>0</v>
      </c>
      <c r="R65" s="43">
        <v>0</v>
      </c>
      <c r="S65" s="43">
        <v>0</v>
      </c>
      <c r="T65" s="43">
        <v>0</v>
      </c>
      <c r="U65" s="43">
        <v>0</v>
      </c>
      <c r="V65" s="43">
        <v>12059</v>
      </c>
      <c r="W65" s="43">
        <v>0</v>
      </c>
      <c r="X65" s="43">
        <v>0</v>
      </c>
      <c r="Y65" s="43">
        <v>0</v>
      </c>
      <c r="Z65" s="43">
        <v>0</v>
      </c>
      <c r="AA65" s="43">
        <v>0</v>
      </c>
      <c r="AB65" s="43">
        <v>0</v>
      </c>
      <c r="AC65" s="43">
        <v>0</v>
      </c>
      <c r="AD65" s="43">
        <v>0</v>
      </c>
      <c r="AE65" s="43">
        <v>0</v>
      </c>
      <c r="AF65" s="43">
        <v>0</v>
      </c>
      <c r="AG65" s="43">
        <v>0</v>
      </c>
      <c r="AH65" s="43">
        <v>0</v>
      </c>
      <c r="AI65" s="43">
        <v>0</v>
      </c>
      <c r="AJ65" s="43">
        <v>0</v>
      </c>
      <c r="AK65" s="45"/>
      <c r="AL65" s="45"/>
    </row>
    <row r="66" spans="1:40" s="39" customFormat="1" ht="18" outlineLevel="1" x14ac:dyDescent="0.25">
      <c r="A66" s="81"/>
      <c r="B66" s="5" t="s">
        <v>131</v>
      </c>
      <c r="C66" s="5" t="s">
        <v>278</v>
      </c>
      <c r="D66" s="46"/>
      <c r="E66" s="37">
        <f t="shared" ref="E66:J66" si="68">SUM(E51:E65)</f>
        <v>18506</v>
      </c>
      <c r="F66" s="37">
        <f t="shared" si="68"/>
        <v>35704</v>
      </c>
      <c r="G66" s="37">
        <f t="shared" si="68"/>
        <v>53543</v>
      </c>
      <c r="H66" s="37">
        <f t="shared" si="68"/>
        <v>133961.32462694997</v>
      </c>
      <c r="I66" s="37">
        <f t="shared" si="68"/>
        <v>381705.97247855563</v>
      </c>
      <c r="J66" s="37">
        <f t="shared" si="68"/>
        <v>456678.8770898456</v>
      </c>
      <c r="K66" s="37">
        <f t="shared" si="67"/>
        <v>449518.2853094592</v>
      </c>
      <c r="L66" s="36">
        <f t="shared" ref="L66" si="69">J66/I66-1</f>
        <v>0.19641533016752044</v>
      </c>
      <c r="M66" s="36">
        <f t="shared" ref="M66" si="70">K66/J66-1</f>
        <v>-1.5679708739797182E-2</v>
      </c>
      <c r="N66" s="60"/>
      <c r="P66" s="37">
        <f t="shared" ref="P66:X66" si="71">SUM(P51:P65)</f>
        <v>5671</v>
      </c>
      <c r="Q66" s="37">
        <f t="shared" si="71"/>
        <v>16027</v>
      </c>
      <c r="R66" s="37">
        <f t="shared" si="71"/>
        <v>18060.336889999999</v>
      </c>
      <c r="S66" s="37">
        <f t="shared" si="71"/>
        <v>13784.663109999998</v>
      </c>
      <c r="T66" s="37">
        <f t="shared" si="71"/>
        <v>11775</v>
      </c>
      <c r="U66" s="37">
        <f t="shared" si="71"/>
        <v>38202</v>
      </c>
      <c r="V66" s="37">
        <f t="shared" si="71"/>
        <v>60271.091986949999</v>
      </c>
      <c r="W66" s="37">
        <f t="shared" si="71"/>
        <v>23713.232640000006</v>
      </c>
      <c r="X66" s="37">
        <f t="shared" si="71"/>
        <v>92821.577838148951</v>
      </c>
      <c r="Y66" s="37">
        <v>55595.735161851044</v>
      </c>
      <c r="Z66" s="37">
        <f t="shared" ref="Z66:AF66" si="72">SUM(Z51:Z65)</f>
        <v>-41353.466142344405</v>
      </c>
      <c r="AA66" s="37">
        <f t="shared" si="72"/>
        <v>240107.12562090001</v>
      </c>
      <c r="AB66" s="37">
        <f t="shared" si="72"/>
        <v>105576.13054000001</v>
      </c>
      <c r="AC66" s="37">
        <f t="shared" si="72"/>
        <v>122763.50107186107</v>
      </c>
      <c r="AD66" s="37">
        <f t="shared" si="72"/>
        <v>142044.43980115242</v>
      </c>
      <c r="AE66" s="37">
        <f t="shared" si="72"/>
        <v>118369.34536105805</v>
      </c>
      <c r="AF66" s="37">
        <f t="shared" si="72"/>
        <v>124181.25965326282</v>
      </c>
      <c r="AG66" s="37">
        <f t="shared" ref="AG66:AH66" si="73">SUM(AG51:AG65)</f>
        <v>110566.79249197265</v>
      </c>
      <c r="AH66" s="37">
        <f t="shared" si="73"/>
        <v>156283.37938945927</v>
      </c>
      <c r="AI66" s="37">
        <f t="shared" ref="AI66:AJ66" si="74">SUM(AI51:AI65)</f>
        <v>58486.853774764444</v>
      </c>
      <c r="AJ66" s="37">
        <f t="shared" si="74"/>
        <v>346072.09561400441</v>
      </c>
      <c r="AK66" s="36">
        <f t="shared" ref="AK66" si="75">AJ66/AF66-1</f>
        <v>1.7868302880829368</v>
      </c>
      <c r="AL66" s="36">
        <f t="shared" ref="AL66" si="76">AJ66/AI66-1</f>
        <v>4.9170920177505861</v>
      </c>
    </row>
    <row r="67" spans="1:40" s="39" customFormat="1" ht="18" outlineLevel="1" x14ac:dyDescent="0.25">
      <c r="A67" s="81"/>
      <c r="B67" s="7" t="s">
        <v>398</v>
      </c>
      <c r="C67" s="7" t="s">
        <v>397</v>
      </c>
      <c r="E67" s="10">
        <f t="shared" ref="E67:K67" si="77">E66/E42</f>
        <v>0.948879659539558</v>
      </c>
      <c r="F67" s="10">
        <f t="shared" si="77"/>
        <v>1.1883508071226494</v>
      </c>
      <c r="G67" s="10">
        <f t="shared" si="77"/>
        <v>0.94612312694373768</v>
      </c>
      <c r="H67" s="10">
        <f t="shared" si="77"/>
        <v>0.68495438945760478</v>
      </c>
      <c r="I67" s="10">
        <f t="shared" si="77"/>
        <v>0.87859384022261577</v>
      </c>
      <c r="J67" s="10">
        <f t="shared" si="77"/>
        <v>0.75371615108333445</v>
      </c>
      <c r="K67" s="10">
        <f t="shared" si="77"/>
        <v>0.65244481582731717</v>
      </c>
      <c r="N67" s="60"/>
      <c r="P67" s="10">
        <f t="shared" ref="P67:X67" si="78">P66/P42</f>
        <v>0.58566559950428587</v>
      </c>
      <c r="Q67" s="10">
        <f t="shared" si="78"/>
        <v>1.3901465868678984</v>
      </c>
      <c r="R67" s="10">
        <f t="shared" si="78"/>
        <v>1.2283572816593149</v>
      </c>
      <c r="S67" s="10">
        <f t="shared" si="78"/>
        <v>0.66666123926188492</v>
      </c>
      <c r="T67" s="10">
        <f t="shared" si="78"/>
        <v>0.43421343756914227</v>
      </c>
      <c r="U67" s="10">
        <f t="shared" si="78"/>
        <v>0.9939378170937947</v>
      </c>
      <c r="V67" s="10">
        <f t="shared" si="78"/>
        <v>1.1376841268276798</v>
      </c>
      <c r="W67" s="10">
        <f t="shared" si="78"/>
        <v>0.3077761968668476</v>
      </c>
      <c r="X67" s="10">
        <f t="shared" si="78"/>
        <v>1.058966354125346</v>
      </c>
      <c r="Y67" s="10">
        <v>0.54105665143791037</v>
      </c>
      <c r="Z67" s="10">
        <f t="shared" ref="Z67:AJ67" si="79">Z66/Z42</f>
        <v>-0.35068193772499345</v>
      </c>
      <c r="AA67" s="10">
        <f t="shared" si="79"/>
        <v>1.9037838712101871</v>
      </c>
      <c r="AB67" s="10">
        <f t="shared" si="79"/>
        <v>0.88074789181703672</v>
      </c>
      <c r="AC67" s="10">
        <f t="shared" si="79"/>
        <v>0.81442721759805936</v>
      </c>
      <c r="AD67" s="10">
        <f t="shared" si="79"/>
        <v>0.8417198886027224</v>
      </c>
      <c r="AE67" s="10">
        <f t="shared" si="79"/>
        <v>0.71075197915863386</v>
      </c>
      <c r="AF67" s="10">
        <f t="shared" si="79"/>
        <v>0.71660536123204799</v>
      </c>
      <c r="AG67" s="10">
        <f t="shared" si="79"/>
        <v>0.66117262259602527</v>
      </c>
      <c r="AH67" s="10">
        <f t="shared" si="79"/>
        <v>0.85344418549846446</v>
      </c>
      <c r="AI67" s="10">
        <f t="shared" si="79"/>
        <v>0.35374744594214524</v>
      </c>
      <c r="AJ67" s="10">
        <f t="shared" si="79"/>
        <v>2.4555898926879367</v>
      </c>
    </row>
    <row r="68" spans="1:40" s="39" customFormat="1" x14ac:dyDescent="0.25">
      <c r="A68" s="82" t="s">
        <v>145</v>
      </c>
      <c r="E68" s="62"/>
      <c r="F68" s="62"/>
      <c r="G68" s="62"/>
      <c r="H68" s="62"/>
      <c r="I68" s="62"/>
      <c r="J68" s="62"/>
      <c r="K68" s="62"/>
      <c r="N68" s="60"/>
      <c r="P68" s="62"/>
      <c r="Q68" s="62"/>
      <c r="R68" s="62"/>
      <c r="S68" s="62"/>
      <c r="T68" s="62"/>
      <c r="U68" s="62"/>
      <c r="V68" s="62"/>
      <c r="W68" s="62"/>
      <c r="X68" s="62"/>
      <c r="Y68" s="62"/>
      <c r="Z68" s="62"/>
      <c r="AA68" s="62"/>
      <c r="AB68" s="62"/>
      <c r="AC68" s="62"/>
      <c r="AD68" s="62"/>
      <c r="AE68" s="62"/>
      <c r="AF68" s="62"/>
      <c r="AG68" s="62"/>
      <c r="AH68" s="62"/>
      <c r="AI68" s="62"/>
      <c r="AJ68" s="62"/>
    </row>
    <row r="69" spans="1:40" s="39" customFormat="1" ht="18" x14ac:dyDescent="0.25">
      <c r="A69" s="81"/>
      <c r="B69" s="8" t="s">
        <v>78</v>
      </c>
      <c r="C69" s="8" t="s">
        <v>283</v>
      </c>
      <c r="D69" s="47"/>
      <c r="E69" s="47"/>
      <c r="F69" s="47"/>
      <c r="G69" s="47"/>
      <c r="H69" s="47"/>
      <c r="I69" s="47"/>
      <c r="J69" s="47"/>
      <c r="K69" s="47"/>
      <c r="L69" s="47"/>
      <c r="M69" s="47"/>
      <c r="N69" s="60"/>
      <c r="P69" s="47"/>
      <c r="Q69" s="47"/>
      <c r="R69" s="47"/>
      <c r="S69" s="47"/>
      <c r="T69" s="47"/>
      <c r="U69" s="47"/>
      <c r="V69" s="47"/>
      <c r="W69" s="47"/>
      <c r="X69" s="47"/>
      <c r="Y69" s="47"/>
      <c r="Z69" s="47"/>
      <c r="AA69" s="47"/>
      <c r="AB69" s="47"/>
      <c r="AC69" s="47"/>
      <c r="AD69" s="47"/>
      <c r="AE69" s="47"/>
      <c r="AF69" s="47"/>
      <c r="AG69" s="47"/>
      <c r="AH69" s="47"/>
      <c r="AI69" s="47"/>
      <c r="AJ69" s="47"/>
      <c r="AK69" s="47"/>
      <c r="AL69" s="47"/>
    </row>
    <row r="70" spans="1:40" s="39" customFormat="1" ht="6.75" customHeight="1" outlineLevel="1" x14ac:dyDescent="0.25">
      <c r="A70" s="81"/>
      <c r="N70" s="60"/>
    </row>
    <row r="71" spans="1:40" s="39" customFormat="1" ht="18" outlineLevel="1" x14ac:dyDescent="0.25">
      <c r="A71" s="81"/>
      <c r="B71" s="7" t="s">
        <v>132</v>
      </c>
      <c r="C71" s="7" t="s">
        <v>337</v>
      </c>
      <c r="E71" s="35">
        <v>15247</v>
      </c>
      <c r="F71" s="35">
        <v>27070</v>
      </c>
      <c r="G71" s="35">
        <v>64963</v>
      </c>
      <c r="H71" s="35">
        <f>'BP - Balance Sheet'!H27</f>
        <v>163742</v>
      </c>
      <c r="I71" s="35">
        <v>56580</v>
      </c>
      <c r="J71" s="35">
        <v>261370</v>
      </c>
      <c r="K71" s="35">
        <f>AI71</f>
        <v>73555.362999999998</v>
      </c>
      <c r="L71" s="10">
        <f t="shared" ref="L71:L75" si="80">J71/I71-1</f>
        <v>3.6194768469423826</v>
      </c>
      <c r="M71" s="10">
        <f t="shared" ref="M71:M75" si="81">K71/J71-1</f>
        <v>-0.71857763706622801</v>
      </c>
      <c r="N71" s="60"/>
      <c r="P71" s="35">
        <f>'BP - Balance Sheet'!P27</f>
        <v>27221</v>
      </c>
      <c r="Q71" s="35">
        <f>'BP - Balance Sheet'!Q27</f>
        <v>27029</v>
      </c>
      <c r="R71" s="35">
        <f>'BP - Balance Sheet'!R27</f>
        <v>41489</v>
      </c>
      <c r="S71" s="35">
        <f>'BP - Balance Sheet'!S27</f>
        <v>64963</v>
      </c>
      <c r="T71" s="35">
        <f>'BP - Balance Sheet'!T27</f>
        <v>78358</v>
      </c>
      <c r="U71" s="35">
        <f>'BP - Balance Sheet'!U27</f>
        <v>83984</v>
      </c>
      <c r="V71" s="35">
        <f>'BP - Balance Sheet'!V27</f>
        <v>124893</v>
      </c>
      <c r="W71" s="35">
        <f>'BP - Balance Sheet'!W27</f>
        <v>163742</v>
      </c>
      <c r="X71" s="35">
        <v>190376</v>
      </c>
      <c r="Y71" s="35">
        <v>124856</v>
      </c>
      <c r="Z71" s="35">
        <v>95102</v>
      </c>
      <c r="AA71" s="35">
        <v>56580</v>
      </c>
      <c r="AB71" s="35">
        <v>126671</v>
      </c>
      <c r="AC71" s="35">
        <v>64454</v>
      </c>
      <c r="AD71" s="35">
        <v>126640</v>
      </c>
      <c r="AE71" s="35">
        <v>261370</v>
      </c>
      <c r="AF71" s="35">
        <v>366950</v>
      </c>
      <c r="AG71" s="35">
        <v>343902</v>
      </c>
      <c r="AH71" s="35">
        <v>379004.86200000002</v>
      </c>
      <c r="AI71" s="35">
        <f>73.555363*1000</f>
        <v>73555.362999999998</v>
      </c>
      <c r="AJ71" s="35">
        <v>50478.559000000001</v>
      </c>
      <c r="AK71" s="10">
        <f t="shared" ref="AK71:AK75" si="82">AJ71/AF71-1</f>
        <v>-0.86243750102193761</v>
      </c>
      <c r="AL71" s="10">
        <f t="shared" ref="AL71:AL75" si="83">AJ71/AI71-1</f>
        <v>-0.31373380619438984</v>
      </c>
    </row>
    <row r="72" spans="1:40" s="39" customFormat="1" ht="18" outlineLevel="1" x14ac:dyDescent="0.25">
      <c r="A72" s="81"/>
      <c r="B72" s="80" t="s">
        <v>133</v>
      </c>
      <c r="C72" s="80" t="s">
        <v>338</v>
      </c>
      <c r="D72" s="86"/>
      <c r="E72" s="87">
        <v>33543</v>
      </c>
      <c r="F72" s="87">
        <v>45754</v>
      </c>
      <c r="G72" s="87">
        <v>223592</v>
      </c>
      <c r="H72" s="87">
        <f>'BP - Balance Sheet'!H40</f>
        <v>1710082</v>
      </c>
      <c r="I72" s="87">
        <v>2008093</v>
      </c>
      <c r="J72" s="87">
        <v>1788717</v>
      </c>
      <c r="K72" s="87">
        <f t="shared" ref="K72:K75" si="84">AI72</f>
        <v>2316814.1599999997</v>
      </c>
      <c r="L72" s="88">
        <f t="shared" si="80"/>
        <v>-0.1092459363186864</v>
      </c>
      <c r="M72" s="88">
        <f t="shared" si="81"/>
        <v>0.29523796106371192</v>
      </c>
      <c r="N72" s="60"/>
      <c r="P72" s="87">
        <f>'BP - Balance Sheet'!P40</f>
        <v>67713</v>
      </c>
      <c r="Q72" s="87">
        <f>'BP - Balance Sheet'!Q40</f>
        <v>83162</v>
      </c>
      <c r="R72" s="87">
        <f>'BP - Balance Sheet'!R40</f>
        <v>180474</v>
      </c>
      <c r="S72" s="87">
        <f>'BP - Balance Sheet'!S40</f>
        <v>223592</v>
      </c>
      <c r="T72" s="87">
        <f>'BP - Balance Sheet'!T40</f>
        <v>323020</v>
      </c>
      <c r="U72" s="87">
        <f>'BP - Balance Sheet'!U40</f>
        <v>524767</v>
      </c>
      <c r="V72" s="87">
        <f>'BP - Balance Sheet'!V40</f>
        <v>597846</v>
      </c>
      <c r="W72" s="87">
        <f>'BP - Balance Sheet'!W40</f>
        <v>1710082</v>
      </c>
      <c r="X72" s="87">
        <v>1600634</v>
      </c>
      <c r="Y72" s="87">
        <v>1445087</v>
      </c>
      <c r="Z72" s="87">
        <v>1716675</v>
      </c>
      <c r="AA72" s="87">
        <v>2008093</v>
      </c>
      <c r="AB72" s="87">
        <v>2001548</v>
      </c>
      <c r="AC72" s="87">
        <v>1992595</v>
      </c>
      <c r="AD72" s="87">
        <v>1990287</v>
      </c>
      <c r="AE72" s="87">
        <v>1788717</v>
      </c>
      <c r="AF72" s="87">
        <v>2433112</v>
      </c>
      <c r="AG72" s="87">
        <v>2423527</v>
      </c>
      <c r="AH72" s="87">
        <v>2425763.02</v>
      </c>
      <c r="AI72" s="87">
        <f>2316.81416*1000</f>
        <v>2316814.1599999997</v>
      </c>
      <c r="AJ72" s="87">
        <v>2327233.0669999998</v>
      </c>
      <c r="AK72" s="88">
        <f t="shared" si="82"/>
        <v>-4.3515848427857051E-2</v>
      </c>
      <c r="AL72" s="88">
        <f t="shared" si="83"/>
        <v>4.4970836158908511E-3</v>
      </c>
    </row>
    <row r="73" spans="1:40" s="39" customFormat="1" ht="18" outlineLevel="1" x14ac:dyDescent="0.25">
      <c r="A73" s="81"/>
      <c r="B73" s="5" t="s">
        <v>79</v>
      </c>
      <c r="C73" s="5" t="s">
        <v>284</v>
      </c>
      <c r="D73" s="46"/>
      <c r="E73" s="37">
        <f t="shared" ref="E73:J73" si="85">SUM(E71:E72)</f>
        <v>48790</v>
      </c>
      <c r="F73" s="37">
        <f t="shared" si="85"/>
        <v>72824</v>
      </c>
      <c r="G73" s="37">
        <f t="shared" si="85"/>
        <v>288555</v>
      </c>
      <c r="H73" s="37">
        <f t="shared" si="85"/>
        <v>1873824</v>
      </c>
      <c r="I73" s="37">
        <f t="shared" si="85"/>
        <v>2064673</v>
      </c>
      <c r="J73" s="37">
        <f t="shared" si="85"/>
        <v>2050087</v>
      </c>
      <c r="K73" s="37">
        <f t="shared" si="84"/>
        <v>2390369.5229999996</v>
      </c>
      <c r="L73" s="36">
        <f t="shared" si="80"/>
        <v>-7.0645569540551678E-3</v>
      </c>
      <c r="M73" s="36">
        <f t="shared" si="81"/>
        <v>0.16598443041685518</v>
      </c>
      <c r="N73" s="60"/>
      <c r="P73" s="37">
        <f t="shared" ref="P73:AH73" si="86">SUM(P71:P72)</f>
        <v>94934</v>
      </c>
      <c r="Q73" s="37">
        <f t="shared" si="86"/>
        <v>110191</v>
      </c>
      <c r="R73" s="37">
        <f t="shared" si="86"/>
        <v>221963</v>
      </c>
      <c r="S73" s="37">
        <f t="shared" si="86"/>
        <v>288555</v>
      </c>
      <c r="T73" s="37">
        <f t="shared" si="86"/>
        <v>401378</v>
      </c>
      <c r="U73" s="37">
        <f t="shared" si="86"/>
        <v>608751</v>
      </c>
      <c r="V73" s="37">
        <f t="shared" si="86"/>
        <v>722739</v>
      </c>
      <c r="W73" s="37">
        <f t="shared" si="86"/>
        <v>1873824</v>
      </c>
      <c r="X73" s="37">
        <f t="shared" si="86"/>
        <v>1791010</v>
      </c>
      <c r="Y73" s="37">
        <v>1569943</v>
      </c>
      <c r="Z73" s="37">
        <f t="shared" si="86"/>
        <v>1811777</v>
      </c>
      <c r="AA73" s="37">
        <f t="shared" si="86"/>
        <v>2064673</v>
      </c>
      <c r="AB73" s="37">
        <f t="shared" si="86"/>
        <v>2128219</v>
      </c>
      <c r="AC73" s="37">
        <f t="shared" si="86"/>
        <v>2057049</v>
      </c>
      <c r="AD73" s="37">
        <f t="shared" si="86"/>
        <v>2116927</v>
      </c>
      <c r="AE73" s="37">
        <f t="shared" si="86"/>
        <v>2050087</v>
      </c>
      <c r="AF73" s="37">
        <f t="shared" si="86"/>
        <v>2800062</v>
      </c>
      <c r="AG73" s="37">
        <f t="shared" si="86"/>
        <v>2767429</v>
      </c>
      <c r="AH73" s="37">
        <f t="shared" si="86"/>
        <v>2804767.8820000002</v>
      </c>
      <c r="AI73" s="37">
        <f t="shared" ref="AI73:AJ73" si="87">SUM(AI71:AI72)</f>
        <v>2390369.5229999996</v>
      </c>
      <c r="AJ73" s="37">
        <f t="shared" si="87"/>
        <v>2377711.6259999997</v>
      </c>
      <c r="AK73" s="36">
        <f t="shared" si="82"/>
        <v>-0.15083607934395749</v>
      </c>
      <c r="AL73" s="36">
        <f t="shared" si="83"/>
        <v>-5.2953724845494765E-3</v>
      </c>
      <c r="AN73" s="85"/>
    </row>
    <row r="74" spans="1:40" s="39" customFormat="1" ht="18" outlineLevel="1" x14ac:dyDescent="0.25">
      <c r="A74" s="81"/>
      <c r="B74" s="11" t="s">
        <v>381</v>
      </c>
      <c r="C74" s="11" t="s">
        <v>188</v>
      </c>
      <c r="D74" s="42"/>
      <c r="E74" s="43">
        <v>-2460</v>
      </c>
      <c r="F74" s="43">
        <v>-6793</v>
      </c>
      <c r="G74" s="43">
        <v>-84767</v>
      </c>
      <c r="H74" s="43">
        <v>-1668121</v>
      </c>
      <c r="I74" s="43">
        <v>-938358</v>
      </c>
      <c r="J74" s="43">
        <v>-729595</v>
      </c>
      <c r="K74" s="43">
        <f t="shared" si="84"/>
        <v>-641486.66100000008</v>
      </c>
      <c r="L74" s="88">
        <f t="shared" si="80"/>
        <v>-0.22247692245390349</v>
      </c>
      <c r="M74" s="88">
        <f t="shared" si="81"/>
        <v>-0.12076335364140367</v>
      </c>
      <c r="N74" s="60"/>
      <c r="P74" s="43">
        <v>-4405</v>
      </c>
      <c r="Q74" s="43">
        <v>-13372</v>
      </c>
      <c r="R74" s="43">
        <v>-49038.092210000003</v>
      </c>
      <c r="S74" s="43">
        <v>-84767</v>
      </c>
      <c r="T74" s="43">
        <v>-108963</v>
      </c>
      <c r="U74" s="43">
        <v>-134925</v>
      </c>
      <c r="V74" s="43">
        <v>-892411.2876618756</v>
      </c>
      <c r="W74" s="43">
        <v>-1668121</v>
      </c>
      <c r="X74" s="43">
        <v>-1352979</v>
      </c>
      <c r="Y74" s="43">
        <v>-883958</v>
      </c>
      <c r="Z74" s="43">
        <v>-859354</v>
      </c>
      <c r="AA74" s="43">
        <v>-938358</v>
      </c>
      <c r="AB74" s="43">
        <v>-869390</v>
      </c>
      <c r="AC74" s="43">
        <v>-762979</v>
      </c>
      <c r="AD74" s="43">
        <v>-787044</v>
      </c>
      <c r="AE74" s="43">
        <v>-729595</v>
      </c>
      <c r="AF74" s="43">
        <v>-1344971</v>
      </c>
      <c r="AG74" s="43">
        <v>-1175703.773</v>
      </c>
      <c r="AH74" s="43">
        <v>-1122961.8599999999</v>
      </c>
      <c r="AI74" s="43">
        <f>-641.486661*1000</f>
        <v>-641486.66100000008</v>
      </c>
      <c r="AJ74" s="43">
        <v>-721574.29500000004</v>
      </c>
      <c r="AK74" s="88">
        <f t="shared" si="82"/>
        <v>-0.46350196770041874</v>
      </c>
      <c r="AL74" s="88">
        <f t="shared" si="83"/>
        <v>0.1248469202386111</v>
      </c>
    </row>
    <row r="75" spans="1:40" s="39" customFormat="1" ht="18" outlineLevel="1" x14ac:dyDescent="0.25">
      <c r="A75" s="81"/>
      <c r="B75" s="5" t="s">
        <v>5</v>
      </c>
      <c r="C75" s="5" t="s">
        <v>283</v>
      </c>
      <c r="D75" s="46"/>
      <c r="E75" s="37">
        <f t="shared" ref="E75:J75" si="88">E73+E74</f>
        <v>46330</v>
      </c>
      <c r="F75" s="37">
        <f t="shared" si="88"/>
        <v>66031</v>
      </c>
      <c r="G75" s="37">
        <f t="shared" si="88"/>
        <v>203788</v>
      </c>
      <c r="H75" s="37">
        <f t="shared" si="88"/>
        <v>205703</v>
      </c>
      <c r="I75" s="37">
        <f t="shared" si="88"/>
        <v>1126315</v>
      </c>
      <c r="J75" s="37">
        <f t="shared" si="88"/>
        <v>1320492</v>
      </c>
      <c r="K75" s="37">
        <f t="shared" si="84"/>
        <v>1748882.8619999995</v>
      </c>
      <c r="L75" s="36">
        <f t="shared" si="80"/>
        <v>0.17240026102822026</v>
      </c>
      <c r="M75" s="36">
        <f t="shared" si="81"/>
        <v>0.32441761252623991</v>
      </c>
      <c r="N75" s="60"/>
      <c r="P75" s="37">
        <f t="shared" ref="P75:X75" si="89">P73+P74</f>
        <v>90529</v>
      </c>
      <c r="Q75" s="37">
        <f t="shared" si="89"/>
        <v>96819</v>
      </c>
      <c r="R75" s="37">
        <f t="shared" si="89"/>
        <v>172924.90779</v>
      </c>
      <c r="S75" s="37">
        <f t="shared" si="89"/>
        <v>203788</v>
      </c>
      <c r="T75" s="37">
        <f t="shared" si="89"/>
        <v>292415</v>
      </c>
      <c r="U75" s="37">
        <f t="shared" si="89"/>
        <v>473826</v>
      </c>
      <c r="V75" s="37">
        <f t="shared" si="89"/>
        <v>-169672.2876618756</v>
      </c>
      <c r="W75" s="37">
        <f t="shared" si="89"/>
        <v>205703</v>
      </c>
      <c r="X75" s="37">
        <f t="shared" si="89"/>
        <v>438031</v>
      </c>
      <c r="Y75" s="37">
        <f t="shared" ref="Y75:AH75" si="90">Y73+Y74</f>
        <v>685985</v>
      </c>
      <c r="Z75" s="37">
        <f t="shared" si="90"/>
        <v>952423</v>
      </c>
      <c r="AA75" s="37">
        <f t="shared" si="90"/>
        <v>1126315</v>
      </c>
      <c r="AB75" s="37">
        <f t="shared" si="90"/>
        <v>1258829</v>
      </c>
      <c r="AC75" s="37">
        <f t="shared" si="90"/>
        <v>1294070</v>
      </c>
      <c r="AD75" s="37">
        <f t="shared" si="90"/>
        <v>1329883</v>
      </c>
      <c r="AE75" s="37">
        <f t="shared" si="90"/>
        <v>1320492</v>
      </c>
      <c r="AF75" s="37">
        <f t="shared" si="90"/>
        <v>1455091</v>
      </c>
      <c r="AG75" s="37">
        <f t="shared" si="90"/>
        <v>1591725.227</v>
      </c>
      <c r="AH75" s="37">
        <f t="shared" si="90"/>
        <v>1681806.0220000003</v>
      </c>
      <c r="AI75" s="37">
        <f t="shared" ref="AI75:AJ75" si="91">AI73+AI74</f>
        <v>1748882.8619999995</v>
      </c>
      <c r="AJ75" s="37">
        <f t="shared" si="91"/>
        <v>1656137.3309999998</v>
      </c>
      <c r="AK75" s="36">
        <f t="shared" si="82"/>
        <v>0.13816753110286562</v>
      </c>
      <c r="AL75" s="36">
        <f t="shared" si="83"/>
        <v>-5.3031299588548242E-2</v>
      </c>
    </row>
    <row r="76" spans="1:40" s="39" customFormat="1" ht="6" customHeight="1" outlineLevel="1" x14ac:dyDescent="0.25">
      <c r="A76" s="81"/>
      <c r="B76" s="5"/>
      <c r="C76" s="5"/>
      <c r="D76" s="46"/>
      <c r="E76" s="37"/>
      <c r="F76" s="37"/>
      <c r="G76" s="37"/>
      <c r="H76" s="37"/>
      <c r="I76" s="37"/>
      <c r="J76" s="37"/>
      <c r="K76" s="37"/>
      <c r="L76" s="36"/>
      <c r="M76" s="36"/>
      <c r="N76" s="60"/>
      <c r="P76" s="37"/>
      <c r="Q76" s="37"/>
      <c r="R76" s="37"/>
      <c r="S76" s="37"/>
      <c r="T76" s="37"/>
      <c r="U76" s="37"/>
      <c r="V76" s="37"/>
      <c r="W76" s="37"/>
      <c r="X76" s="37"/>
      <c r="Y76" s="37"/>
      <c r="Z76" s="37"/>
      <c r="AA76" s="37"/>
      <c r="AB76" s="37"/>
      <c r="AC76" s="37"/>
      <c r="AD76" s="37"/>
      <c r="AE76" s="37"/>
      <c r="AF76" s="37"/>
      <c r="AG76" s="37"/>
      <c r="AH76" s="37"/>
      <c r="AI76" s="37"/>
      <c r="AJ76" s="37"/>
      <c r="AK76" s="36"/>
      <c r="AL76" s="36"/>
    </row>
    <row r="77" spans="1:40" s="39" customFormat="1" ht="18" outlineLevel="1" x14ac:dyDescent="0.25">
      <c r="A77" s="81"/>
      <c r="B77" s="7" t="s">
        <v>433</v>
      </c>
      <c r="C77" s="7" t="s">
        <v>399</v>
      </c>
      <c r="E77" s="89">
        <f>E75/E35</f>
        <v>2.4229904293708486</v>
      </c>
      <c r="F77" s="89">
        <f t="shared" ref="F77:J77" si="92">F75/F35</f>
        <v>2.2303249341349725</v>
      </c>
      <c r="G77" s="89">
        <f t="shared" si="92"/>
        <v>3.642518812447495</v>
      </c>
      <c r="H77" s="89">
        <f t="shared" si="92"/>
        <v>1.1176170166526309</v>
      </c>
      <c r="I77" s="89">
        <f t="shared" si="92"/>
        <v>2.46199833872519</v>
      </c>
      <c r="J77" s="89">
        <f t="shared" si="92"/>
        <v>2.0608890671552693</v>
      </c>
      <c r="K77" s="89">
        <v>2.36</v>
      </c>
      <c r="L77" s="10"/>
      <c r="M77" s="10"/>
      <c r="N77" s="60"/>
      <c r="P77" s="89">
        <v>2.7186702303372474</v>
      </c>
      <c r="Q77" s="89">
        <v>2.5852180182104618</v>
      </c>
      <c r="R77" s="89">
        <v>3.6829490790939854</v>
      </c>
      <c r="S77" s="89">
        <v>3.642518812447495</v>
      </c>
      <c r="T77" s="89">
        <v>3.9882024004364429</v>
      </c>
      <c r="U77" s="89">
        <v>4.7149211403552416</v>
      </c>
      <c r="V77" s="89">
        <v>-1.2202411308510102</v>
      </c>
      <c r="W77" s="89">
        <v>1.0440875660475999</v>
      </c>
      <c r="X77" s="89">
        <v>1.6868236816364883</v>
      </c>
      <c r="Y77" s="89">
        <v>2.0977557192615501</v>
      </c>
      <c r="Z77" s="89">
        <v>2.3832918360963404</v>
      </c>
      <c r="AA77" s="89">
        <v>2.46199833872519</v>
      </c>
      <c r="AB77" s="89">
        <v>2.5020153997209444</v>
      </c>
      <c r="AC77" s="89">
        <v>2.3413817747582302</v>
      </c>
      <c r="AD77" s="89">
        <v>2.2101947136798161</v>
      </c>
      <c r="AE77" s="89">
        <v>2.0608890671552693</v>
      </c>
      <c r="AF77" s="89">
        <v>2.1286424206782848</v>
      </c>
      <c r="AG77" s="89">
        <v>2.2726389170506911</v>
      </c>
      <c r="AH77" s="89">
        <v>2.23</v>
      </c>
      <c r="AI77" s="89">
        <v>2.36</v>
      </c>
      <c r="AJ77" s="89">
        <v>2.34</v>
      </c>
      <c r="AK77" s="89">
        <f>AJ77-AF77</f>
        <v>0.21135757932171506</v>
      </c>
      <c r="AL77" s="89">
        <f>AJ77-AI77</f>
        <v>-2.0000000000000018E-2</v>
      </c>
    </row>
    <row r="78" spans="1:40" s="39" customFormat="1" x14ac:dyDescent="0.25">
      <c r="A78" s="82" t="s">
        <v>145</v>
      </c>
      <c r="B78" s="7"/>
      <c r="C78" s="7"/>
      <c r="E78" s="10"/>
      <c r="F78" s="10"/>
      <c r="G78" s="10"/>
      <c r="H78" s="10"/>
      <c r="I78" s="10"/>
      <c r="J78" s="10"/>
      <c r="K78" s="10"/>
      <c r="N78" s="60"/>
      <c r="T78" s="10"/>
      <c r="U78" s="10"/>
      <c r="V78" s="90"/>
      <c r="W78" s="90"/>
      <c r="X78" s="90"/>
      <c r="Y78" s="90"/>
      <c r="Z78" s="90"/>
      <c r="AA78" s="90"/>
      <c r="AB78" s="90"/>
      <c r="AC78" s="90"/>
      <c r="AD78" s="90"/>
      <c r="AE78" s="90"/>
      <c r="AF78" s="90"/>
      <c r="AG78" s="90"/>
      <c r="AH78" s="90"/>
      <c r="AI78" s="90"/>
      <c r="AJ78" s="90"/>
    </row>
    <row r="79" spans="1:40" s="39" customFormat="1" ht="18" x14ac:dyDescent="0.25">
      <c r="A79" s="81"/>
      <c r="B79" s="8" t="s">
        <v>6</v>
      </c>
      <c r="C79" s="8" t="s">
        <v>285</v>
      </c>
      <c r="D79" s="47"/>
      <c r="E79" s="47"/>
      <c r="F79" s="47"/>
      <c r="G79" s="47"/>
      <c r="H79" s="47"/>
      <c r="I79" s="47"/>
      <c r="J79" s="47"/>
      <c r="K79" s="47"/>
      <c r="L79" s="47"/>
      <c r="M79" s="47"/>
      <c r="N79" s="60"/>
      <c r="P79" s="47"/>
      <c r="Q79" s="47"/>
      <c r="R79" s="47"/>
      <c r="S79" s="47"/>
      <c r="T79" s="47"/>
      <c r="U79" s="47"/>
      <c r="V79" s="47"/>
      <c r="W79" s="47"/>
      <c r="X79" s="47"/>
      <c r="Y79" s="47"/>
      <c r="Z79" s="47"/>
      <c r="AA79" s="47"/>
      <c r="AB79" s="47"/>
      <c r="AC79" s="47"/>
      <c r="AD79" s="47"/>
      <c r="AE79" s="47"/>
      <c r="AF79" s="47"/>
      <c r="AG79" s="47"/>
      <c r="AH79" s="47"/>
      <c r="AI79" s="47"/>
      <c r="AJ79" s="47"/>
      <c r="AK79" s="47"/>
      <c r="AL79" s="47"/>
    </row>
    <row r="80" spans="1:40" s="39" customFormat="1" ht="6.75" customHeight="1" outlineLevel="1" x14ac:dyDescent="0.25">
      <c r="A80" s="81"/>
      <c r="N80" s="60"/>
    </row>
    <row r="81" spans="1:38" s="39" customFormat="1" ht="18" outlineLevel="1" x14ac:dyDescent="0.25">
      <c r="A81" s="81"/>
      <c r="B81" s="7" t="s">
        <v>394</v>
      </c>
      <c r="C81" s="7" t="s">
        <v>400</v>
      </c>
      <c r="E81" s="35">
        <v>14946</v>
      </c>
      <c r="F81" s="35">
        <v>23044</v>
      </c>
      <c r="G81" s="35">
        <v>40465</v>
      </c>
      <c r="H81" s="35">
        <f>H45</f>
        <v>140963</v>
      </c>
      <c r="I81" s="35">
        <v>297284</v>
      </c>
      <c r="J81" s="35">
        <v>420251</v>
      </c>
      <c r="K81" s="35" t="s">
        <v>420</v>
      </c>
      <c r="L81" s="10"/>
      <c r="M81" s="10"/>
      <c r="N81" s="60"/>
      <c r="P81" s="35">
        <f t="shared" ref="P81:W81" si="93">P45</f>
        <v>7299</v>
      </c>
      <c r="Q81" s="35">
        <f t="shared" si="93"/>
        <v>8285</v>
      </c>
      <c r="R81" s="35">
        <f t="shared" si="93"/>
        <v>10651.837000000001</v>
      </c>
      <c r="S81" s="35">
        <f t="shared" si="93"/>
        <v>14229.163000000002</v>
      </c>
      <c r="T81" s="35">
        <f t="shared" si="93"/>
        <v>19036</v>
      </c>
      <c r="U81" s="35">
        <f t="shared" si="93"/>
        <v>27187</v>
      </c>
      <c r="V81" s="35">
        <f t="shared" si="93"/>
        <v>41226</v>
      </c>
      <c r="W81" s="35">
        <f t="shared" si="93"/>
        <v>53514</v>
      </c>
      <c r="X81" s="35">
        <v>60626</v>
      </c>
      <c r="Y81" s="35">
        <v>71740</v>
      </c>
      <c r="Z81" s="35">
        <f>Z45</f>
        <v>81855</v>
      </c>
      <c r="AA81" s="35">
        <f>AA45</f>
        <v>83063</v>
      </c>
      <c r="AB81" s="35">
        <f>AB45</f>
        <v>78153</v>
      </c>
      <c r="AC81" s="35">
        <v>106747</v>
      </c>
      <c r="AD81" s="35">
        <v>120876</v>
      </c>
      <c r="AE81" s="35">
        <v>114475</v>
      </c>
      <c r="AF81" s="35">
        <v>129041</v>
      </c>
      <c r="AG81" s="35">
        <v>133105.32844748424</v>
      </c>
      <c r="AH81" s="35">
        <v>143305.28720276023</v>
      </c>
      <c r="AI81" s="35" t="s">
        <v>420</v>
      </c>
      <c r="AJ81" s="35" t="s">
        <v>420</v>
      </c>
      <c r="AK81" s="10"/>
      <c r="AL81" s="10"/>
    </row>
    <row r="82" spans="1:38" s="39" customFormat="1" ht="18" outlineLevel="1" x14ac:dyDescent="0.25">
      <c r="A82" s="81"/>
      <c r="B82" s="11" t="s">
        <v>80</v>
      </c>
      <c r="C82" s="11" t="s">
        <v>340</v>
      </c>
      <c r="D82" s="42"/>
      <c r="E82" s="43">
        <v>0</v>
      </c>
      <c r="F82" s="43">
        <v>-106</v>
      </c>
      <c r="G82" s="43">
        <v>0</v>
      </c>
      <c r="H82" s="43">
        <f>MIN('DRE - Income Statement'!H39,0)</f>
        <v>-3500</v>
      </c>
      <c r="I82" s="43">
        <v>-6080</v>
      </c>
      <c r="J82" s="43">
        <v>0</v>
      </c>
      <c r="K82" s="43" t="s">
        <v>420</v>
      </c>
      <c r="L82" s="45"/>
      <c r="M82" s="45"/>
      <c r="N82" s="60"/>
      <c r="P82" s="43">
        <f>MIN('DRE - Income Statement'!P39,0)</f>
        <v>0</v>
      </c>
      <c r="Q82" s="43">
        <f>MIN('DRE - Income Statement'!Q39,0)</f>
        <v>0</v>
      </c>
      <c r="R82" s="43">
        <f>MIN('DRE - Income Statement'!R39,0)</f>
        <v>0</v>
      </c>
      <c r="S82" s="43">
        <f>MIN('DRE - Income Statement'!S39,0)</f>
        <v>0</v>
      </c>
      <c r="T82" s="43">
        <f>MIN('DRE - Income Statement'!T39,0)</f>
        <v>-134</v>
      </c>
      <c r="U82" s="43">
        <f>MIN('DRE - Income Statement'!U39,0)</f>
        <v>-481</v>
      </c>
      <c r="V82" s="43">
        <f>MIN('DRE - Income Statement'!V39,0)</f>
        <v>0</v>
      </c>
      <c r="W82" s="43">
        <f>MIN('DRE - Income Statement'!W39,0)</f>
        <v>-3124</v>
      </c>
      <c r="X82" s="43">
        <v>-1800</v>
      </c>
      <c r="Y82" s="43">
        <v>-1748</v>
      </c>
      <c r="Z82" s="43">
        <v>-2532</v>
      </c>
      <c r="AA82" s="43">
        <v>0</v>
      </c>
      <c r="AB82" s="43" t="s">
        <v>354</v>
      </c>
      <c r="AC82" s="43">
        <v>0</v>
      </c>
      <c r="AD82" s="43">
        <v>0</v>
      </c>
      <c r="AE82" s="43">
        <v>0</v>
      </c>
      <c r="AF82" s="43">
        <v>0</v>
      </c>
      <c r="AG82" s="43">
        <v>0</v>
      </c>
      <c r="AH82" s="43">
        <v>-4528.0360000000001</v>
      </c>
      <c r="AI82" s="43" t="s">
        <v>420</v>
      </c>
      <c r="AJ82" s="43" t="s">
        <v>420</v>
      </c>
      <c r="AK82" s="44"/>
      <c r="AL82" s="45"/>
    </row>
    <row r="83" spans="1:38" s="39" customFormat="1" ht="18" outlineLevel="1" x14ac:dyDescent="0.25">
      <c r="A83" s="81"/>
      <c r="B83" s="5" t="s">
        <v>81</v>
      </c>
      <c r="C83" s="5" t="s">
        <v>81</v>
      </c>
      <c r="D83" s="46"/>
      <c r="E83" s="37">
        <f t="shared" ref="E83:J83" si="94">SUM(E81:E82)</f>
        <v>14946</v>
      </c>
      <c r="F83" s="37">
        <f t="shared" si="94"/>
        <v>22938</v>
      </c>
      <c r="G83" s="37">
        <f t="shared" si="94"/>
        <v>40465</v>
      </c>
      <c r="H83" s="37">
        <f t="shared" si="94"/>
        <v>137463</v>
      </c>
      <c r="I83" s="37">
        <f t="shared" si="94"/>
        <v>291204</v>
      </c>
      <c r="J83" s="37">
        <f t="shared" si="94"/>
        <v>420251</v>
      </c>
      <c r="K83" s="37" t="s">
        <v>420</v>
      </c>
      <c r="L83" s="36">
        <f t="shared" ref="L83" si="95">J83/I83-1</f>
        <v>0.44314981937061315</v>
      </c>
      <c r="M83" s="36" t="s">
        <v>420</v>
      </c>
      <c r="N83" s="60"/>
      <c r="P83" s="37">
        <f t="shared" ref="P83:W83" si="96">SUM(P81:P82)</f>
        <v>7299</v>
      </c>
      <c r="Q83" s="37">
        <f t="shared" si="96"/>
        <v>8285</v>
      </c>
      <c r="R83" s="37">
        <f t="shared" si="96"/>
        <v>10651.837000000001</v>
      </c>
      <c r="S83" s="37">
        <f t="shared" si="96"/>
        <v>14229.163000000002</v>
      </c>
      <c r="T83" s="37">
        <f t="shared" si="96"/>
        <v>18902</v>
      </c>
      <c r="U83" s="37">
        <f t="shared" si="96"/>
        <v>26706</v>
      </c>
      <c r="V83" s="37">
        <f t="shared" si="96"/>
        <v>41226</v>
      </c>
      <c r="W83" s="37">
        <f t="shared" si="96"/>
        <v>50390</v>
      </c>
      <c r="X83" s="37">
        <f>SUM(X81:X82)</f>
        <v>58826</v>
      </c>
      <c r="Y83" s="37">
        <v>69992</v>
      </c>
      <c r="Z83" s="37">
        <f t="shared" ref="Z83:AH83" si="97">SUM(Z81:Z82)</f>
        <v>79323</v>
      </c>
      <c r="AA83" s="37">
        <f t="shared" si="97"/>
        <v>83063</v>
      </c>
      <c r="AB83" s="37">
        <f t="shared" si="97"/>
        <v>78153</v>
      </c>
      <c r="AC83" s="37">
        <f t="shared" si="97"/>
        <v>106747</v>
      </c>
      <c r="AD83" s="37">
        <f t="shared" si="97"/>
        <v>120876</v>
      </c>
      <c r="AE83" s="37">
        <f t="shared" si="97"/>
        <v>114475</v>
      </c>
      <c r="AF83" s="37">
        <f t="shared" si="97"/>
        <v>129041</v>
      </c>
      <c r="AG83" s="37">
        <f t="shared" si="97"/>
        <v>133105.32844748424</v>
      </c>
      <c r="AH83" s="37">
        <f t="shared" si="97"/>
        <v>138777.25120276024</v>
      </c>
      <c r="AI83" s="37" t="s">
        <v>420</v>
      </c>
      <c r="AJ83" s="37" t="s">
        <v>420</v>
      </c>
      <c r="AK83" s="36" t="s">
        <v>420</v>
      </c>
      <c r="AL83" s="36" t="s">
        <v>420</v>
      </c>
    </row>
    <row r="84" spans="1:38" s="39" customFormat="1" ht="18" outlineLevel="1" x14ac:dyDescent="0.25">
      <c r="A84" s="81"/>
      <c r="N84" s="60"/>
    </row>
    <row r="85" spans="1:38" s="39" customFormat="1" ht="18" outlineLevel="1" x14ac:dyDescent="0.25">
      <c r="A85" s="81"/>
      <c r="B85" s="7" t="s">
        <v>82</v>
      </c>
      <c r="C85" s="7" t="s">
        <v>286</v>
      </c>
      <c r="E85" s="35">
        <v>3772</v>
      </c>
      <c r="F85" s="35">
        <v>2183</v>
      </c>
      <c r="G85" s="35">
        <v>20786</v>
      </c>
      <c r="H85" s="35">
        <f>W85</f>
        <v>159923.67042006896</v>
      </c>
      <c r="I85" s="35">
        <v>39597.728330000013</v>
      </c>
      <c r="J85" s="35">
        <v>28162.728330000013</v>
      </c>
      <c r="K85" s="35" t="s">
        <v>420</v>
      </c>
      <c r="L85" s="10">
        <f t="shared" ref="L85:L87" si="98">J85/I85-1</f>
        <v>-0.28877919219766501</v>
      </c>
      <c r="M85" s="10" t="s">
        <v>420</v>
      </c>
      <c r="N85" s="60"/>
      <c r="P85" s="35">
        <v>8235.1697199999981</v>
      </c>
      <c r="Q85" s="35">
        <v>-4012</v>
      </c>
      <c r="R85" s="35">
        <v>8763.51</v>
      </c>
      <c r="S85" s="35">
        <v>20786</v>
      </c>
      <c r="T85" s="35">
        <v>42824</v>
      </c>
      <c r="U85" s="35">
        <v>58758</v>
      </c>
      <c r="V85" s="35">
        <v>79084</v>
      </c>
      <c r="W85" s="35">
        <v>159923.67042006896</v>
      </c>
      <c r="X85" s="35">
        <v>159727.72833000001</v>
      </c>
      <c r="Y85" s="35">
        <v>211430.72833000001</v>
      </c>
      <c r="Z85" s="35">
        <v>35642.728330000013</v>
      </c>
      <c r="AA85" s="35">
        <v>39597.728330000013</v>
      </c>
      <c r="AB85" s="35">
        <v>108533.72833000001</v>
      </c>
      <c r="AC85" s="35">
        <v>119456.72833000001</v>
      </c>
      <c r="AD85" s="35">
        <v>91296.128330000385</v>
      </c>
      <c r="AE85" s="35">
        <v>34347.728330000013</v>
      </c>
      <c r="AF85" s="35">
        <v>202436.36968499137</v>
      </c>
      <c r="AG85" s="35">
        <v>100186.68232999989</v>
      </c>
      <c r="AH85" s="35">
        <v>119526.79033000012</v>
      </c>
      <c r="AI85" s="35" t="s">
        <v>420</v>
      </c>
      <c r="AJ85" s="35" t="s">
        <v>420</v>
      </c>
      <c r="AK85" s="10" t="s">
        <v>420</v>
      </c>
      <c r="AL85" s="10" t="s">
        <v>420</v>
      </c>
    </row>
    <row r="86" spans="1:38" s="39" customFormat="1" ht="18" outlineLevel="1" x14ac:dyDescent="0.25">
      <c r="A86" s="81"/>
      <c r="B86" s="11" t="s">
        <v>83</v>
      </c>
      <c r="C86" s="11" t="s">
        <v>287</v>
      </c>
      <c r="D86" s="42"/>
      <c r="E86" s="43">
        <v>35713</v>
      </c>
      <c r="F86" s="43">
        <v>56063.5</v>
      </c>
      <c r="G86" s="43">
        <v>160367.5</v>
      </c>
      <c r="H86" s="43">
        <f>W86</f>
        <v>645577.5</v>
      </c>
      <c r="I86" s="43">
        <v>1259979.5</v>
      </c>
      <c r="J86" s="43">
        <v>1490293</v>
      </c>
      <c r="K86" s="43" t="s">
        <v>420</v>
      </c>
      <c r="L86" s="88">
        <f t="shared" si="98"/>
        <v>0.1827914660516301</v>
      </c>
      <c r="M86" s="88" t="s">
        <v>420</v>
      </c>
      <c r="N86" s="60"/>
      <c r="P86" s="43">
        <v>65625.401610000001</v>
      </c>
      <c r="Q86" s="43">
        <v>81127.147220000013</v>
      </c>
      <c r="R86" s="43">
        <v>125643.21699</v>
      </c>
      <c r="S86" s="43">
        <v>152907.42561000001</v>
      </c>
      <c r="T86" s="43">
        <v>225434</v>
      </c>
      <c r="U86" s="43">
        <v>321181.5</v>
      </c>
      <c r="V86" s="43">
        <v>467171</v>
      </c>
      <c r="W86" s="43">
        <v>645577.5</v>
      </c>
      <c r="X86" s="43">
        <v>748978.5</v>
      </c>
      <c r="Y86" s="43">
        <v>857712.5</v>
      </c>
      <c r="Z86" s="43">
        <v>1107173.311375</v>
      </c>
      <c r="AA86" s="43">
        <v>1259979.5</v>
      </c>
      <c r="AB86" s="43">
        <v>1304546.5</v>
      </c>
      <c r="AC86" s="43">
        <v>1360913.5</v>
      </c>
      <c r="AD86" s="43">
        <v>1444916.5</v>
      </c>
      <c r="AE86" s="43">
        <v>1490293</v>
      </c>
      <c r="AF86" s="43">
        <v>1526542.5</v>
      </c>
      <c r="AG86" s="43">
        <v>1672694.5</v>
      </c>
      <c r="AH86" s="43">
        <v>1735689</v>
      </c>
      <c r="AI86" s="43" t="s">
        <v>420</v>
      </c>
      <c r="AJ86" s="43" t="s">
        <v>420</v>
      </c>
      <c r="AK86" s="88" t="s">
        <v>420</v>
      </c>
      <c r="AL86" s="88" t="s">
        <v>420</v>
      </c>
    </row>
    <row r="87" spans="1:38" s="39" customFormat="1" ht="18" outlineLevel="1" x14ac:dyDescent="0.25">
      <c r="A87" s="81"/>
      <c r="B87" s="5" t="s">
        <v>84</v>
      </c>
      <c r="C87" s="5" t="s">
        <v>288</v>
      </c>
      <c r="D87" s="46"/>
      <c r="E87" s="37">
        <f t="shared" ref="E87:J87" si="99">SUM(E85:E86)</f>
        <v>39485</v>
      </c>
      <c r="F87" s="37">
        <f t="shared" si="99"/>
        <v>58246.5</v>
      </c>
      <c r="G87" s="37">
        <f t="shared" si="99"/>
        <v>181153.5</v>
      </c>
      <c r="H87" s="37">
        <f t="shared" si="99"/>
        <v>805501.17042006901</v>
      </c>
      <c r="I87" s="37">
        <f t="shared" si="99"/>
        <v>1299577.2283300001</v>
      </c>
      <c r="J87" s="37">
        <f t="shared" si="99"/>
        <v>1518455.7283300001</v>
      </c>
      <c r="K87" s="37" t="s">
        <v>420</v>
      </c>
      <c r="L87" s="36">
        <f t="shared" si="98"/>
        <v>0.16842284954566811</v>
      </c>
      <c r="M87" s="36" t="s">
        <v>420</v>
      </c>
      <c r="N87" s="60"/>
      <c r="P87" s="37">
        <f t="shared" ref="P87:X87" si="100">SUM(P85:P86)</f>
        <v>73860.571330000006</v>
      </c>
      <c r="Q87" s="37">
        <f t="shared" si="100"/>
        <v>77115.147220000013</v>
      </c>
      <c r="R87" s="37">
        <f t="shared" si="100"/>
        <v>134406.72699</v>
      </c>
      <c r="S87" s="37">
        <f t="shared" si="100"/>
        <v>173693.42561000001</v>
      </c>
      <c r="T87" s="37">
        <f t="shared" si="100"/>
        <v>268258</v>
      </c>
      <c r="U87" s="37">
        <f t="shared" si="100"/>
        <v>379939.5</v>
      </c>
      <c r="V87" s="37">
        <f t="shared" si="100"/>
        <v>546255</v>
      </c>
      <c r="W87" s="37">
        <f t="shared" si="100"/>
        <v>805501.17042006901</v>
      </c>
      <c r="X87" s="37">
        <f t="shared" si="100"/>
        <v>908706.22833000007</v>
      </c>
      <c r="Y87" s="37">
        <v>1069143.2283300001</v>
      </c>
      <c r="Z87" s="37">
        <f t="shared" ref="Z87:AH87" si="101">SUM(Z85:Z86)</f>
        <v>1142816.0397050001</v>
      </c>
      <c r="AA87" s="37">
        <f t="shared" si="101"/>
        <v>1299577.2283300001</v>
      </c>
      <c r="AB87" s="37">
        <f t="shared" si="101"/>
        <v>1413080.2283300001</v>
      </c>
      <c r="AC87" s="37">
        <f t="shared" si="101"/>
        <v>1480370.2283300001</v>
      </c>
      <c r="AD87" s="37">
        <f t="shared" si="101"/>
        <v>1536212.6283300004</v>
      </c>
      <c r="AE87" s="37">
        <f t="shared" si="101"/>
        <v>1524640.7283300001</v>
      </c>
      <c r="AF87" s="37">
        <f t="shared" si="101"/>
        <v>1728978.8696849914</v>
      </c>
      <c r="AG87" s="37">
        <f t="shared" si="101"/>
        <v>1772881.18233</v>
      </c>
      <c r="AH87" s="37">
        <f t="shared" si="101"/>
        <v>1855215.7903300002</v>
      </c>
      <c r="AI87" s="37" t="s">
        <v>420</v>
      </c>
      <c r="AJ87" s="37" t="s">
        <v>420</v>
      </c>
      <c r="AK87" s="36" t="s">
        <v>420</v>
      </c>
      <c r="AL87" s="36" t="s">
        <v>420</v>
      </c>
    </row>
    <row r="88" spans="1:38" s="68" customFormat="1" ht="18" customHeight="1" outlineLevel="1" x14ac:dyDescent="0.25">
      <c r="A88" s="91"/>
      <c r="B88" s="50" t="s">
        <v>323</v>
      </c>
      <c r="C88" s="98" t="s">
        <v>324</v>
      </c>
      <c r="E88" s="49">
        <v>31613.990933076922</v>
      </c>
      <c r="F88" s="49">
        <v>48371.876859999997</v>
      </c>
      <c r="G88" s="49">
        <v>106834.94424307691</v>
      </c>
      <c r="H88" s="49">
        <v>435298.5149902</v>
      </c>
      <c r="I88" s="49">
        <v>1045148.779023014</v>
      </c>
      <c r="J88" s="49">
        <v>1450776.2083300003</v>
      </c>
      <c r="K88" s="49" t="s">
        <v>420</v>
      </c>
      <c r="L88" s="10">
        <f t="shared" ref="L88" si="102">J88/I88-1</f>
        <v>0.38810496404747208</v>
      </c>
      <c r="M88" s="10" t="s">
        <v>420</v>
      </c>
      <c r="N88" s="69"/>
      <c r="P88" s="49">
        <v>65696.143102499991</v>
      </c>
      <c r="Q88" s="49">
        <v>83088.170089999985</v>
      </c>
      <c r="R88" s="49">
        <v>114465.75064750001</v>
      </c>
      <c r="S88" s="49">
        <v>162328.00276749997</v>
      </c>
      <c r="T88" s="49">
        <v>221230.94528124999</v>
      </c>
      <c r="U88" s="49">
        <v>327542.48431000003</v>
      </c>
      <c r="V88" s="49">
        <f>AVERAGE(U87:V87)</f>
        <v>463097.25</v>
      </c>
      <c r="W88" s="49">
        <f>AVERAGE(V87:W87)</f>
        <v>675878.08521003451</v>
      </c>
      <c r="X88" s="49">
        <f>AVERAGE(W87:X87)</f>
        <v>857103.69937503454</v>
      </c>
      <c r="Y88" s="49">
        <v>988924.72833000007</v>
      </c>
      <c r="Z88" s="49">
        <f t="shared" ref="Z88:AH88" si="103">AVERAGE(Y87:Z87)</f>
        <v>1105979.6340175001</v>
      </c>
      <c r="AA88" s="49">
        <f t="shared" si="103"/>
        <v>1221196.6340175001</v>
      </c>
      <c r="AB88" s="49">
        <f t="shared" si="103"/>
        <v>1356328.7283300001</v>
      </c>
      <c r="AC88" s="49">
        <f t="shared" si="103"/>
        <v>1446725.2283300001</v>
      </c>
      <c r="AD88" s="49">
        <f t="shared" si="103"/>
        <v>1508291.4283300003</v>
      </c>
      <c r="AE88" s="49">
        <f t="shared" si="103"/>
        <v>1530426.6783300003</v>
      </c>
      <c r="AF88" s="49">
        <f t="shared" si="103"/>
        <v>1626809.7990074959</v>
      </c>
      <c r="AG88" s="49">
        <f t="shared" si="103"/>
        <v>1750930.0260074958</v>
      </c>
      <c r="AH88" s="49">
        <f t="shared" si="103"/>
        <v>1814048.4863300002</v>
      </c>
      <c r="AI88" s="49" t="s">
        <v>420</v>
      </c>
      <c r="AJ88" s="49" t="s">
        <v>420</v>
      </c>
      <c r="AK88" s="66" t="s">
        <v>420</v>
      </c>
      <c r="AL88" s="66" t="s">
        <v>420</v>
      </c>
    </row>
    <row r="89" spans="1:38" s="39" customFormat="1" ht="18" outlineLevel="1" x14ac:dyDescent="0.25">
      <c r="A89" s="81"/>
      <c r="B89" s="11"/>
      <c r="C89" s="11"/>
      <c r="D89" s="42"/>
      <c r="E89" s="43"/>
      <c r="F89" s="43"/>
      <c r="G89" s="43"/>
      <c r="H89" s="43"/>
      <c r="I89" s="43"/>
      <c r="J89" s="43"/>
      <c r="K89" s="43"/>
      <c r="L89" s="45"/>
      <c r="M89" s="45"/>
      <c r="N89" s="60"/>
      <c r="P89" s="43"/>
      <c r="Q89" s="43"/>
      <c r="R89" s="43"/>
      <c r="S89" s="43"/>
      <c r="T89" s="43"/>
      <c r="U89" s="43"/>
      <c r="V89" s="43"/>
      <c r="W89" s="43"/>
      <c r="X89" s="43"/>
      <c r="Y89" s="43"/>
      <c r="Z89" s="43"/>
      <c r="AA89" s="43"/>
      <c r="AB89" s="43"/>
      <c r="AC89" s="43"/>
      <c r="AD89" s="43"/>
      <c r="AE89" s="43"/>
      <c r="AF89" s="43"/>
      <c r="AG89" s="43"/>
      <c r="AH89" s="43"/>
      <c r="AI89" s="43"/>
      <c r="AJ89" s="43"/>
      <c r="AK89" s="45"/>
      <c r="AL89" s="45"/>
    </row>
    <row r="90" spans="1:38" s="39" customFormat="1" ht="18" outlineLevel="1" x14ac:dyDescent="0.25">
      <c r="A90" s="81"/>
      <c r="B90" s="5" t="s">
        <v>6</v>
      </c>
      <c r="C90" s="5" t="s">
        <v>285</v>
      </c>
      <c r="D90" s="46"/>
      <c r="E90" s="36">
        <f t="shared" ref="E90:J90" si="104">E83/E88</f>
        <v>0.47276536618356452</v>
      </c>
      <c r="F90" s="36">
        <f t="shared" si="104"/>
        <v>0.47420115755252096</v>
      </c>
      <c r="G90" s="36">
        <f t="shared" si="104"/>
        <v>0.37876183945892966</v>
      </c>
      <c r="H90" s="36">
        <f t="shared" si="104"/>
        <v>0.31579018826447119</v>
      </c>
      <c r="I90" s="36">
        <f t="shared" si="104"/>
        <v>0.27862444643738871</v>
      </c>
      <c r="J90" s="36">
        <f t="shared" si="104"/>
        <v>0.28967320913247824</v>
      </c>
      <c r="K90" s="36" t="s">
        <v>420</v>
      </c>
      <c r="L90" s="84" t="s">
        <v>420</v>
      </c>
      <c r="M90" s="84" t="s">
        <v>420</v>
      </c>
      <c r="N90" s="60"/>
      <c r="P90" s="36">
        <f t="shared" ref="P90:W90" si="105">4*P83/P88</f>
        <v>0.44440965057032367</v>
      </c>
      <c r="Q90" s="36">
        <f t="shared" si="105"/>
        <v>0.39885341034834682</v>
      </c>
      <c r="R90" s="36">
        <f t="shared" si="105"/>
        <v>0.37222791759965251</v>
      </c>
      <c r="S90" s="36">
        <f t="shared" si="105"/>
        <v>0.35062743968778387</v>
      </c>
      <c r="T90" s="36">
        <f t="shared" si="105"/>
        <v>0.34176050689418636</v>
      </c>
      <c r="U90" s="36">
        <f t="shared" si="105"/>
        <v>0.32613784506469473</v>
      </c>
      <c r="V90" s="36">
        <f t="shared" si="105"/>
        <v>0.35608935272234937</v>
      </c>
      <c r="W90" s="36">
        <f t="shared" si="105"/>
        <v>0.29821946355512269</v>
      </c>
      <c r="X90" s="36">
        <f>4*X83/X88</f>
        <v>0.27453387515603328</v>
      </c>
      <c r="Y90" s="36">
        <v>0.28310344759280387</v>
      </c>
      <c r="Z90" s="36">
        <f t="shared" ref="Z90:AH90" si="106">4*Z83/Z88</f>
        <v>0.28688774208927198</v>
      </c>
      <c r="AA90" s="36">
        <f t="shared" si="106"/>
        <v>0.2720708448949416</v>
      </c>
      <c r="AB90" s="36">
        <f t="shared" si="106"/>
        <v>0.23048394793267277</v>
      </c>
      <c r="AC90" s="36">
        <f t="shared" si="106"/>
        <v>0.29514104796035495</v>
      </c>
      <c r="AD90" s="36">
        <f t="shared" si="106"/>
        <v>0.32056404413525169</v>
      </c>
      <c r="AE90" s="36">
        <f t="shared" si="106"/>
        <v>0.29919760710108628</v>
      </c>
      <c r="AF90" s="36">
        <f t="shared" si="106"/>
        <v>0.31728601605111284</v>
      </c>
      <c r="AG90" s="36">
        <f t="shared" si="106"/>
        <v>0.30407914986984047</v>
      </c>
      <c r="AH90" s="36">
        <f t="shared" si="106"/>
        <v>0.30600560513907843</v>
      </c>
      <c r="AI90" s="36" t="s">
        <v>420</v>
      </c>
      <c r="AJ90" s="36" t="s">
        <v>420</v>
      </c>
      <c r="AK90" s="84" t="s">
        <v>420</v>
      </c>
      <c r="AL90" s="84" t="s">
        <v>420</v>
      </c>
    </row>
    <row r="91" spans="1:38" s="39" customFormat="1" x14ac:dyDescent="0.25">
      <c r="A91" s="82" t="s">
        <v>145</v>
      </c>
      <c r="E91" s="61"/>
      <c r="F91" s="61"/>
      <c r="G91" s="61"/>
      <c r="H91" s="61"/>
      <c r="I91" s="61"/>
      <c r="J91" s="61"/>
      <c r="K91" s="61"/>
      <c r="N91" s="60"/>
      <c r="P91" s="61"/>
      <c r="Q91" s="61"/>
      <c r="R91" s="61"/>
      <c r="S91" s="61"/>
      <c r="T91" s="61"/>
      <c r="U91" s="61"/>
      <c r="V91" s="61"/>
      <c r="W91" s="61"/>
      <c r="X91" s="61"/>
      <c r="Y91" s="61"/>
      <c r="Z91" s="61"/>
      <c r="AA91" s="61"/>
      <c r="AB91" s="61"/>
      <c r="AC91" s="61"/>
      <c r="AD91" s="61"/>
      <c r="AE91" s="61"/>
      <c r="AF91" s="61"/>
      <c r="AG91" s="61"/>
      <c r="AH91" s="61"/>
      <c r="AI91" s="61"/>
      <c r="AJ91" s="61"/>
    </row>
    <row r="92" spans="1:38" s="39" customFormat="1" ht="18" x14ac:dyDescent="0.25">
      <c r="A92" s="81"/>
      <c r="B92" s="8" t="s">
        <v>383</v>
      </c>
      <c r="C92" s="8" t="s">
        <v>285</v>
      </c>
      <c r="D92" s="47"/>
      <c r="E92" s="47"/>
      <c r="F92" s="47"/>
      <c r="G92" s="47"/>
      <c r="H92" s="47"/>
      <c r="I92" s="47"/>
      <c r="J92" s="47"/>
      <c r="K92" s="47"/>
      <c r="L92" s="47"/>
      <c r="M92" s="47"/>
      <c r="N92" s="60"/>
      <c r="P92" s="47"/>
      <c r="Q92" s="47"/>
      <c r="R92" s="47"/>
      <c r="S92" s="47"/>
      <c r="T92" s="47"/>
      <c r="U92" s="47"/>
      <c r="V92" s="47"/>
      <c r="W92" s="47"/>
      <c r="X92" s="47"/>
      <c r="Y92" s="47"/>
      <c r="Z92" s="47"/>
      <c r="AA92" s="47"/>
      <c r="AB92" s="47"/>
      <c r="AC92" s="47"/>
      <c r="AD92" s="47"/>
      <c r="AE92" s="47"/>
      <c r="AF92" s="47"/>
      <c r="AG92" s="47"/>
      <c r="AH92" s="47"/>
      <c r="AI92" s="47"/>
      <c r="AJ92" s="47"/>
      <c r="AK92" s="47"/>
      <c r="AL92" s="47"/>
    </row>
    <row r="93" spans="1:38" s="39" customFormat="1" ht="6.75" customHeight="1" outlineLevel="1" x14ac:dyDescent="0.25">
      <c r="A93" s="81"/>
      <c r="N93" s="60"/>
    </row>
    <row r="94" spans="1:38" s="39" customFormat="1" ht="18" outlineLevel="1" x14ac:dyDescent="0.25">
      <c r="A94" s="81"/>
      <c r="B94" s="7" t="s">
        <v>434</v>
      </c>
      <c r="C94" s="7" t="s">
        <v>384</v>
      </c>
      <c r="E94" s="35">
        <v>14564</v>
      </c>
      <c r="F94" s="35">
        <v>22605</v>
      </c>
      <c r="G94" s="35">
        <v>39820</v>
      </c>
      <c r="H94" s="35">
        <v>142403</v>
      </c>
      <c r="I94" s="35">
        <v>320313</v>
      </c>
      <c r="J94" s="35">
        <v>455087</v>
      </c>
      <c r="K94" s="35">
        <f>SUM(AF94:AI94)</f>
        <v>523052.81832000031</v>
      </c>
      <c r="L94" s="10"/>
      <c r="M94" s="10"/>
      <c r="N94" s="60"/>
      <c r="P94" s="35">
        <v>7299</v>
      </c>
      <c r="Q94" s="35">
        <v>8186</v>
      </c>
      <c r="R94" s="35">
        <v>10489.837000000001</v>
      </c>
      <c r="S94" s="35">
        <v>13845.163000000002</v>
      </c>
      <c r="T94" s="35">
        <v>18974</v>
      </c>
      <c r="U94" s="35">
        <v>27357</v>
      </c>
      <c r="V94" s="35">
        <v>41343</v>
      </c>
      <c r="W94" s="35">
        <v>54729</v>
      </c>
      <c r="X94" s="35">
        <v>62690</v>
      </c>
      <c r="Y94" s="35">
        <v>74922</v>
      </c>
      <c r="Z94" s="35">
        <v>89642</v>
      </c>
      <c r="AA94" s="35">
        <v>93059</v>
      </c>
      <c r="AB94" s="35">
        <v>93645</v>
      </c>
      <c r="AC94" s="35">
        <v>111516</v>
      </c>
      <c r="AD94" s="35">
        <v>126840</v>
      </c>
      <c r="AE94" s="35">
        <v>123086</v>
      </c>
      <c r="AF94" s="35">
        <v>133951</v>
      </c>
      <c r="AG94" s="35">
        <v>137066.32844748424</v>
      </c>
      <c r="AH94" s="35">
        <v>153648.29693668551</v>
      </c>
      <c r="AI94" s="35">
        <f>98.3871929358306*1000</f>
        <v>98387.192935830593</v>
      </c>
      <c r="AJ94" s="35">
        <v>92426.694800000056</v>
      </c>
      <c r="AK94" s="10"/>
      <c r="AL94" s="10"/>
    </row>
    <row r="95" spans="1:38" s="39" customFormat="1" ht="18" outlineLevel="1" x14ac:dyDescent="0.25">
      <c r="A95" s="81"/>
      <c r="B95" s="11" t="s">
        <v>435</v>
      </c>
      <c r="C95" s="11" t="s">
        <v>340</v>
      </c>
      <c r="D95" s="42"/>
      <c r="E95" s="43">
        <v>0</v>
      </c>
      <c r="F95" s="43">
        <v>-106</v>
      </c>
      <c r="G95" s="43">
        <v>0</v>
      </c>
      <c r="H95" s="43">
        <v>-3500</v>
      </c>
      <c r="I95" s="43">
        <v>-6080</v>
      </c>
      <c r="J95" s="43">
        <v>0</v>
      </c>
      <c r="K95" s="43">
        <f>SUM(AF95:AI95)</f>
        <v>-9862.4120000000003</v>
      </c>
      <c r="L95" s="45"/>
      <c r="M95" s="45"/>
      <c r="N95" s="60"/>
      <c r="P95" s="43">
        <v>0</v>
      </c>
      <c r="Q95" s="43">
        <v>0</v>
      </c>
      <c r="R95" s="43">
        <f>MIN('DRE - Income Statement'!R52,0)</f>
        <v>0</v>
      </c>
      <c r="S95" s="43">
        <f>MIN('DRE - Income Statement'!S52,0)</f>
        <v>0</v>
      </c>
      <c r="T95" s="43">
        <v>-134</v>
      </c>
      <c r="U95" s="43">
        <v>-481</v>
      </c>
      <c r="V95" s="43">
        <v>0</v>
      </c>
      <c r="W95" s="43">
        <v>-3124</v>
      </c>
      <c r="X95" s="43">
        <v>-1800</v>
      </c>
      <c r="Y95" s="43">
        <v>-1748</v>
      </c>
      <c r="Z95" s="43">
        <v>-2532</v>
      </c>
      <c r="AA95" s="43">
        <v>0</v>
      </c>
      <c r="AB95" s="43">
        <v>0</v>
      </c>
      <c r="AC95" s="43">
        <v>0</v>
      </c>
      <c r="AD95" s="43">
        <v>0</v>
      </c>
      <c r="AE95" s="43">
        <v>0</v>
      </c>
      <c r="AF95" s="43" t="s">
        <v>354</v>
      </c>
      <c r="AG95" s="43" t="s">
        <v>354</v>
      </c>
      <c r="AH95" s="43">
        <v>-4528.0360000000001</v>
      </c>
      <c r="AI95" s="43">
        <f>-5.334376*1000</f>
        <v>-5334.3760000000002</v>
      </c>
      <c r="AJ95" s="43">
        <v>-614.25800000000004</v>
      </c>
      <c r="AK95" s="44"/>
      <c r="AL95" s="45"/>
    </row>
    <row r="96" spans="1:38" s="39" customFormat="1" ht="18" outlineLevel="1" x14ac:dyDescent="0.25">
      <c r="A96" s="81"/>
      <c r="B96" s="5" t="s">
        <v>436</v>
      </c>
      <c r="C96" s="5" t="s">
        <v>81</v>
      </c>
      <c r="D96" s="46"/>
      <c r="E96" s="37">
        <f t="shared" ref="E96:K96" si="107">SUM(E94:E95)</f>
        <v>14564</v>
      </c>
      <c r="F96" s="37">
        <f t="shared" si="107"/>
        <v>22499</v>
      </c>
      <c r="G96" s="37">
        <f t="shared" si="107"/>
        <v>39820</v>
      </c>
      <c r="H96" s="37">
        <f t="shared" si="107"/>
        <v>138903</v>
      </c>
      <c r="I96" s="37">
        <f t="shared" si="107"/>
        <v>314233</v>
      </c>
      <c r="J96" s="37">
        <f t="shared" si="107"/>
        <v>455087</v>
      </c>
      <c r="K96" s="37">
        <f t="shared" si="107"/>
        <v>513190.4063200003</v>
      </c>
      <c r="L96" s="36">
        <f t="shared" ref="L96" si="108">J96/I96-1</f>
        <v>0.44824700142887597</v>
      </c>
      <c r="M96" s="36">
        <f t="shared" ref="M96" si="109">K96/J96-1</f>
        <v>0.12767538145453572</v>
      </c>
      <c r="N96" s="60"/>
      <c r="P96" s="37">
        <f t="shared" ref="P96:W96" si="110">SUM(P94:P95)</f>
        <v>7299</v>
      </c>
      <c r="Q96" s="37">
        <f t="shared" si="110"/>
        <v>8186</v>
      </c>
      <c r="R96" s="37">
        <f t="shared" si="110"/>
        <v>10489.837000000001</v>
      </c>
      <c r="S96" s="37">
        <f t="shared" si="110"/>
        <v>13845.163000000002</v>
      </c>
      <c r="T96" s="37">
        <f t="shared" si="110"/>
        <v>18840</v>
      </c>
      <c r="U96" s="37">
        <f t="shared" si="110"/>
        <v>26876</v>
      </c>
      <c r="V96" s="37">
        <f t="shared" si="110"/>
        <v>41343</v>
      </c>
      <c r="W96" s="37">
        <f t="shared" si="110"/>
        <v>51605</v>
      </c>
      <c r="X96" s="37">
        <f>SUM(X94:X95)</f>
        <v>60890</v>
      </c>
      <c r="Y96" s="37">
        <v>69992</v>
      </c>
      <c r="Z96" s="37">
        <f t="shared" ref="Z96:AF96" si="111">SUM(Z94:Z95)</f>
        <v>87110</v>
      </c>
      <c r="AA96" s="37">
        <f t="shared" si="111"/>
        <v>93059</v>
      </c>
      <c r="AB96" s="37">
        <f t="shared" si="111"/>
        <v>93645</v>
      </c>
      <c r="AC96" s="37">
        <f t="shared" si="111"/>
        <v>111516</v>
      </c>
      <c r="AD96" s="37">
        <f t="shared" si="111"/>
        <v>126840</v>
      </c>
      <c r="AE96" s="37">
        <f t="shared" si="111"/>
        <v>123086</v>
      </c>
      <c r="AF96" s="37">
        <f t="shared" si="111"/>
        <v>133951</v>
      </c>
      <c r="AG96" s="37">
        <f t="shared" ref="AG96:AH96" si="112">SUM(AG94:AG95)</f>
        <v>137066.32844748424</v>
      </c>
      <c r="AH96" s="37">
        <f t="shared" si="112"/>
        <v>149120.26093668552</v>
      </c>
      <c r="AI96" s="37">
        <f t="shared" ref="AI96:AJ96" si="113">SUM(AI94:AI95)</f>
        <v>93052.81693583059</v>
      </c>
      <c r="AJ96" s="37">
        <f t="shared" si="113"/>
        <v>91812.436800000054</v>
      </c>
      <c r="AK96" s="36">
        <f t="shared" ref="AK96" si="114">AJ96/AF96-1</f>
        <v>-0.31458192324058754</v>
      </c>
      <c r="AL96" s="36">
        <f t="shared" ref="AL96" si="115">AJ96/AI96-1</f>
        <v>-1.3329850472833082E-2</v>
      </c>
    </row>
    <row r="97" spans="1:38" s="39" customFormat="1" ht="18" outlineLevel="1" x14ac:dyDescent="0.25">
      <c r="A97" s="81"/>
      <c r="N97" s="60"/>
    </row>
    <row r="98" spans="1:38" s="39" customFormat="1" ht="18" outlineLevel="1" x14ac:dyDescent="0.25">
      <c r="A98" s="81"/>
      <c r="B98" s="7" t="s">
        <v>385</v>
      </c>
      <c r="C98" s="7" t="s">
        <v>286</v>
      </c>
      <c r="E98" s="35">
        <v>16632</v>
      </c>
      <c r="F98" s="35">
        <v>23109</v>
      </c>
      <c r="G98" s="35">
        <v>85060</v>
      </c>
      <c r="H98" s="35">
        <v>1112696.2112683957</v>
      </c>
      <c r="I98" s="35">
        <v>1158521</v>
      </c>
      <c r="J98" s="35">
        <v>1229942</v>
      </c>
      <c r="K98" s="35">
        <f>1258.625*1000</f>
        <v>1258625</v>
      </c>
      <c r="L98" s="10">
        <f t="shared" ref="L98:L101" si="116">J98/I98-1</f>
        <v>6.1648429333607258E-2</v>
      </c>
      <c r="M98" s="10">
        <f t="shared" ref="M98:M101" si="117">K98/J98-1</f>
        <v>2.3320611866250562E-2</v>
      </c>
      <c r="N98" s="60"/>
      <c r="P98" s="35">
        <v>26157</v>
      </c>
      <c r="Q98" s="35">
        <v>34671</v>
      </c>
      <c r="R98" s="35">
        <v>54444.514159999999</v>
      </c>
      <c r="S98" s="35">
        <v>85060</v>
      </c>
      <c r="T98" s="35">
        <v>142160</v>
      </c>
      <c r="U98" s="35">
        <v>132536</v>
      </c>
      <c r="V98" s="35">
        <v>1108480</v>
      </c>
      <c r="W98" s="35">
        <v>1112696.2112683957</v>
      </c>
      <c r="X98" s="35">
        <v>1135235</v>
      </c>
      <c r="Y98" s="35">
        <v>1119421</v>
      </c>
      <c r="Z98" s="35">
        <v>1139267</v>
      </c>
      <c r="AA98" s="35">
        <v>1158521</v>
      </c>
      <c r="AB98" s="35">
        <v>1139732</v>
      </c>
      <c r="AC98" s="35">
        <v>1175248</v>
      </c>
      <c r="AD98" s="35">
        <v>1213294.8</v>
      </c>
      <c r="AE98" s="35">
        <v>1229942</v>
      </c>
      <c r="AF98" s="35">
        <v>1270841.5</v>
      </c>
      <c r="AG98" s="35">
        <v>1288619.9169999999</v>
      </c>
      <c r="AH98" s="35">
        <v>1238584.51</v>
      </c>
      <c r="AI98" s="35">
        <f>1258.625*1000</f>
        <v>1258625</v>
      </c>
      <c r="AJ98" s="35">
        <f>1263.402*1000</f>
        <v>1263402</v>
      </c>
      <c r="AK98" s="10">
        <f t="shared" ref="AK98:AK101" si="118">AJ98/AF98-1</f>
        <v>-5.8539951677687441E-3</v>
      </c>
      <c r="AL98" s="10">
        <f t="shared" ref="AL98:AL101" si="119">AJ98/AI98-1</f>
        <v>3.7954116595491083E-3</v>
      </c>
    </row>
    <row r="99" spans="1:38" s="39" customFormat="1" ht="18" outlineLevel="1" x14ac:dyDescent="0.25">
      <c r="A99" s="81"/>
      <c r="B99" s="11" t="s">
        <v>78</v>
      </c>
      <c r="C99" s="11" t="s">
        <v>287</v>
      </c>
      <c r="D99" s="42"/>
      <c r="E99" s="43">
        <v>46330</v>
      </c>
      <c r="F99" s="43">
        <v>66031</v>
      </c>
      <c r="G99" s="43">
        <v>203788</v>
      </c>
      <c r="H99" s="43">
        <v>205703</v>
      </c>
      <c r="I99" s="43">
        <v>1126315</v>
      </c>
      <c r="J99" s="43">
        <v>1320492</v>
      </c>
      <c r="K99" s="43">
        <f>1748.882862*1000</f>
        <v>1748882.862</v>
      </c>
      <c r="L99" s="88">
        <f t="shared" si="116"/>
        <v>0.17240026102822026</v>
      </c>
      <c r="M99" s="88">
        <f t="shared" si="117"/>
        <v>0.32441761252624013</v>
      </c>
      <c r="N99" s="60"/>
      <c r="P99" s="43">
        <v>90529</v>
      </c>
      <c r="Q99" s="43">
        <v>96819</v>
      </c>
      <c r="R99" s="43">
        <v>172924.90779</v>
      </c>
      <c r="S99" s="43">
        <v>203788</v>
      </c>
      <c r="T99" s="43">
        <v>292415</v>
      </c>
      <c r="U99" s="43">
        <v>473826</v>
      </c>
      <c r="V99" s="43">
        <v>-169672.2876618756</v>
      </c>
      <c r="W99" s="43">
        <v>205703</v>
      </c>
      <c r="X99" s="43">
        <v>438031</v>
      </c>
      <c r="Y99" s="43">
        <v>685985</v>
      </c>
      <c r="Z99" s="43">
        <v>952423</v>
      </c>
      <c r="AA99" s="43">
        <v>1126315</v>
      </c>
      <c r="AB99" s="43">
        <v>1258829</v>
      </c>
      <c r="AC99" s="43">
        <v>1294070</v>
      </c>
      <c r="AD99" s="43">
        <v>1329883</v>
      </c>
      <c r="AE99" s="43">
        <v>1320492</v>
      </c>
      <c r="AF99" s="43">
        <v>1455091</v>
      </c>
      <c r="AG99" s="43">
        <v>1591725.227</v>
      </c>
      <c r="AH99" s="43">
        <v>1681806.0220000003</v>
      </c>
      <c r="AI99" s="43">
        <f>1748.882862*1000</f>
        <v>1748882.862</v>
      </c>
      <c r="AJ99" s="43">
        <f>1656.137331*1000</f>
        <v>1656137.331</v>
      </c>
      <c r="AK99" s="88">
        <f t="shared" si="118"/>
        <v>0.13816753110286584</v>
      </c>
      <c r="AL99" s="88">
        <f t="shared" si="119"/>
        <v>-5.3031299588548353E-2</v>
      </c>
    </row>
    <row r="100" spans="1:38" s="39" customFormat="1" ht="18" outlineLevel="1" x14ac:dyDescent="0.25">
      <c r="A100" s="81"/>
      <c r="B100" s="5" t="s">
        <v>386</v>
      </c>
      <c r="C100" s="5" t="s">
        <v>288</v>
      </c>
      <c r="D100" s="46"/>
      <c r="E100" s="37">
        <f t="shared" ref="E100:J100" si="120">SUM(E98:E99)</f>
        <v>62962</v>
      </c>
      <c r="F100" s="37">
        <f t="shared" si="120"/>
        <v>89140</v>
      </c>
      <c r="G100" s="37">
        <f t="shared" si="120"/>
        <v>288848</v>
      </c>
      <c r="H100" s="37">
        <f t="shared" si="120"/>
        <v>1318399.2112683957</v>
      </c>
      <c r="I100" s="37">
        <f t="shared" si="120"/>
        <v>2284836</v>
      </c>
      <c r="J100" s="37">
        <f t="shared" si="120"/>
        <v>2550434</v>
      </c>
      <c r="K100" s="37">
        <f>3007.507862*1000</f>
        <v>3007507.8619999997</v>
      </c>
      <c r="L100" s="36">
        <f t="shared" si="116"/>
        <v>0.11624379167695187</v>
      </c>
      <c r="M100" s="36">
        <f t="shared" si="117"/>
        <v>0.17921415021913911</v>
      </c>
      <c r="N100" s="60"/>
      <c r="P100" s="37">
        <f t="shared" ref="P100:X100" si="121">SUM(P98:P99)</f>
        <v>116686</v>
      </c>
      <c r="Q100" s="37">
        <f t="shared" si="121"/>
        <v>131490</v>
      </c>
      <c r="R100" s="37">
        <f t="shared" si="121"/>
        <v>227369.42194999999</v>
      </c>
      <c r="S100" s="37">
        <f t="shared" si="121"/>
        <v>288848</v>
      </c>
      <c r="T100" s="37">
        <f t="shared" si="121"/>
        <v>434575</v>
      </c>
      <c r="U100" s="37">
        <f t="shared" si="121"/>
        <v>606362</v>
      </c>
      <c r="V100" s="37">
        <f t="shared" si="121"/>
        <v>938807.7123381244</v>
      </c>
      <c r="W100" s="37">
        <f t="shared" si="121"/>
        <v>1318399.2112683957</v>
      </c>
      <c r="X100" s="37">
        <f t="shared" si="121"/>
        <v>1573266</v>
      </c>
      <c r="Y100" s="37">
        <v>1069143.2283300001</v>
      </c>
      <c r="Z100" s="37">
        <f t="shared" ref="Z100:AF100" si="122">SUM(Z98:Z99)</f>
        <v>2091690</v>
      </c>
      <c r="AA100" s="37">
        <f t="shared" si="122"/>
        <v>2284836</v>
      </c>
      <c r="AB100" s="37">
        <f t="shared" si="122"/>
        <v>2398561</v>
      </c>
      <c r="AC100" s="37">
        <f t="shared" si="122"/>
        <v>2469318</v>
      </c>
      <c r="AD100" s="37">
        <f t="shared" si="122"/>
        <v>2543177.7999999998</v>
      </c>
      <c r="AE100" s="37">
        <f t="shared" si="122"/>
        <v>2550434</v>
      </c>
      <c r="AF100" s="37">
        <f t="shared" si="122"/>
        <v>2725932.5</v>
      </c>
      <c r="AG100" s="37">
        <f t="shared" ref="AG100:AH100" si="123">SUM(AG98:AG99)</f>
        <v>2880345.1439999999</v>
      </c>
      <c r="AH100" s="37">
        <f t="shared" si="123"/>
        <v>2920390.5320000006</v>
      </c>
      <c r="AI100" s="37">
        <f t="shared" ref="AI100:AJ100" si="124">SUM(AI98:AI99)</f>
        <v>3007507.8619999997</v>
      </c>
      <c r="AJ100" s="37">
        <f t="shared" si="124"/>
        <v>2919539.3310000002</v>
      </c>
      <c r="AK100" s="36">
        <f t="shared" si="118"/>
        <v>7.1024073780256991E-2</v>
      </c>
      <c r="AL100" s="36">
        <f t="shared" si="119"/>
        <v>-2.9249642905837758E-2</v>
      </c>
    </row>
    <row r="101" spans="1:38" s="68" customFormat="1" ht="18" customHeight="1" outlineLevel="1" x14ac:dyDescent="0.25">
      <c r="A101" s="91"/>
      <c r="B101" s="50" t="s">
        <v>387</v>
      </c>
      <c r="C101" s="98" t="s">
        <v>324</v>
      </c>
      <c r="E101" s="49">
        <v>62962</v>
      </c>
      <c r="F101" s="49">
        <v>76051</v>
      </c>
      <c r="G101" s="49">
        <v>188994</v>
      </c>
      <c r="H101" s="49">
        <v>803623.60563419783</v>
      </c>
      <c r="I101" s="49">
        <v>1801617.6056341978</v>
      </c>
      <c r="J101" s="49">
        <v>2417635</v>
      </c>
      <c r="K101" s="49">
        <f>2778.970931*1000</f>
        <v>2778970.9309999999</v>
      </c>
      <c r="L101" s="10">
        <f t="shared" si="116"/>
        <v>0.34192460844039885</v>
      </c>
      <c r="M101" s="10">
        <f t="shared" si="117"/>
        <v>0.14945842982915125</v>
      </c>
      <c r="N101" s="69"/>
      <c r="P101" s="49" t="s">
        <v>420</v>
      </c>
      <c r="Q101" s="49" t="s">
        <v>420</v>
      </c>
      <c r="R101" s="49" t="s">
        <v>420</v>
      </c>
      <c r="S101" s="49">
        <f t="shared" ref="S101:AH101" si="125">AVERAGE(O100:S100)</f>
        <v>191098.3554875</v>
      </c>
      <c r="T101" s="49">
        <f t="shared" si="125"/>
        <v>239793.68438999998</v>
      </c>
      <c r="U101" s="49">
        <f t="shared" si="125"/>
        <v>337728.88438999996</v>
      </c>
      <c r="V101" s="49">
        <f t="shared" si="125"/>
        <v>499192.42685762484</v>
      </c>
      <c r="W101" s="49">
        <f t="shared" si="125"/>
        <v>717398.38472130406</v>
      </c>
      <c r="X101" s="49">
        <f t="shared" si="125"/>
        <v>974281.98472130415</v>
      </c>
      <c r="Y101" s="49">
        <f t="shared" si="125"/>
        <v>1101195.6303873041</v>
      </c>
      <c r="Z101" s="49">
        <f t="shared" si="125"/>
        <v>1398261.230387304</v>
      </c>
      <c r="AA101" s="49">
        <f t="shared" si="125"/>
        <v>1667466.8879196791</v>
      </c>
      <c r="AB101" s="49">
        <f t="shared" si="125"/>
        <v>1883499.2456660003</v>
      </c>
      <c r="AC101" s="49">
        <f t="shared" si="125"/>
        <v>2062709.6456660002</v>
      </c>
      <c r="AD101" s="49">
        <f t="shared" si="125"/>
        <v>2357516.56</v>
      </c>
      <c r="AE101" s="49">
        <f t="shared" si="125"/>
        <v>2449265.3600000003</v>
      </c>
      <c r="AF101" s="49">
        <f t="shared" si="125"/>
        <v>2537484.66</v>
      </c>
      <c r="AG101" s="49">
        <f t="shared" si="125"/>
        <v>2633841.4887999999</v>
      </c>
      <c r="AH101" s="49">
        <f t="shared" si="125"/>
        <v>2724055.9951999998</v>
      </c>
      <c r="AI101" s="49">
        <f>AVERAGE(AE100:AI100)</f>
        <v>2816922.0075999997</v>
      </c>
      <c r="AJ101" s="49">
        <f>2890.2469924*1000</f>
        <v>2890246.9924000003</v>
      </c>
      <c r="AK101" s="66">
        <f t="shared" si="118"/>
        <v>0.13902047880754487</v>
      </c>
      <c r="AL101" s="66">
        <f t="shared" si="119"/>
        <v>2.6030179253160535E-2</v>
      </c>
    </row>
    <row r="102" spans="1:38" s="39" customFormat="1" ht="18" outlineLevel="1" x14ac:dyDescent="0.25">
      <c r="A102" s="81"/>
      <c r="B102" s="11"/>
      <c r="C102" s="11"/>
      <c r="D102" s="42"/>
      <c r="E102" s="43"/>
      <c r="F102" s="43"/>
      <c r="G102" s="43"/>
      <c r="H102" s="43"/>
      <c r="I102" s="43"/>
      <c r="J102" s="43"/>
      <c r="K102" s="43"/>
      <c r="L102" s="45"/>
      <c r="M102" s="45"/>
      <c r="N102" s="60"/>
      <c r="P102" s="43"/>
      <c r="Q102" s="43"/>
      <c r="R102" s="43"/>
      <c r="S102" s="43"/>
      <c r="T102" s="43"/>
      <c r="U102" s="43"/>
      <c r="V102" s="43"/>
      <c r="W102" s="43"/>
      <c r="X102" s="43"/>
      <c r="Y102" s="43"/>
      <c r="Z102" s="43"/>
      <c r="AA102" s="43"/>
      <c r="AB102" s="43"/>
      <c r="AC102" s="43"/>
      <c r="AD102" s="43"/>
      <c r="AE102" s="43"/>
      <c r="AF102" s="43"/>
      <c r="AG102" s="43"/>
      <c r="AH102" s="43"/>
      <c r="AI102" s="43"/>
      <c r="AJ102" s="43"/>
      <c r="AK102" s="45"/>
      <c r="AL102" s="45"/>
    </row>
    <row r="103" spans="1:38" s="39" customFormat="1" ht="18" outlineLevel="1" x14ac:dyDescent="0.25">
      <c r="A103" s="81"/>
      <c r="B103" s="5" t="s">
        <v>383</v>
      </c>
      <c r="C103" s="5" t="s">
        <v>401</v>
      </c>
      <c r="D103" s="46"/>
      <c r="E103" s="36">
        <f t="shared" ref="E103:K103" si="126">E96/E101</f>
        <v>0.2313141259807503</v>
      </c>
      <c r="F103" s="36">
        <f t="shared" si="126"/>
        <v>0.29584094883696466</v>
      </c>
      <c r="G103" s="36">
        <f t="shared" si="126"/>
        <v>0.21069451940273237</v>
      </c>
      <c r="H103" s="36">
        <f t="shared" si="126"/>
        <v>0.17284584353440133</v>
      </c>
      <c r="I103" s="36">
        <f t="shared" si="126"/>
        <v>0.17441714546821663</v>
      </c>
      <c r="J103" s="36">
        <f t="shared" si="126"/>
        <v>0.18823643767566237</v>
      </c>
      <c r="K103" s="36">
        <f>K96/K101</f>
        <v>0.1846692243503717</v>
      </c>
      <c r="L103" s="84">
        <f t="shared" ref="L103" si="127">J103/I103-1</f>
        <v>7.9231271503431344E-2</v>
      </c>
      <c r="M103" s="84">
        <f t="shared" ref="M103" si="128">K103/J103-1</f>
        <v>-1.8950705662190148E-2</v>
      </c>
      <c r="N103" s="60"/>
      <c r="P103" s="36" t="s">
        <v>420</v>
      </c>
      <c r="Q103" s="36" t="s">
        <v>420</v>
      </c>
      <c r="R103" s="36" t="s">
        <v>420</v>
      </c>
      <c r="S103" s="36">
        <f t="shared" ref="P103:AA103" si="129">SUM(P96:S96)/S101</f>
        <v>0.20837437296839889</v>
      </c>
      <c r="T103" s="36">
        <f t="shared" si="129"/>
        <v>0.21418829328493311</v>
      </c>
      <c r="U103" s="36">
        <f t="shared" si="129"/>
        <v>0.20741785271498142</v>
      </c>
      <c r="V103" s="36">
        <f t="shared" si="129"/>
        <v>0.20213480327653083</v>
      </c>
      <c r="W103" s="36">
        <f t="shared" si="129"/>
        <v>0.19328730445060646</v>
      </c>
      <c r="X103" s="36">
        <f t="shared" si="129"/>
        <v>0.18548428774621517</v>
      </c>
      <c r="Y103" s="36">
        <f t="shared" si="129"/>
        <v>0.20326088646145118</v>
      </c>
      <c r="Z103" s="36">
        <f t="shared" si="129"/>
        <v>0.19280874999682598</v>
      </c>
      <c r="AA103" s="36">
        <f t="shared" si="129"/>
        <v>0.18654103553928153</v>
      </c>
      <c r="AB103" s="36">
        <f>SUM(Y96:AB96)/AB101</f>
        <v>0.18253577790971248</v>
      </c>
      <c r="AC103" s="36">
        <f>SUM(Z96:AC96)/AC101</f>
        <v>0.18680767834175036</v>
      </c>
      <c r="AD103" s="36">
        <f>SUM(AA96:AD96)/AD101</f>
        <v>0.18029989999306728</v>
      </c>
      <c r="AE103" s="36">
        <f>SUM(AB96:AE96)/AE101</f>
        <v>0.18580551026941397</v>
      </c>
      <c r="AF103" s="36">
        <f>SUM(AC96:AF96)/AF101</f>
        <v>0.19522994870045834</v>
      </c>
      <c r="AG103" s="36">
        <f>SUM(AD96:AG96)/AG101</f>
        <v>0.19778841310789372</v>
      </c>
      <c r="AH103" s="36">
        <f>SUM(AE96:AH96)/AH101</f>
        <v>0.19941718905241754</v>
      </c>
      <c r="AI103" s="36">
        <f>SUM(AF96:AI96)/AI101</f>
        <v>0.18218126200704984</v>
      </c>
      <c r="AJ103" s="36">
        <f>SUM(AG96:AJ96)/AJ101</f>
        <v>0.16297978835672064</v>
      </c>
      <c r="AK103" s="84">
        <f>100*(AJ103-AF103)</f>
        <v>-3.2250160343737706</v>
      </c>
      <c r="AL103" s="84">
        <f>100*(AJ103-AI103)</f>
        <v>-1.9201473650329204</v>
      </c>
    </row>
    <row r="104" spans="1:38" s="39" customFormat="1" x14ac:dyDescent="0.25">
      <c r="A104" s="82" t="s">
        <v>145</v>
      </c>
      <c r="E104" s="61"/>
      <c r="F104" s="61"/>
      <c r="G104" s="61"/>
      <c r="H104" s="61"/>
      <c r="I104" s="61"/>
      <c r="J104" s="61"/>
      <c r="K104" s="61"/>
      <c r="N104" s="60"/>
      <c r="P104" s="61"/>
      <c r="Q104" s="61"/>
      <c r="R104" s="61"/>
      <c r="S104" s="61"/>
      <c r="T104" s="61"/>
      <c r="U104" s="61"/>
      <c r="V104" s="61"/>
      <c r="W104" s="61"/>
      <c r="X104" s="61"/>
      <c r="Y104" s="61"/>
      <c r="Z104" s="61"/>
      <c r="AA104" s="61"/>
      <c r="AB104" s="61"/>
      <c r="AC104" s="61"/>
      <c r="AD104" s="61"/>
      <c r="AE104" s="61"/>
      <c r="AF104" s="61"/>
      <c r="AG104" s="61"/>
      <c r="AH104" s="61"/>
      <c r="AI104" s="61"/>
      <c r="AJ104" s="61"/>
    </row>
    <row r="105" spans="1:38" s="39" customFormat="1" ht="18" x14ac:dyDescent="0.25">
      <c r="A105" s="81"/>
      <c r="B105" s="8" t="s">
        <v>382</v>
      </c>
      <c r="C105" s="8" t="s">
        <v>404</v>
      </c>
      <c r="D105" s="47"/>
      <c r="E105" s="47"/>
      <c r="F105" s="47"/>
      <c r="G105" s="47"/>
      <c r="H105" s="47"/>
      <c r="I105" s="47"/>
      <c r="J105" s="47"/>
      <c r="K105" s="47"/>
      <c r="L105" s="47"/>
      <c r="M105" s="47"/>
      <c r="N105" s="60"/>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row>
    <row r="106" spans="1:38" s="39" customFormat="1" ht="6.75" customHeight="1" outlineLevel="1" x14ac:dyDescent="0.25">
      <c r="A106" s="81"/>
      <c r="N106" s="60"/>
    </row>
    <row r="107" spans="1:38" s="39" customFormat="1" ht="18" outlineLevel="1" x14ac:dyDescent="0.25">
      <c r="A107" s="81"/>
      <c r="B107" s="7" t="s">
        <v>437</v>
      </c>
      <c r="C107" s="7" t="s">
        <v>402</v>
      </c>
      <c r="E107" s="35"/>
      <c r="F107" s="35"/>
      <c r="G107" s="35"/>
      <c r="H107" s="35">
        <v>66619.145367912381</v>
      </c>
      <c r="I107" s="35">
        <v>130917.1</v>
      </c>
      <c r="J107" s="35">
        <v>163283.19999999995</v>
      </c>
      <c r="K107" s="35">
        <f>SUM(AF107:AI107)</f>
        <v>175638.83733274933</v>
      </c>
      <c r="L107" s="10">
        <f t="shared" ref="L107:L108" si="130">J107/I107-1</f>
        <v>0.24722591624776258</v>
      </c>
      <c r="M107" s="10">
        <f t="shared" ref="M107:M108" si="131">K107/J107-1</f>
        <v>7.5669985232708514E-2</v>
      </c>
      <c r="N107" s="60"/>
      <c r="P107" s="35">
        <v>3048</v>
      </c>
      <c r="Q107" s="35">
        <v>3421.9999999999982</v>
      </c>
      <c r="R107" s="35">
        <v>3933.8117800000005</v>
      </c>
      <c r="S107" s="35">
        <v>7129.1882200000036</v>
      </c>
      <c r="T107" s="35">
        <v>7665</v>
      </c>
      <c r="U107" s="35">
        <v>10804</v>
      </c>
      <c r="V107" s="35">
        <v>22230.92</v>
      </c>
      <c r="W107" s="35">
        <v>25919.225367912379</v>
      </c>
      <c r="X107" s="35">
        <v>27965</v>
      </c>
      <c r="Y107" s="35">
        <v>30837</v>
      </c>
      <c r="Z107" s="35">
        <v>38835</v>
      </c>
      <c r="AA107" s="35">
        <v>33280.1</v>
      </c>
      <c r="AB107" s="35">
        <v>26222</v>
      </c>
      <c r="AC107" s="35">
        <v>43435</v>
      </c>
      <c r="AD107" s="35">
        <v>47873.599999999977</v>
      </c>
      <c r="AE107" s="35">
        <v>45752.599999999977</v>
      </c>
      <c r="AF107" s="35">
        <v>53114</v>
      </c>
      <c r="AG107" s="35">
        <v>50394.917447484244</v>
      </c>
      <c r="AH107" s="35">
        <v>60839.093936685531</v>
      </c>
      <c r="AI107" s="35">
        <f>'DRE - Income Statement'!AI41</f>
        <v>11290.825948579546</v>
      </c>
      <c r="AJ107" s="35">
        <f>'DRE - Income Statement'!AJ41</f>
        <v>12512.005410000091</v>
      </c>
      <c r="AK107" s="10">
        <f t="shared" ref="AK107" si="132">AJ107/AF107-1</f>
        <v>-0.76443112154987214</v>
      </c>
      <c r="AL107" s="10">
        <f t="shared" ref="AL107" si="133">AJ107/AI107-1</f>
        <v>0.10815678737605339</v>
      </c>
    </row>
    <row r="108" spans="1:38" s="39" customFormat="1" ht="18" outlineLevel="1" x14ac:dyDescent="0.25">
      <c r="A108" s="81"/>
      <c r="B108" s="64" t="s">
        <v>392</v>
      </c>
      <c r="C108" s="64" t="s">
        <v>339</v>
      </c>
      <c r="D108" s="42"/>
      <c r="E108" s="43"/>
      <c r="F108" s="43"/>
      <c r="G108" s="43"/>
      <c r="H108" s="43">
        <v>1112696.2112683957</v>
      </c>
      <c r="I108" s="43">
        <v>1158521</v>
      </c>
      <c r="J108" s="43">
        <v>1229942</v>
      </c>
      <c r="K108" s="43">
        <f>AVERAGE(AF108:AI108)</f>
        <v>1236745.0085500001</v>
      </c>
      <c r="L108" s="88">
        <f t="shared" si="130"/>
        <v>6.1648429333607258E-2</v>
      </c>
      <c r="M108" s="88">
        <f t="shared" si="131"/>
        <v>5.5311620791875793E-3</v>
      </c>
      <c r="N108" s="60"/>
      <c r="P108" s="43" t="s">
        <v>420</v>
      </c>
      <c r="Q108" s="43" t="s">
        <v>420</v>
      </c>
      <c r="R108" s="43" t="s">
        <v>420</v>
      </c>
      <c r="S108" s="43">
        <f t="shared" ref="S108:AI108" si="134">AVERAGE(O98:S98)</f>
        <v>50083.128539999998</v>
      </c>
      <c r="T108" s="43">
        <f t="shared" si="134"/>
        <v>68498.502831999998</v>
      </c>
      <c r="U108" s="43">
        <f t="shared" si="134"/>
        <v>89774.302832000001</v>
      </c>
      <c r="V108" s="43">
        <f t="shared" si="134"/>
        <v>304536.102832</v>
      </c>
      <c r="W108" s="43">
        <f t="shared" si="134"/>
        <v>516186.44225367915</v>
      </c>
      <c r="X108" s="43">
        <f t="shared" si="134"/>
        <v>726221.44225367915</v>
      </c>
      <c r="Y108" s="43">
        <f t="shared" si="134"/>
        <v>921673.64225367899</v>
      </c>
      <c r="Z108" s="43">
        <f t="shared" si="134"/>
        <v>1123019.8422536789</v>
      </c>
      <c r="AA108" s="43">
        <f t="shared" si="134"/>
        <v>1133028.0422536791</v>
      </c>
      <c r="AB108" s="43">
        <f t="shared" si="134"/>
        <v>1138435.2</v>
      </c>
      <c r="AC108" s="43">
        <f t="shared" si="134"/>
        <v>1146437.8</v>
      </c>
      <c r="AD108" s="43">
        <f t="shared" si="134"/>
        <v>1165212.56</v>
      </c>
      <c r="AE108" s="43">
        <f t="shared" si="134"/>
        <v>1183347.56</v>
      </c>
      <c r="AF108" s="43">
        <f t="shared" si="134"/>
        <v>1205811.6599999999</v>
      </c>
      <c r="AG108" s="43">
        <f t="shared" si="134"/>
        <v>1235589.2434</v>
      </c>
      <c r="AH108" s="43">
        <f t="shared" si="134"/>
        <v>1248256.5453999999</v>
      </c>
      <c r="AI108" s="43">
        <f t="shared" si="134"/>
        <v>1257322.5854</v>
      </c>
      <c r="AJ108" s="43">
        <f>AVERAGE(AF98:AJ98)</f>
        <v>1264014.5854</v>
      </c>
      <c r="AK108" s="45"/>
      <c r="AL108" s="45"/>
    </row>
    <row r="109" spans="1:38" s="39" customFormat="1" ht="18" outlineLevel="1" x14ac:dyDescent="0.25">
      <c r="A109" s="81"/>
      <c r="B109" s="5" t="s">
        <v>382</v>
      </c>
      <c r="C109" s="5" t="s">
        <v>403</v>
      </c>
      <c r="D109" s="46"/>
      <c r="E109" s="36"/>
      <c r="F109" s="36"/>
      <c r="G109" s="36"/>
      <c r="H109" s="36">
        <f>H107/H108</f>
        <v>5.9871818285398157E-2</v>
      </c>
      <c r="I109" s="36">
        <f t="shared" ref="I109:K109" si="135">I107/I108</f>
        <v>0.11300364861750456</v>
      </c>
      <c r="J109" s="36">
        <f t="shared" si="135"/>
        <v>0.13275682918381512</v>
      </c>
      <c r="K109" s="36">
        <f t="shared" si="135"/>
        <v>0.14201701734674796</v>
      </c>
      <c r="L109" s="84">
        <f>100*(J109-I109)</f>
        <v>1.9753180566310564</v>
      </c>
      <c r="M109" s="84">
        <f>100*(K109-J109)</f>
        <v>0.92601881629328364</v>
      </c>
      <c r="N109" s="60"/>
      <c r="P109" s="36" t="s">
        <v>420</v>
      </c>
      <c r="Q109" s="36" t="s">
        <v>420</v>
      </c>
      <c r="R109" s="36" t="s">
        <v>420</v>
      </c>
      <c r="S109" s="36">
        <f t="shared" ref="S109:AH109" si="136">SUM(P107:S107)/S108</f>
        <v>0.35007797058837653</v>
      </c>
      <c r="T109" s="36">
        <f t="shared" si="136"/>
        <v>0.32336473184421671</v>
      </c>
      <c r="U109" s="36">
        <f t="shared" si="136"/>
        <v>0.32895827723959042</v>
      </c>
      <c r="V109" s="36">
        <f t="shared" si="136"/>
        <v>0.15705562583620947</v>
      </c>
      <c r="W109" s="36">
        <f t="shared" si="136"/>
        <v>0.12906023853910617</v>
      </c>
      <c r="X109" s="36">
        <f t="shared" si="136"/>
        <v>0.11968683422259835</v>
      </c>
      <c r="Y109" s="36">
        <f t="shared" si="136"/>
        <v>0.11604123245446478</v>
      </c>
      <c r="Z109" s="36">
        <f t="shared" si="136"/>
        <v>0.11002140898949697</v>
      </c>
      <c r="AA109" s="36">
        <f t="shared" si="136"/>
        <v>0.11554621343669122</v>
      </c>
      <c r="AB109" s="36">
        <f t="shared" si="136"/>
        <v>0.11346636154609416</v>
      </c>
      <c r="AC109" s="36">
        <f t="shared" si="136"/>
        <v>0.12366314160262336</v>
      </c>
      <c r="AD109" s="36">
        <f t="shared" si="136"/>
        <v>0.12942762992530735</v>
      </c>
      <c r="AE109" s="36">
        <f t="shared" si="136"/>
        <v>0.13798414389767275</v>
      </c>
      <c r="AF109" s="36">
        <f t="shared" si="136"/>
        <v>0.15771550923632632</v>
      </c>
      <c r="AG109" s="36">
        <f t="shared" si="136"/>
        <v>0.15954745357366729</v>
      </c>
      <c r="AH109" s="36">
        <f t="shared" si="136"/>
        <v>0.16831524910357562</v>
      </c>
      <c r="AI109" s="36">
        <f>SUM(AF107:AI107)/AI108</f>
        <v>0.13969274025000691</v>
      </c>
      <c r="AJ109" s="36">
        <f>SUM(AG107:AJ107)/AJ108</f>
        <v>0.10683171246795124</v>
      </c>
      <c r="AK109" s="84">
        <f>100*(AJ109-AF109)</f>
        <v>-5.0883796768375085</v>
      </c>
      <c r="AL109" s="84">
        <f>100*(AJ109-AI109)</f>
        <v>-3.2861027782055672</v>
      </c>
    </row>
    <row r="110" spans="1:38" s="39" customFormat="1" x14ac:dyDescent="0.25">
      <c r="A110" s="82" t="s">
        <v>145</v>
      </c>
      <c r="N110" s="60"/>
    </row>
    <row r="111" spans="1:38" s="39" customFormat="1" ht="18" x14ac:dyDescent="0.25">
      <c r="A111" s="81" t="s">
        <v>85</v>
      </c>
      <c r="B111" s="8" t="s">
        <v>112</v>
      </c>
      <c r="C111" s="8" t="s">
        <v>289</v>
      </c>
      <c r="D111" s="47"/>
      <c r="E111" s="47"/>
      <c r="F111" s="47"/>
      <c r="G111" s="47"/>
      <c r="H111" s="47"/>
      <c r="I111" s="47"/>
      <c r="J111" s="47"/>
      <c r="K111" s="47"/>
      <c r="L111" s="47"/>
      <c r="M111" s="47"/>
      <c r="N111" s="60"/>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row>
    <row r="112" spans="1:38" s="39" customFormat="1" ht="6.75" customHeight="1" outlineLevel="1" x14ac:dyDescent="0.25">
      <c r="A112" s="81"/>
      <c r="N112" s="60"/>
    </row>
    <row r="113" spans="1:40" s="39" customFormat="1" ht="18" outlineLevel="1" x14ac:dyDescent="0.25">
      <c r="A113" s="81"/>
      <c r="B113" s="7" t="s">
        <v>139</v>
      </c>
      <c r="C113" s="7" t="s">
        <v>224</v>
      </c>
      <c r="E113" s="35">
        <v>4553</v>
      </c>
      <c r="F113" s="35">
        <v>6943</v>
      </c>
      <c r="G113" s="35">
        <v>16015</v>
      </c>
      <c r="H113" s="35">
        <v>51044</v>
      </c>
      <c r="I113" s="35">
        <v>127856</v>
      </c>
      <c r="J113" s="35">
        <v>174405</v>
      </c>
      <c r="K113" s="35">
        <f>SUM(AF113:AI113)</f>
        <v>177798</v>
      </c>
      <c r="L113" s="35"/>
      <c r="M113" s="35"/>
      <c r="N113" s="60"/>
      <c r="O113" s="35"/>
      <c r="P113" s="35">
        <v>2370</v>
      </c>
      <c r="Q113" s="35">
        <v>2803</v>
      </c>
      <c r="R113" s="35">
        <v>4023</v>
      </c>
      <c r="S113" s="35">
        <v>6819</v>
      </c>
      <c r="T113" s="35">
        <v>8181</v>
      </c>
      <c r="U113" s="35">
        <v>10847</v>
      </c>
      <c r="V113" s="35">
        <v>11578</v>
      </c>
      <c r="W113" s="35">
        <v>20438</v>
      </c>
      <c r="X113" s="35">
        <v>24101</v>
      </c>
      <c r="Y113" s="35">
        <v>29715</v>
      </c>
      <c r="Z113" s="35">
        <v>33432</v>
      </c>
      <c r="AA113" s="35">
        <v>40608</v>
      </c>
      <c r="AB113" s="35">
        <v>39188</v>
      </c>
      <c r="AC113" s="35">
        <v>41332</v>
      </c>
      <c r="AD113" s="35">
        <v>44976</v>
      </c>
      <c r="AE113" s="35">
        <v>48909</v>
      </c>
      <c r="AF113" s="35">
        <v>38377</v>
      </c>
      <c r="AG113" s="35">
        <v>30519</v>
      </c>
      <c r="AH113" s="35">
        <v>35061</v>
      </c>
      <c r="AI113" s="35">
        <v>73841</v>
      </c>
      <c r="AJ113" s="35">
        <v>48583</v>
      </c>
      <c r="AK113" s="99"/>
      <c r="AL113" s="99"/>
    </row>
    <row r="114" spans="1:40" s="39" customFormat="1" ht="18" outlineLevel="1" x14ac:dyDescent="0.25">
      <c r="A114" s="81"/>
      <c r="B114" s="7" t="s">
        <v>140</v>
      </c>
      <c r="C114" s="7" t="s">
        <v>290</v>
      </c>
      <c r="E114" s="35">
        <v>7988</v>
      </c>
      <c r="F114" s="35">
        <v>13766</v>
      </c>
      <c r="G114" s="35">
        <v>26975</v>
      </c>
      <c r="H114" s="35">
        <v>94950</v>
      </c>
      <c r="I114" s="35">
        <v>228450</v>
      </c>
      <c r="J114" s="35">
        <v>349091</v>
      </c>
      <c r="K114" s="35">
        <f t="shared" ref="K114:K130" si="137">SUM(AF114:AI114)</f>
        <v>551966</v>
      </c>
      <c r="L114" s="35"/>
      <c r="M114" s="35"/>
      <c r="N114" s="60"/>
      <c r="O114" s="35"/>
      <c r="P114" s="35">
        <v>5217</v>
      </c>
      <c r="Q114" s="35">
        <v>4489</v>
      </c>
      <c r="R114" s="35">
        <v>7480</v>
      </c>
      <c r="S114" s="35">
        <v>9789</v>
      </c>
      <c r="T114" s="35">
        <v>11013</v>
      </c>
      <c r="U114" s="35">
        <v>14854</v>
      </c>
      <c r="V114" s="35">
        <v>20302</v>
      </c>
      <c r="W114" s="35">
        <v>48781</v>
      </c>
      <c r="X114" s="35">
        <v>51224</v>
      </c>
      <c r="Y114" s="35">
        <v>58306</v>
      </c>
      <c r="Z114" s="35">
        <v>54376</v>
      </c>
      <c r="AA114" s="35">
        <v>64544</v>
      </c>
      <c r="AB114" s="35">
        <v>66146</v>
      </c>
      <c r="AC114" s="35">
        <v>69526</v>
      </c>
      <c r="AD114" s="35">
        <v>90874</v>
      </c>
      <c r="AE114" s="35">
        <v>122545</v>
      </c>
      <c r="AF114" s="35">
        <v>117030</v>
      </c>
      <c r="AG114" s="35">
        <v>136041</v>
      </c>
      <c r="AH114" s="35">
        <v>156213</v>
      </c>
      <c r="AI114" s="35">
        <v>142682</v>
      </c>
      <c r="AJ114" s="35">
        <v>123352</v>
      </c>
      <c r="AK114" s="99"/>
      <c r="AL114" s="99"/>
      <c r="AM114" s="99"/>
    </row>
    <row r="115" spans="1:40" s="39" customFormat="1" ht="18" outlineLevel="1" x14ac:dyDescent="0.25">
      <c r="A115" s="81"/>
      <c r="B115" s="7" t="s">
        <v>107</v>
      </c>
      <c r="C115" s="7" t="s">
        <v>291</v>
      </c>
      <c r="E115" s="35">
        <v>4117</v>
      </c>
      <c r="F115" s="35">
        <v>6152</v>
      </c>
      <c r="G115" s="35">
        <v>11451</v>
      </c>
      <c r="H115" s="35">
        <v>36873</v>
      </c>
      <c r="I115" s="35">
        <v>69124</v>
      </c>
      <c r="J115" s="35">
        <v>89864</v>
      </c>
      <c r="K115" s="35">
        <f t="shared" si="137"/>
        <v>115844</v>
      </c>
      <c r="L115" s="35"/>
      <c r="M115" s="35"/>
      <c r="N115" s="60"/>
      <c r="O115" s="35"/>
      <c r="P115" s="35">
        <v>2053</v>
      </c>
      <c r="Q115" s="35">
        <v>2184</v>
      </c>
      <c r="R115" s="35">
        <v>3314</v>
      </c>
      <c r="S115" s="35">
        <v>3900</v>
      </c>
      <c r="T115" s="35">
        <v>4594</v>
      </c>
      <c r="U115" s="35">
        <v>6740</v>
      </c>
      <c r="V115" s="35">
        <v>9816</v>
      </c>
      <c r="W115" s="35">
        <v>15723</v>
      </c>
      <c r="X115" s="35">
        <v>16465</v>
      </c>
      <c r="Y115" s="35">
        <v>18912</v>
      </c>
      <c r="Z115" s="35">
        <v>19509</v>
      </c>
      <c r="AA115" s="35">
        <v>14238</v>
      </c>
      <c r="AB115" s="35">
        <v>20403</v>
      </c>
      <c r="AC115" s="35">
        <v>22374</v>
      </c>
      <c r="AD115" s="35">
        <v>24664</v>
      </c>
      <c r="AE115" s="35">
        <v>22423</v>
      </c>
      <c r="AF115" s="35">
        <v>20561</v>
      </c>
      <c r="AG115" s="35">
        <v>26954</v>
      </c>
      <c r="AH115" s="35">
        <v>32640.603058375302</v>
      </c>
      <c r="AI115" s="35">
        <v>35688.396941624698</v>
      </c>
      <c r="AJ115" s="35">
        <v>30639</v>
      </c>
      <c r="AK115" s="99"/>
      <c r="AL115" s="99"/>
      <c r="AM115" s="99"/>
    </row>
    <row r="116" spans="1:40" s="39" customFormat="1" ht="18" outlineLevel="1" x14ac:dyDescent="0.25">
      <c r="A116" s="81"/>
      <c r="B116" s="7" t="s">
        <v>108</v>
      </c>
      <c r="C116" s="7" t="s">
        <v>341</v>
      </c>
      <c r="E116" s="35">
        <v>5377</v>
      </c>
      <c r="F116" s="35">
        <v>5963</v>
      </c>
      <c r="G116" s="35">
        <v>6095</v>
      </c>
      <c r="H116" s="35">
        <v>14770</v>
      </c>
      <c r="I116" s="35">
        <v>32697</v>
      </c>
      <c r="J116" s="35">
        <v>36208</v>
      </c>
      <c r="K116" s="35">
        <f t="shared" si="137"/>
        <v>42699</v>
      </c>
      <c r="L116" s="35"/>
      <c r="M116" s="35"/>
      <c r="N116" s="60"/>
      <c r="O116" s="35"/>
      <c r="P116" s="35">
        <v>1413</v>
      </c>
      <c r="Q116" s="35">
        <v>1060</v>
      </c>
      <c r="R116" s="35">
        <v>1478</v>
      </c>
      <c r="S116" s="35">
        <v>2144</v>
      </c>
      <c r="T116" s="35">
        <v>1807</v>
      </c>
      <c r="U116" s="35">
        <v>2891</v>
      </c>
      <c r="V116" s="35">
        <v>4356</v>
      </c>
      <c r="W116" s="35">
        <v>5716</v>
      </c>
      <c r="X116" s="35">
        <v>5987</v>
      </c>
      <c r="Y116" s="35">
        <v>8165</v>
      </c>
      <c r="Z116" s="35">
        <v>9449</v>
      </c>
      <c r="AA116" s="35">
        <v>9096</v>
      </c>
      <c r="AB116" s="35">
        <v>9784</v>
      </c>
      <c r="AC116" s="35">
        <v>8163</v>
      </c>
      <c r="AD116" s="35">
        <v>9036</v>
      </c>
      <c r="AE116" s="35">
        <v>9225</v>
      </c>
      <c r="AF116" s="35">
        <v>8684</v>
      </c>
      <c r="AG116" s="35">
        <v>8989</v>
      </c>
      <c r="AH116" s="35">
        <v>14396</v>
      </c>
      <c r="AI116" s="35">
        <v>10630</v>
      </c>
      <c r="AJ116" s="35">
        <v>11321</v>
      </c>
      <c r="AK116" s="99"/>
      <c r="AL116" s="99"/>
    </row>
    <row r="117" spans="1:40" s="39" customFormat="1" ht="18" outlineLevel="1" x14ac:dyDescent="0.25">
      <c r="A117" s="81"/>
      <c r="B117" s="7" t="s">
        <v>141</v>
      </c>
      <c r="C117" s="7" t="s">
        <v>292</v>
      </c>
      <c r="E117" s="35">
        <v>2091</v>
      </c>
      <c r="F117" s="35">
        <v>1017</v>
      </c>
      <c r="G117" s="35">
        <v>1135</v>
      </c>
      <c r="H117" s="35">
        <v>3572</v>
      </c>
      <c r="I117" s="35">
        <v>37613</v>
      </c>
      <c r="J117" s="35">
        <v>76258</v>
      </c>
      <c r="K117" s="35">
        <f t="shared" si="137"/>
        <v>115780</v>
      </c>
      <c r="L117" s="35"/>
      <c r="M117" s="35"/>
      <c r="N117" s="60"/>
      <c r="O117" s="35"/>
      <c r="P117" s="35">
        <v>5</v>
      </c>
      <c r="Q117" s="35">
        <v>329</v>
      </c>
      <c r="R117" s="35">
        <v>304</v>
      </c>
      <c r="S117" s="35">
        <v>497</v>
      </c>
      <c r="T117" s="35">
        <v>1960</v>
      </c>
      <c r="U117" s="35">
        <v>586</v>
      </c>
      <c r="V117" s="35">
        <v>322</v>
      </c>
      <c r="W117" s="35">
        <v>704</v>
      </c>
      <c r="X117" s="35">
        <v>7453</v>
      </c>
      <c r="Y117" s="35">
        <v>8923</v>
      </c>
      <c r="Z117" s="35">
        <v>12625</v>
      </c>
      <c r="AA117" s="35">
        <v>8612</v>
      </c>
      <c r="AB117" s="35">
        <v>20023</v>
      </c>
      <c r="AC117" s="35">
        <v>13879</v>
      </c>
      <c r="AD117" s="35">
        <v>16257</v>
      </c>
      <c r="AE117" s="35">
        <v>26099</v>
      </c>
      <c r="AF117" s="35">
        <v>20325</v>
      </c>
      <c r="AG117" s="35">
        <v>16054</v>
      </c>
      <c r="AH117" s="35">
        <v>39499</v>
      </c>
      <c r="AI117" s="35">
        <v>39902</v>
      </c>
      <c r="AJ117" s="35">
        <v>57486</v>
      </c>
      <c r="AK117" s="99"/>
      <c r="AL117" s="99"/>
    </row>
    <row r="118" spans="1:40" s="39" customFormat="1" ht="18" outlineLevel="1" x14ac:dyDescent="0.25">
      <c r="A118" s="81"/>
      <c r="B118" s="7" t="s">
        <v>109</v>
      </c>
      <c r="C118" s="7" t="s">
        <v>342</v>
      </c>
      <c r="E118" s="35">
        <v>0</v>
      </c>
      <c r="F118" s="35">
        <v>0</v>
      </c>
      <c r="G118" s="35">
        <v>89</v>
      </c>
      <c r="H118" s="35">
        <v>239</v>
      </c>
      <c r="I118" s="35">
        <v>0</v>
      </c>
      <c r="J118" s="35">
        <v>0</v>
      </c>
      <c r="K118" s="35">
        <f t="shared" si="137"/>
        <v>0</v>
      </c>
      <c r="L118" s="35"/>
      <c r="M118" s="35"/>
      <c r="N118" s="60"/>
      <c r="O118" s="35"/>
      <c r="P118" s="35">
        <v>0</v>
      </c>
      <c r="Q118" s="35">
        <v>0</v>
      </c>
      <c r="R118" s="35">
        <v>0</v>
      </c>
      <c r="S118" s="35">
        <v>89</v>
      </c>
      <c r="T118" s="35">
        <v>0</v>
      </c>
      <c r="U118" s="35">
        <v>0</v>
      </c>
      <c r="V118" s="35">
        <v>239</v>
      </c>
      <c r="W118" s="35">
        <v>0</v>
      </c>
      <c r="X118" s="35">
        <v>997</v>
      </c>
      <c r="Y118" s="35">
        <v>997</v>
      </c>
      <c r="Z118" s="35">
        <v>-1994</v>
      </c>
      <c r="AA118" s="35">
        <v>0</v>
      </c>
      <c r="AB118" s="35">
        <v>0</v>
      </c>
      <c r="AC118" s="35">
        <v>0</v>
      </c>
      <c r="AD118" s="35">
        <v>0</v>
      </c>
      <c r="AE118" s="35">
        <v>0</v>
      </c>
      <c r="AF118" s="35">
        <v>0</v>
      </c>
      <c r="AG118" s="35">
        <v>0</v>
      </c>
      <c r="AH118" s="35">
        <v>0</v>
      </c>
      <c r="AI118" s="35"/>
      <c r="AJ118" s="35"/>
      <c r="AK118" s="99"/>
      <c r="AL118" s="99"/>
    </row>
    <row r="119" spans="1:40" s="39" customFormat="1" ht="18" outlineLevel="1" x14ac:dyDescent="0.25">
      <c r="A119" s="81"/>
      <c r="B119" s="11" t="s">
        <v>142</v>
      </c>
      <c r="C119" s="11" t="s">
        <v>293</v>
      </c>
      <c r="D119" s="42"/>
      <c r="E119" s="43">
        <v>1719</v>
      </c>
      <c r="F119" s="43">
        <v>640</v>
      </c>
      <c r="G119" s="43">
        <v>-720</v>
      </c>
      <c r="H119" s="43">
        <v>455</v>
      </c>
      <c r="I119" s="43">
        <v>8394</v>
      </c>
      <c r="J119" s="43">
        <v>8311</v>
      </c>
      <c r="K119" s="43">
        <f t="shared" si="137"/>
        <v>47261</v>
      </c>
      <c r="L119" s="45"/>
      <c r="M119" s="45"/>
      <c r="N119" s="60"/>
      <c r="P119" s="43">
        <v>-474</v>
      </c>
      <c r="Q119" s="43">
        <v>1767</v>
      </c>
      <c r="R119" s="43">
        <v>-362</v>
      </c>
      <c r="S119" s="43">
        <v>-1651</v>
      </c>
      <c r="T119" s="43">
        <v>888</v>
      </c>
      <c r="U119" s="43">
        <v>1415</v>
      </c>
      <c r="V119" s="43">
        <v>928</v>
      </c>
      <c r="W119" s="43">
        <v>-2776</v>
      </c>
      <c r="X119" s="43">
        <v>1944</v>
      </c>
      <c r="Y119" s="43">
        <v>1175</v>
      </c>
      <c r="Z119" s="43">
        <v>2910</v>
      </c>
      <c r="AA119" s="43">
        <v>2365</v>
      </c>
      <c r="AB119" s="43">
        <v>2263</v>
      </c>
      <c r="AC119" s="43">
        <v>1672</v>
      </c>
      <c r="AD119" s="43">
        <v>4888</v>
      </c>
      <c r="AE119" s="43">
        <v>-512</v>
      </c>
      <c r="AF119" s="43">
        <v>9253</v>
      </c>
      <c r="AG119" s="43">
        <v>18576</v>
      </c>
      <c r="AH119" s="43">
        <v>14342</v>
      </c>
      <c r="AI119" s="43">
        <v>5090</v>
      </c>
      <c r="AJ119" s="43">
        <v>17704.925999999999</v>
      </c>
      <c r="AK119" s="45"/>
      <c r="AL119" s="45"/>
    </row>
    <row r="120" spans="1:40" s="39" customFormat="1" ht="18" outlineLevel="1" x14ac:dyDescent="0.25">
      <c r="A120" s="81"/>
      <c r="B120" s="5" t="s">
        <v>110</v>
      </c>
      <c r="C120" s="5" t="s">
        <v>294</v>
      </c>
      <c r="D120" s="46"/>
      <c r="E120" s="37">
        <v>25845</v>
      </c>
      <c r="F120" s="37">
        <v>34481</v>
      </c>
      <c r="G120" s="37">
        <v>61040</v>
      </c>
      <c r="H120" s="37">
        <f>SUM(H113:H119)</f>
        <v>201903</v>
      </c>
      <c r="I120" s="37">
        <f>SUM(I113:I119)</f>
        <v>504134</v>
      </c>
      <c r="J120" s="37">
        <f>SUM(J113:J119)</f>
        <v>734137</v>
      </c>
      <c r="K120" s="37">
        <f>SUM(K113:K119)</f>
        <v>1051348</v>
      </c>
      <c r="L120" s="36">
        <f t="shared" ref="L120" si="138">J120/I120-1</f>
        <v>0.45623385845826703</v>
      </c>
      <c r="M120" s="36">
        <f t="shared" ref="M120" si="139">K120/J120-1</f>
        <v>0.43208692655458036</v>
      </c>
      <c r="N120" s="60"/>
      <c r="P120" s="37">
        <f t="shared" ref="P120:X120" si="140">SUM(P113:P119)</f>
        <v>10584</v>
      </c>
      <c r="Q120" s="37">
        <f t="shared" si="140"/>
        <v>12632</v>
      </c>
      <c r="R120" s="37">
        <f t="shared" si="140"/>
        <v>16237</v>
      </c>
      <c r="S120" s="37">
        <f t="shared" si="140"/>
        <v>21587</v>
      </c>
      <c r="T120" s="37">
        <f t="shared" si="140"/>
        <v>28443</v>
      </c>
      <c r="U120" s="37">
        <f t="shared" si="140"/>
        <v>37333</v>
      </c>
      <c r="V120" s="37">
        <f t="shared" si="140"/>
        <v>47541</v>
      </c>
      <c r="W120" s="37">
        <f t="shared" si="140"/>
        <v>88586</v>
      </c>
      <c r="X120" s="37">
        <f t="shared" si="140"/>
        <v>108171</v>
      </c>
      <c r="Y120" s="37">
        <f t="shared" ref="Y120:AH120" si="141">SUM(Y113:Y119)</f>
        <v>126193</v>
      </c>
      <c r="Z120" s="37">
        <f t="shared" si="141"/>
        <v>130307</v>
      </c>
      <c r="AA120" s="37">
        <f t="shared" si="141"/>
        <v>139463</v>
      </c>
      <c r="AB120" s="37">
        <f t="shared" si="141"/>
        <v>157807</v>
      </c>
      <c r="AC120" s="37">
        <f t="shared" si="141"/>
        <v>156946</v>
      </c>
      <c r="AD120" s="37">
        <f t="shared" si="141"/>
        <v>190695</v>
      </c>
      <c r="AE120" s="37">
        <f t="shared" si="141"/>
        <v>228689</v>
      </c>
      <c r="AF120" s="37">
        <f t="shared" si="141"/>
        <v>214230</v>
      </c>
      <c r="AG120" s="37">
        <f t="shared" si="141"/>
        <v>237133</v>
      </c>
      <c r="AH120" s="37">
        <f t="shared" si="141"/>
        <v>292151.6030583753</v>
      </c>
      <c r="AI120" s="37">
        <f t="shared" ref="AI120:AJ120" si="142">SUM(AI113:AI119)</f>
        <v>307833.3969416247</v>
      </c>
      <c r="AJ120" s="37">
        <f t="shared" si="142"/>
        <v>289085.92599999998</v>
      </c>
      <c r="AK120" s="36">
        <f t="shared" ref="AK120" si="143">AJ120/AF120-1</f>
        <v>0.34941850347757075</v>
      </c>
      <c r="AL120" s="36">
        <f t="shared" ref="AL120" si="144">AJ120/AI120-1</f>
        <v>-6.0901354849356548E-2</v>
      </c>
    </row>
    <row r="121" spans="1:40" s="39" customFormat="1" ht="18" outlineLevel="1" x14ac:dyDescent="0.25">
      <c r="A121" s="81"/>
      <c r="N121" s="60"/>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row>
    <row r="122" spans="1:40" s="39" customFormat="1" ht="18" outlineLevel="1" x14ac:dyDescent="0.25">
      <c r="A122" s="81"/>
      <c r="B122" s="7" t="s">
        <v>44</v>
      </c>
      <c r="C122" s="7" t="s">
        <v>224</v>
      </c>
      <c r="E122" s="35">
        <v>4</v>
      </c>
      <c r="F122" s="35">
        <v>58</v>
      </c>
      <c r="G122" s="35">
        <v>113</v>
      </c>
      <c r="H122" s="35">
        <v>3570</v>
      </c>
      <c r="I122" s="35">
        <v>9311</v>
      </c>
      <c r="J122" s="35">
        <v>11247</v>
      </c>
      <c r="K122" s="35">
        <f t="shared" si="137"/>
        <v>25680.416209999999</v>
      </c>
      <c r="L122" s="35"/>
      <c r="M122" s="35"/>
      <c r="N122" s="60"/>
      <c r="O122" s="35"/>
      <c r="P122" s="35">
        <v>6</v>
      </c>
      <c r="Q122" s="35">
        <v>34</v>
      </c>
      <c r="R122" s="35">
        <v>28</v>
      </c>
      <c r="S122" s="35">
        <v>45</v>
      </c>
      <c r="T122" s="35">
        <v>53</v>
      </c>
      <c r="U122" s="35">
        <v>86</v>
      </c>
      <c r="V122" s="35">
        <v>173</v>
      </c>
      <c r="W122" s="35">
        <v>3258</v>
      </c>
      <c r="X122" s="35">
        <v>2926</v>
      </c>
      <c r="Y122" s="35">
        <v>1299</v>
      </c>
      <c r="Z122" s="35">
        <v>2636</v>
      </c>
      <c r="AA122" s="35">
        <v>2450</v>
      </c>
      <c r="AB122" s="35">
        <v>2530</v>
      </c>
      <c r="AC122" s="35">
        <v>2657</v>
      </c>
      <c r="AD122" s="35">
        <v>2903</v>
      </c>
      <c r="AE122" s="35">
        <v>3157</v>
      </c>
      <c r="AF122" s="35">
        <v>5873</v>
      </c>
      <c r="AG122" s="35">
        <v>4729</v>
      </c>
      <c r="AH122" s="35">
        <v>7451</v>
      </c>
      <c r="AI122" s="35">
        <v>7627.4162099999994</v>
      </c>
      <c r="AJ122" s="35">
        <v>7743</v>
      </c>
      <c r="AK122" s="99"/>
      <c r="AL122" s="99"/>
      <c r="AM122" s="62"/>
      <c r="AN122" s="62"/>
    </row>
    <row r="123" spans="1:40" s="39" customFormat="1" ht="18" outlineLevel="1" x14ac:dyDescent="0.25">
      <c r="A123" s="81"/>
      <c r="B123" s="7" t="s">
        <v>134</v>
      </c>
      <c r="C123" s="7" t="s">
        <v>290</v>
      </c>
      <c r="E123" s="35">
        <v>1951</v>
      </c>
      <c r="F123" s="35">
        <v>1959</v>
      </c>
      <c r="G123" s="35">
        <v>4616</v>
      </c>
      <c r="H123" s="35">
        <v>28261</v>
      </c>
      <c r="I123" s="35">
        <v>69135</v>
      </c>
      <c r="J123" s="35">
        <v>95496</v>
      </c>
      <c r="K123" s="35">
        <f t="shared" si="137"/>
        <v>90361</v>
      </c>
      <c r="L123" s="35"/>
      <c r="M123" s="35"/>
      <c r="N123" s="60"/>
      <c r="O123" s="35"/>
      <c r="P123" s="35">
        <v>597</v>
      </c>
      <c r="Q123" s="35">
        <v>850</v>
      </c>
      <c r="R123" s="35">
        <v>1557</v>
      </c>
      <c r="S123" s="35">
        <v>1612</v>
      </c>
      <c r="T123" s="35">
        <v>2708</v>
      </c>
      <c r="U123" s="35">
        <v>4082</v>
      </c>
      <c r="V123" s="35">
        <v>7709</v>
      </c>
      <c r="W123" s="35">
        <v>13762</v>
      </c>
      <c r="X123" s="35">
        <v>13432</v>
      </c>
      <c r="Y123" s="35">
        <v>15453</v>
      </c>
      <c r="Z123" s="35">
        <v>16311</v>
      </c>
      <c r="AA123" s="35">
        <v>23939</v>
      </c>
      <c r="AB123" s="35">
        <v>23815</v>
      </c>
      <c r="AC123" s="35">
        <v>23464</v>
      </c>
      <c r="AD123" s="35">
        <v>23250</v>
      </c>
      <c r="AE123" s="35">
        <v>24967</v>
      </c>
      <c r="AF123" s="35">
        <v>18660</v>
      </c>
      <c r="AG123" s="35">
        <v>12978</v>
      </c>
      <c r="AH123" s="35">
        <v>23186</v>
      </c>
      <c r="AI123" s="35">
        <v>35537</v>
      </c>
      <c r="AJ123" s="35">
        <v>23957</v>
      </c>
      <c r="AK123" s="99"/>
      <c r="AL123" s="99"/>
      <c r="AM123" s="62"/>
      <c r="AN123" s="62"/>
    </row>
    <row r="124" spans="1:40" s="39" customFormat="1" ht="18" outlineLevel="1" x14ac:dyDescent="0.25">
      <c r="A124" s="81"/>
      <c r="B124" s="7" t="s">
        <v>135</v>
      </c>
      <c r="C124" s="7" t="s">
        <v>343</v>
      </c>
      <c r="E124" s="35">
        <v>0</v>
      </c>
      <c r="F124" s="35">
        <v>242</v>
      </c>
      <c r="G124" s="35">
        <v>915</v>
      </c>
      <c r="H124" s="35">
        <v>3938</v>
      </c>
      <c r="I124" s="35">
        <v>6302</v>
      </c>
      <c r="J124" s="35">
        <v>7639</v>
      </c>
      <c r="K124" s="35">
        <f t="shared" si="137"/>
        <v>10643</v>
      </c>
      <c r="L124" s="35"/>
      <c r="M124" s="35"/>
      <c r="N124" s="60"/>
      <c r="O124" s="35"/>
      <c r="P124" s="35">
        <v>202</v>
      </c>
      <c r="Q124" s="35">
        <v>183</v>
      </c>
      <c r="R124" s="35">
        <v>270</v>
      </c>
      <c r="S124" s="35">
        <v>260</v>
      </c>
      <c r="T124" s="35">
        <v>158</v>
      </c>
      <c r="U124" s="35">
        <v>664</v>
      </c>
      <c r="V124" s="35">
        <v>2240</v>
      </c>
      <c r="W124" s="35">
        <v>876</v>
      </c>
      <c r="X124" s="35">
        <v>1277</v>
      </c>
      <c r="Y124" s="35">
        <v>1584</v>
      </c>
      <c r="Z124" s="35">
        <v>1343</v>
      </c>
      <c r="AA124" s="35">
        <v>2098</v>
      </c>
      <c r="AB124" s="35">
        <v>1902</v>
      </c>
      <c r="AC124" s="35">
        <v>2667</v>
      </c>
      <c r="AD124" s="35">
        <v>1626</v>
      </c>
      <c r="AE124" s="35">
        <v>1444</v>
      </c>
      <c r="AF124" s="35">
        <v>1567</v>
      </c>
      <c r="AG124" s="35">
        <v>1776</v>
      </c>
      <c r="AH124" s="35">
        <v>3659</v>
      </c>
      <c r="AI124" s="35">
        <v>3641</v>
      </c>
      <c r="AJ124" s="35">
        <v>5236</v>
      </c>
      <c r="AK124" s="99"/>
      <c r="AL124" s="99"/>
      <c r="AM124" s="62"/>
      <c r="AN124" s="62"/>
    </row>
    <row r="125" spans="1:40" s="39" customFormat="1" ht="18" outlineLevel="1" x14ac:dyDescent="0.25">
      <c r="A125" s="81"/>
      <c r="B125" s="7" t="s">
        <v>136</v>
      </c>
      <c r="C125" s="7" t="s">
        <v>344</v>
      </c>
      <c r="E125" s="35">
        <v>305</v>
      </c>
      <c r="F125" s="35">
        <v>1164</v>
      </c>
      <c r="G125" s="35">
        <v>3448</v>
      </c>
      <c r="H125" s="35">
        <v>8294</v>
      </c>
      <c r="I125" s="35">
        <v>26379</v>
      </c>
      <c r="J125" s="35">
        <v>26562</v>
      </c>
      <c r="K125" s="35">
        <f t="shared" si="137"/>
        <v>34401</v>
      </c>
      <c r="L125" s="35"/>
      <c r="M125" s="35"/>
      <c r="N125" s="60"/>
      <c r="O125" s="35"/>
      <c r="P125" s="35">
        <v>730</v>
      </c>
      <c r="Q125" s="35">
        <v>659</v>
      </c>
      <c r="R125" s="35">
        <v>932</v>
      </c>
      <c r="S125" s="35">
        <v>1127</v>
      </c>
      <c r="T125" s="35">
        <v>858</v>
      </c>
      <c r="U125" s="35">
        <v>1597</v>
      </c>
      <c r="V125" s="35">
        <v>2315</v>
      </c>
      <c r="W125" s="35">
        <v>3524</v>
      </c>
      <c r="X125" s="35">
        <v>3564</v>
      </c>
      <c r="Y125" s="35">
        <v>5591</v>
      </c>
      <c r="Z125" s="35">
        <v>7394</v>
      </c>
      <c r="AA125" s="35">
        <v>9830</v>
      </c>
      <c r="AB125" s="35">
        <v>4975</v>
      </c>
      <c r="AC125" s="35">
        <v>7630</v>
      </c>
      <c r="AD125" s="35">
        <v>6326</v>
      </c>
      <c r="AE125" s="35">
        <v>7631</v>
      </c>
      <c r="AF125" s="35">
        <v>6425</v>
      </c>
      <c r="AG125" s="35">
        <v>6847</v>
      </c>
      <c r="AH125" s="35">
        <v>10319</v>
      </c>
      <c r="AI125" s="35">
        <v>10810</v>
      </c>
      <c r="AJ125" s="35">
        <v>10092</v>
      </c>
      <c r="AK125" s="99"/>
      <c r="AL125" s="99"/>
      <c r="AM125" s="62"/>
      <c r="AN125" s="62"/>
    </row>
    <row r="126" spans="1:40" s="39" customFormat="1" ht="18" outlineLevel="1" x14ac:dyDescent="0.25">
      <c r="A126" s="81"/>
      <c r="B126" s="7" t="s">
        <v>137</v>
      </c>
      <c r="C126" s="7" t="s">
        <v>229</v>
      </c>
      <c r="E126" s="35">
        <v>0</v>
      </c>
      <c r="F126" s="35">
        <v>397</v>
      </c>
      <c r="G126" s="35">
        <v>280</v>
      </c>
      <c r="H126" s="35">
        <v>666</v>
      </c>
      <c r="I126" s="35">
        <v>5452</v>
      </c>
      <c r="J126" s="35">
        <v>9270</v>
      </c>
      <c r="K126" s="35">
        <f t="shared" si="137"/>
        <v>9819</v>
      </c>
      <c r="L126" s="35"/>
      <c r="M126" s="35"/>
      <c r="N126" s="60"/>
      <c r="O126" s="35"/>
      <c r="P126" s="35">
        <v>368</v>
      </c>
      <c r="Q126" s="35">
        <v>76</v>
      </c>
      <c r="R126" s="35">
        <v>-80</v>
      </c>
      <c r="S126" s="35">
        <v>-84</v>
      </c>
      <c r="T126" s="35">
        <v>140</v>
      </c>
      <c r="U126" s="35">
        <v>871</v>
      </c>
      <c r="V126" s="35">
        <v>368</v>
      </c>
      <c r="W126" s="35">
        <v>-713</v>
      </c>
      <c r="X126" s="35">
        <v>1154</v>
      </c>
      <c r="Y126" s="35">
        <v>2240</v>
      </c>
      <c r="Z126" s="35">
        <v>970</v>
      </c>
      <c r="AA126" s="35">
        <v>1088</v>
      </c>
      <c r="AB126" s="35">
        <v>1881</v>
      </c>
      <c r="AC126" s="35">
        <v>1667</v>
      </c>
      <c r="AD126" s="35">
        <v>3050</v>
      </c>
      <c r="AE126" s="35">
        <v>2672</v>
      </c>
      <c r="AF126" s="35">
        <v>2788</v>
      </c>
      <c r="AG126" s="35">
        <v>2907</v>
      </c>
      <c r="AH126" s="35">
        <v>2334</v>
      </c>
      <c r="AI126" s="35">
        <v>1790</v>
      </c>
      <c r="AJ126" s="35">
        <v>7185</v>
      </c>
      <c r="AK126" s="99"/>
      <c r="AL126" s="99"/>
      <c r="AM126" s="62"/>
      <c r="AN126" s="62"/>
    </row>
    <row r="127" spans="1:40" s="39" customFormat="1" ht="18" outlineLevel="1" x14ac:dyDescent="0.25">
      <c r="A127" s="81"/>
      <c r="B127" s="7" t="s">
        <v>48</v>
      </c>
      <c r="C127" s="7" t="s">
        <v>228</v>
      </c>
      <c r="E127" s="35">
        <v>70</v>
      </c>
      <c r="F127" s="35">
        <v>49</v>
      </c>
      <c r="G127" s="35">
        <v>227</v>
      </c>
      <c r="H127" s="35">
        <v>459</v>
      </c>
      <c r="I127" s="35">
        <v>0</v>
      </c>
      <c r="J127" s="35">
        <v>0</v>
      </c>
      <c r="K127" s="35">
        <f t="shared" si="137"/>
        <v>0</v>
      </c>
      <c r="L127" s="35"/>
      <c r="M127" s="35"/>
      <c r="N127" s="60"/>
      <c r="O127" s="35"/>
      <c r="P127" s="35">
        <v>39</v>
      </c>
      <c r="Q127" s="35">
        <v>0</v>
      </c>
      <c r="R127" s="35">
        <v>24</v>
      </c>
      <c r="S127" s="35">
        <v>164</v>
      </c>
      <c r="T127" s="35">
        <v>29</v>
      </c>
      <c r="U127" s="35">
        <v>79</v>
      </c>
      <c r="V127" s="35">
        <v>-161</v>
      </c>
      <c r="W127" s="35">
        <v>512</v>
      </c>
      <c r="X127" s="35">
        <v>0</v>
      </c>
      <c r="Y127" s="35">
        <v>253</v>
      </c>
      <c r="Z127" s="35">
        <v>-253</v>
      </c>
      <c r="AA127" s="35">
        <v>0</v>
      </c>
      <c r="AB127" s="35">
        <v>0</v>
      </c>
      <c r="AC127" s="35">
        <v>0</v>
      </c>
      <c r="AD127" s="35">
        <v>0</v>
      </c>
      <c r="AE127" s="35">
        <v>0</v>
      </c>
      <c r="AF127" s="35">
        <v>0</v>
      </c>
      <c r="AG127" s="35">
        <v>0</v>
      </c>
      <c r="AH127" s="35">
        <v>0</v>
      </c>
      <c r="AI127" s="35">
        <v>0</v>
      </c>
      <c r="AJ127" s="35">
        <v>0</v>
      </c>
      <c r="AK127" s="99"/>
      <c r="AL127" s="99"/>
      <c r="AM127" s="62"/>
      <c r="AN127" s="62"/>
    </row>
    <row r="128" spans="1:40" s="39" customFormat="1" ht="18" outlineLevel="1" x14ac:dyDescent="0.25">
      <c r="A128" s="81"/>
      <c r="B128" s="7" t="s">
        <v>109</v>
      </c>
      <c r="C128" s="7" t="s">
        <v>342</v>
      </c>
      <c r="E128" s="35">
        <v>0</v>
      </c>
      <c r="F128" s="35">
        <v>0</v>
      </c>
      <c r="G128" s="35">
        <v>0</v>
      </c>
      <c r="H128" s="35">
        <v>11207</v>
      </c>
      <c r="I128" s="35">
        <v>0</v>
      </c>
      <c r="J128" s="35">
        <v>0</v>
      </c>
      <c r="K128" s="35">
        <f t="shared" si="137"/>
        <v>0</v>
      </c>
      <c r="L128" s="35"/>
      <c r="M128" s="35"/>
      <c r="N128" s="60"/>
      <c r="O128" s="35"/>
      <c r="P128" s="35">
        <v>0</v>
      </c>
      <c r="Q128" s="35">
        <v>0</v>
      </c>
      <c r="R128" s="35">
        <v>0</v>
      </c>
      <c r="S128" s="35">
        <v>0</v>
      </c>
      <c r="T128" s="35">
        <v>0</v>
      </c>
      <c r="U128" s="35">
        <v>0</v>
      </c>
      <c r="V128" s="35">
        <v>11151</v>
      </c>
      <c r="W128" s="35">
        <v>56</v>
      </c>
      <c r="X128" s="35">
        <v>485</v>
      </c>
      <c r="Y128" s="35">
        <v>83</v>
      </c>
      <c r="Z128" s="35">
        <v>-568</v>
      </c>
      <c r="AA128" s="35">
        <v>0</v>
      </c>
      <c r="AB128" s="35"/>
      <c r="AC128" s="35"/>
      <c r="AD128" s="35">
        <v>0</v>
      </c>
      <c r="AE128" s="35">
        <v>0</v>
      </c>
      <c r="AF128" s="35">
        <v>0</v>
      </c>
      <c r="AG128" s="35">
        <v>0</v>
      </c>
      <c r="AH128" s="35">
        <v>0</v>
      </c>
      <c r="AI128" s="35">
        <v>0</v>
      </c>
      <c r="AJ128" s="35">
        <v>0</v>
      </c>
      <c r="AK128" s="99"/>
      <c r="AL128" s="99"/>
      <c r="AM128" s="62"/>
      <c r="AN128" s="62"/>
    </row>
    <row r="129" spans="1:40" s="39" customFormat="1" ht="18" outlineLevel="1" x14ac:dyDescent="0.25">
      <c r="A129" s="81"/>
      <c r="B129" s="7" t="s">
        <v>138</v>
      </c>
      <c r="C129" s="7" t="s">
        <v>325</v>
      </c>
      <c r="E129" s="35">
        <v>0</v>
      </c>
      <c r="F129" s="35">
        <v>419</v>
      </c>
      <c r="G129" s="35">
        <v>835</v>
      </c>
      <c r="H129" s="35">
        <v>2015</v>
      </c>
      <c r="I129" s="35">
        <v>302</v>
      </c>
      <c r="J129" s="35">
        <v>1382</v>
      </c>
      <c r="K129" s="35">
        <f t="shared" si="137"/>
        <v>4766.268</v>
      </c>
      <c r="L129" s="35"/>
      <c r="M129" s="35"/>
      <c r="N129" s="60"/>
      <c r="O129" s="35"/>
      <c r="P129" s="35">
        <v>2</v>
      </c>
      <c r="Q129" s="35">
        <v>-482</v>
      </c>
      <c r="R129" s="35">
        <v>-114</v>
      </c>
      <c r="S129" s="35">
        <v>1429</v>
      </c>
      <c r="T129" s="35">
        <v>392</v>
      </c>
      <c r="U129" s="35">
        <v>-478</v>
      </c>
      <c r="V129" s="35">
        <v>-371</v>
      </c>
      <c r="W129" s="35">
        <v>2472</v>
      </c>
      <c r="X129" s="35">
        <v>1717</v>
      </c>
      <c r="Y129" s="35">
        <v>-1755</v>
      </c>
      <c r="Z129" s="35">
        <v>2815</v>
      </c>
      <c r="AA129" s="35">
        <v>7951</v>
      </c>
      <c r="AB129" s="35">
        <v>1149.1896400000001</v>
      </c>
      <c r="AC129" s="35">
        <v>233.98574000000008</v>
      </c>
      <c r="AD129" s="35">
        <v>-33.175380000000132</v>
      </c>
      <c r="AE129" s="35">
        <v>32</v>
      </c>
      <c r="AF129" s="35">
        <v>97</v>
      </c>
      <c r="AG129" s="35">
        <v>668.68899999999849</v>
      </c>
      <c r="AH129" s="35">
        <v>250.14500000000407</v>
      </c>
      <c r="AI129" s="35">
        <v>3750.4339999999975</v>
      </c>
      <c r="AJ129" s="35">
        <v>867</v>
      </c>
      <c r="AK129" s="99"/>
      <c r="AL129" s="99"/>
      <c r="AM129" s="62"/>
      <c r="AN129" s="62"/>
    </row>
    <row r="130" spans="1:40" s="39" customFormat="1" ht="18" customHeight="1" outlineLevel="1" x14ac:dyDescent="0.25">
      <c r="A130" s="81"/>
      <c r="B130" s="11" t="s">
        <v>372</v>
      </c>
      <c r="C130" s="64" t="s">
        <v>373</v>
      </c>
      <c r="D130" s="42"/>
      <c r="E130" s="43">
        <v>0</v>
      </c>
      <c r="F130" s="43">
        <v>0</v>
      </c>
      <c r="G130" s="43">
        <v>0</v>
      </c>
      <c r="H130" s="43">
        <v>0</v>
      </c>
      <c r="I130" s="43">
        <v>10426</v>
      </c>
      <c r="J130" s="43">
        <v>20147</v>
      </c>
      <c r="K130" s="43">
        <f t="shared" si="137"/>
        <v>15898</v>
      </c>
      <c r="L130" s="43"/>
      <c r="M130" s="43"/>
      <c r="N130" s="60"/>
      <c r="O130" s="62"/>
      <c r="P130" s="43">
        <v>0</v>
      </c>
      <c r="Q130" s="43">
        <v>0</v>
      </c>
      <c r="R130" s="43">
        <v>0</v>
      </c>
      <c r="S130" s="43">
        <v>0</v>
      </c>
      <c r="T130" s="43">
        <v>0</v>
      </c>
      <c r="U130" s="43">
        <v>0</v>
      </c>
      <c r="V130" s="43">
        <v>0</v>
      </c>
      <c r="W130" s="43">
        <v>0</v>
      </c>
      <c r="X130" s="43">
        <v>0</v>
      </c>
      <c r="Y130" s="43">
        <v>0</v>
      </c>
      <c r="Z130" s="43">
        <v>0</v>
      </c>
      <c r="AA130" s="43">
        <v>0</v>
      </c>
      <c r="AB130" s="43">
        <v>3786.8103599999999</v>
      </c>
      <c r="AC130" s="43">
        <v>4157.0142599999999</v>
      </c>
      <c r="AD130" s="43">
        <v>4882.3517599999996</v>
      </c>
      <c r="AE130" s="43">
        <v>7320.823620000001</v>
      </c>
      <c r="AF130" s="43">
        <v>4196</v>
      </c>
      <c r="AG130" s="43">
        <v>3598</v>
      </c>
      <c r="AH130" s="43">
        <v>3986</v>
      </c>
      <c r="AI130" s="43">
        <v>4118</v>
      </c>
      <c r="AJ130" s="43">
        <v>3324</v>
      </c>
      <c r="AK130" s="45"/>
      <c r="AL130" s="45"/>
      <c r="AM130" s="62"/>
      <c r="AN130" s="62"/>
    </row>
    <row r="131" spans="1:40" s="39" customFormat="1" ht="18" outlineLevel="1" x14ac:dyDescent="0.25">
      <c r="A131" s="81"/>
      <c r="B131" s="5" t="s">
        <v>111</v>
      </c>
      <c r="C131" s="5" t="s">
        <v>295</v>
      </c>
      <c r="D131" s="46"/>
      <c r="E131" s="37">
        <f t="shared" ref="E131:K131" si="145">SUM(E122:E130)</f>
        <v>2330</v>
      </c>
      <c r="F131" s="37">
        <f t="shared" si="145"/>
        <v>4288</v>
      </c>
      <c r="G131" s="37">
        <f t="shared" si="145"/>
        <v>10434</v>
      </c>
      <c r="H131" s="37">
        <f t="shared" si="145"/>
        <v>58410</v>
      </c>
      <c r="I131" s="37">
        <f t="shared" si="145"/>
        <v>127307</v>
      </c>
      <c r="J131" s="37">
        <f t="shared" si="145"/>
        <v>171743</v>
      </c>
      <c r="K131" s="37">
        <f t="shared" si="145"/>
        <v>191568.68421000001</v>
      </c>
      <c r="L131" s="36">
        <f t="shared" ref="L131" si="146">J131/I131-1</f>
        <v>0.34904600689671428</v>
      </c>
      <c r="M131" s="36">
        <f t="shared" ref="M131" si="147">K131/J131-1</f>
        <v>0.11543809185818343</v>
      </c>
      <c r="N131" s="60"/>
      <c r="P131" s="37">
        <f>SUM(P122:P130)</f>
        <v>1944</v>
      </c>
      <c r="Q131" s="37">
        <f t="shared" ref="Q131:AH131" si="148">SUM(Q122:Q130)</f>
        <v>1320</v>
      </c>
      <c r="R131" s="37">
        <f t="shared" si="148"/>
        <v>2617</v>
      </c>
      <c r="S131" s="37">
        <f t="shared" si="148"/>
        <v>4553</v>
      </c>
      <c r="T131" s="37">
        <f t="shared" si="148"/>
        <v>4338</v>
      </c>
      <c r="U131" s="37">
        <f t="shared" si="148"/>
        <v>6901</v>
      </c>
      <c r="V131" s="37">
        <f t="shared" si="148"/>
        <v>23424</v>
      </c>
      <c r="W131" s="37">
        <f t="shared" si="148"/>
        <v>23747</v>
      </c>
      <c r="X131" s="37">
        <f t="shared" si="148"/>
        <v>24555</v>
      </c>
      <c r="Y131" s="37">
        <f t="shared" si="148"/>
        <v>24748</v>
      </c>
      <c r="Z131" s="37">
        <f t="shared" si="148"/>
        <v>30648</v>
      </c>
      <c r="AA131" s="37">
        <f t="shared" si="148"/>
        <v>47356</v>
      </c>
      <c r="AB131" s="37">
        <f t="shared" si="148"/>
        <v>40039</v>
      </c>
      <c r="AC131" s="37">
        <f t="shared" si="148"/>
        <v>42476</v>
      </c>
      <c r="AD131" s="37">
        <f t="shared" si="148"/>
        <v>42004.176379999997</v>
      </c>
      <c r="AE131" s="37">
        <f t="shared" si="148"/>
        <v>47223.823620000003</v>
      </c>
      <c r="AF131" s="37">
        <f t="shared" si="148"/>
        <v>39606</v>
      </c>
      <c r="AG131" s="37">
        <f t="shared" si="148"/>
        <v>33503.688999999998</v>
      </c>
      <c r="AH131" s="37">
        <f t="shared" si="148"/>
        <v>51185.145000000004</v>
      </c>
      <c r="AI131" s="37">
        <f t="shared" ref="AI131:AJ131" si="149">SUM(AI122:AI130)</f>
        <v>67273.85020999999</v>
      </c>
      <c r="AJ131" s="37">
        <f t="shared" si="149"/>
        <v>58404</v>
      </c>
      <c r="AK131" s="36">
        <f t="shared" ref="AK131" si="150">AJ131/AF131-1</f>
        <v>0.47462505680957423</v>
      </c>
      <c r="AL131" s="36">
        <f t="shared" ref="AL131" si="151">AJ131/AI131-1</f>
        <v>-0.13184692391340969</v>
      </c>
    </row>
    <row r="132" spans="1:40" s="39" customFormat="1" ht="9.75" customHeight="1" outlineLevel="1" x14ac:dyDescent="0.25">
      <c r="A132" s="81"/>
      <c r="P132" s="95"/>
      <c r="Q132" s="95"/>
      <c r="R132" s="95"/>
      <c r="S132" s="95"/>
      <c r="T132" s="95"/>
      <c r="U132" s="95"/>
      <c r="V132" s="95"/>
      <c r="W132" s="95"/>
      <c r="X132" s="95"/>
      <c r="Y132" s="95"/>
    </row>
    <row r="133" spans="1:40" s="39" customFormat="1" ht="18" outlineLevel="1" x14ac:dyDescent="0.25">
      <c r="A133" s="81"/>
      <c r="B133" s="50" t="s">
        <v>157</v>
      </c>
      <c r="P133" s="95"/>
      <c r="Q133" s="95"/>
      <c r="R133" s="95"/>
      <c r="S133" s="95"/>
      <c r="T133" s="95"/>
      <c r="U133" s="95"/>
      <c r="V133" s="95"/>
      <c r="W133" s="95"/>
      <c r="X133" s="95"/>
      <c r="Y133" s="95"/>
      <c r="Z133" s="95"/>
      <c r="AA133" s="95"/>
      <c r="AB133" s="95"/>
      <c r="AC133" s="95"/>
      <c r="AD133" s="95"/>
      <c r="AE133" s="95"/>
      <c r="AF133" s="95"/>
      <c r="AG133" s="95"/>
      <c r="AH133" s="95"/>
      <c r="AI133" s="95"/>
      <c r="AJ133" s="95"/>
    </row>
    <row r="134" spans="1:40" s="39" customFormat="1" ht="18" outlineLevel="1" x14ac:dyDescent="0.25">
      <c r="A134" s="81"/>
      <c r="B134" s="50" t="s">
        <v>296</v>
      </c>
      <c r="V134" s="95"/>
      <c r="W134" s="95"/>
      <c r="X134" s="95"/>
      <c r="Y134" s="95"/>
      <c r="Z134" s="95"/>
      <c r="AA134" s="95"/>
      <c r="AB134" s="95"/>
      <c r="AC134" s="95"/>
      <c r="AD134" s="95"/>
      <c r="AE134" s="95"/>
      <c r="AF134" s="95"/>
      <c r="AG134" s="95"/>
      <c r="AH134" s="95"/>
      <c r="AI134" s="95"/>
      <c r="AJ134" s="95"/>
    </row>
    <row r="135" spans="1:40" x14ac:dyDescent="0.25">
      <c r="A135" s="63" t="s">
        <v>145</v>
      </c>
      <c r="V135" s="97"/>
      <c r="W135" s="97"/>
      <c r="X135" s="97"/>
      <c r="Y135" s="97"/>
      <c r="Z135" s="97"/>
      <c r="AA135" s="97"/>
      <c r="AB135" s="97"/>
      <c r="AC135" s="97"/>
      <c r="AD135" s="97"/>
      <c r="AE135" s="97"/>
      <c r="AF135" s="97"/>
      <c r="AG135" s="97"/>
      <c r="AH135" s="97"/>
      <c r="AI135" s="97"/>
      <c r="AJ135" s="97"/>
    </row>
    <row r="136" spans="1:40" ht="18" x14ac:dyDescent="0.25">
      <c r="A136" s="38"/>
      <c r="V136" s="97"/>
      <c r="W136" s="97"/>
      <c r="X136" s="97"/>
      <c r="Y136" s="97"/>
      <c r="Z136" s="97"/>
      <c r="AA136" s="97"/>
      <c r="AB136" s="97"/>
      <c r="AC136" s="97"/>
      <c r="AD136" s="97"/>
      <c r="AE136" s="97"/>
      <c r="AF136" s="97"/>
      <c r="AG136" s="97"/>
      <c r="AH136" s="97"/>
      <c r="AI136" s="97"/>
      <c r="AJ136" s="97"/>
    </row>
    <row r="137" spans="1:40" ht="18" x14ac:dyDescent="0.25">
      <c r="A137" s="38"/>
      <c r="Z137" t="s">
        <v>85</v>
      </c>
      <c r="AL137" t="s">
        <v>85</v>
      </c>
    </row>
    <row r="138" spans="1:40" ht="18" x14ac:dyDescent="0.25">
      <c r="A138" s="38"/>
    </row>
    <row r="139" spans="1:40" ht="18" x14ac:dyDescent="0.25">
      <c r="A139" s="38"/>
    </row>
  </sheetData>
  <pageMargins left="0.7" right="0.7" top="0.75" bottom="0.75" header="0.3" footer="0.3"/>
  <pageSetup paperSize="9" orientation="portrait" r:id="rId1"/>
  <ignoredErrors>
    <ignoredError sqref="H65:H73 H84:H86 I24:K24 G19:G21 H53:H55 I19:J21 H37:J37 H48:H51 H75:H76 H57:H63 H40:J40 J30:J34 I31:I34 H19:H34 H42:H46 H78:H80 K52:K65 K122:K130 K113:K119 AE11:AJ11 K21 S109:AA109 AB109:AG109 S108:AD108 AE108:AG108 AH108:AH109" formulaRange="1"/>
    <ignoredError sqref="AH42 AH45"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04c0e6-f008-4d44-9eb4-af0fd9b81d62">
      <Terms xmlns="http://schemas.microsoft.com/office/infopath/2007/PartnerControls"/>
    </lcf76f155ced4ddcb4097134ff3c332f>
    <TaxCatchAll xmlns="3d1dbeaf-a16b-42bf-a133-7db7f48639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EBF19CDB1F84046ABE0E817948D7133" ma:contentTypeVersion="18" ma:contentTypeDescription="Crie um novo documento." ma:contentTypeScope="" ma:versionID="3918ffec130994d85d6a5969e083efb3">
  <xsd:schema xmlns:xsd="http://www.w3.org/2001/XMLSchema" xmlns:xs="http://www.w3.org/2001/XMLSchema" xmlns:p="http://schemas.microsoft.com/office/2006/metadata/properties" xmlns:ns2="2504c0e6-f008-4d44-9eb4-af0fd9b81d62" xmlns:ns3="1527e372-19af-48ec-bae7-7cb9ff820328" xmlns:ns4="3d1dbeaf-a16b-42bf-a133-7db7f4863986" targetNamespace="http://schemas.microsoft.com/office/2006/metadata/properties" ma:root="true" ma:fieldsID="6ba65e6493c59cec1a131afc2895c1ae" ns2:_="" ns3:_="" ns4:_="">
    <xsd:import namespace="2504c0e6-f008-4d44-9eb4-af0fd9b81d62"/>
    <xsd:import namespace="1527e372-19af-48ec-bae7-7cb9ff820328"/>
    <xsd:import namespace="3d1dbeaf-a16b-42bf-a133-7db7f486398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DateTaken" minOccurs="0"/>
                <xsd:element ref="ns2:MediaServiceAutoKeyPoints" minOccurs="0"/>
                <xsd:element ref="ns2:MediaServiceKeyPoint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04c0e6-f008-4d44-9eb4-af0fd9b81d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12923e3-8128-43d8-835b-173141a7ea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27e372-19af-48ec-bae7-7cb9ff820328"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1dbeaf-a16b-42bf-a133-7db7f486398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6812d27-0aea-4758-a21a-bb1f728c077c}" ma:internalName="TaxCatchAll" ma:showField="CatchAllData" ma:web="3d1dbeaf-a16b-42bf-a133-7db7f48639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2BE38E-E487-47A4-9616-57CD9B95780B}">
  <ds:schemaRefs>
    <ds:schemaRef ds:uri="http://schemas.microsoft.com/sharepoint/v3/contenttype/forms"/>
  </ds:schemaRefs>
</ds:datastoreItem>
</file>

<file path=customXml/itemProps2.xml><?xml version="1.0" encoding="utf-8"?>
<ds:datastoreItem xmlns:ds="http://schemas.openxmlformats.org/officeDocument/2006/customXml" ds:itemID="{E8DBFA34-B1E1-41DE-9691-DD99F3DFCDE3}">
  <ds:schemaRefs>
    <ds:schemaRef ds:uri="http://schemas.microsoft.com/office/2006/metadata/properties"/>
    <ds:schemaRef ds:uri="http://purl.org/dc/dcmitype/"/>
    <ds:schemaRef ds:uri="http://purl.org/dc/elements/1.1/"/>
    <ds:schemaRef ds:uri="http://schemas.microsoft.com/office/2006/documentManagement/types"/>
    <ds:schemaRef ds:uri="3d1dbeaf-a16b-42bf-a133-7db7f4863986"/>
    <ds:schemaRef ds:uri="1527e372-19af-48ec-bae7-7cb9ff820328"/>
    <ds:schemaRef ds:uri="http://schemas.microsoft.com/office/infopath/2007/PartnerControls"/>
    <ds:schemaRef ds:uri="http://schemas.openxmlformats.org/package/2006/metadata/core-properties"/>
    <ds:schemaRef ds:uri="2504c0e6-f008-4d44-9eb4-af0fd9b81d62"/>
    <ds:schemaRef ds:uri="http://www.w3.org/XML/1998/namespace"/>
    <ds:schemaRef ds:uri="http://purl.org/dc/terms/"/>
  </ds:schemaRefs>
</ds:datastoreItem>
</file>

<file path=customXml/itemProps3.xml><?xml version="1.0" encoding="utf-8"?>
<ds:datastoreItem xmlns:ds="http://schemas.openxmlformats.org/officeDocument/2006/customXml" ds:itemID="{EB135902-F23E-49EC-9F22-4D5BC80C35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04c0e6-f008-4d44-9eb4-af0fd9b81d62"/>
    <ds:schemaRef ds:uri="1527e372-19af-48ec-bae7-7cb9ff820328"/>
    <ds:schemaRef ds:uri="3d1dbeaf-a16b-42bf-a133-7db7f48639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Armac 1T-1Q 2025</vt:lpstr>
      <vt:lpstr>DRE - Income Statement</vt:lpstr>
      <vt:lpstr>BP - Balance Sheet</vt:lpstr>
      <vt:lpstr>DFC - Cash Flow Statement</vt:lpstr>
      <vt:lpstr>KPIs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Guilherme Fregulia</dc:creator>
  <cp:lastModifiedBy>Julio Molina De Moraes</cp:lastModifiedBy>
  <cp:lastPrinted>2023-11-07T18:45:51Z</cp:lastPrinted>
  <dcterms:created xsi:type="dcterms:W3CDTF">2021-08-16T17:53:49Z</dcterms:created>
  <dcterms:modified xsi:type="dcterms:W3CDTF">2025-05-20T13:49:43Z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0x010100FEBF19CDB1F84046ABE0E817948D7133</vt:lpwstr>
  </property>
  <property fmtid="{D5CDD505-2E9C-101B-9397-08002B2CF9AE}" pid="3" name="Order">
    <vt:r8>8500</vt:r8>
  </property>
  <property fmtid="{D5CDD505-2E9C-101B-9397-08002B2CF9AE}" pid="4" name="MediaServiceImageTags">
    <vt:lpwstr/>
  </property>
</Properties>
</file>