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SU\Contabil\Controladoria\Demonstrações Financeiras\Releases\2022\3T2022\Planilha Dinâmica 3T2022\"/>
    </mc:Choice>
  </mc:AlternateContent>
  <bookViews>
    <workbookView showHorizontalScroll="0" showVerticalScroll="0" xWindow="0" yWindow="0" windowWidth="19200" windowHeight="6930" tabRatio="857"/>
  </bookViews>
  <sheets>
    <sheet name="Índice" sheetId="17" r:id="rId1"/>
    <sheet name="1| Balanço Patrimonial" sheetId="3" r:id="rId2"/>
    <sheet name="2| DRE" sheetId="2" r:id="rId3"/>
    <sheet name="3| Fluxo de Caixa" sheetId="1" r:id="rId4"/>
    <sheet name="4| Dívida Líquida" sheetId="4" r:id="rId5"/>
    <sheet name="5| EBITDA" sheetId="5" r:id="rId6"/>
    <sheet name="6| Lucro Líquido" sheetId="13" r:id="rId7"/>
    <sheet name="7| Impostos" sheetId="12" r:id="rId8"/>
    <sheet name="8| CPV" sheetId="6" r:id="rId9"/>
    <sheet name="9| SG&amp;A" sheetId="7" r:id="rId10"/>
    <sheet name="10| Investimentos" sheetId="16" r:id="rId11"/>
    <sheet name="11| Caixa Livre" sheetId="15" r:id="rId12"/>
    <sheet name="12| ROIC" sheetId="10" r:id="rId13"/>
    <sheet name="13| Receita por Marca e Canal" sheetId="9" r:id="rId14"/>
    <sheet name="14| Quantidade de Lojas" sheetId="14" r:id="rId15"/>
  </sheets>
  <calcPr calcId="162913"/>
</workbook>
</file>

<file path=xl/calcChain.xml><?xml version="1.0" encoding="utf-8"?>
<calcChain xmlns="http://schemas.openxmlformats.org/spreadsheetml/2006/main">
  <c r="C11" i="15" l="1"/>
  <c r="G11" i="15"/>
  <c r="R19" i="5" l="1"/>
  <c r="C8" i="13" l="1"/>
  <c r="C16" i="13"/>
  <c r="C33" i="5"/>
  <c r="D33" i="5"/>
  <c r="C26" i="5"/>
  <c r="D26" i="5"/>
  <c r="C11" i="5" l="1"/>
  <c r="C10" i="5"/>
  <c r="C9" i="5"/>
  <c r="C8" i="5"/>
  <c r="C32" i="5"/>
  <c r="C34" i="5" s="1"/>
  <c r="C8" i="1" l="1"/>
  <c r="C8" i="4" l="1"/>
  <c r="C11" i="4"/>
  <c r="C10" i="4"/>
  <c r="C9" i="4"/>
  <c r="C16" i="12"/>
  <c r="C15" i="12"/>
  <c r="C8" i="12"/>
  <c r="C67" i="3" l="1"/>
  <c r="C66" i="3"/>
  <c r="C65" i="3"/>
  <c r="C64" i="3"/>
  <c r="C23" i="9" l="1"/>
  <c r="C22" i="9"/>
  <c r="C21" i="9"/>
  <c r="C20" i="9"/>
  <c r="D22" i="9"/>
  <c r="C13" i="14" l="1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C33" i="9"/>
  <c r="C46" i="9"/>
  <c r="C57" i="9"/>
  <c r="C50" i="9"/>
  <c r="C39" i="9"/>
  <c r="C26" i="9"/>
  <c r="C18" i="9"/>
  <c r="E15" i="9"/>
  <c r="C15" i="9"/>
  <c r="C21" i="15"/>
  <c r="C19" i="15"/>
  <c r="C18" i="15"/>
  <c r="C17" i="15"/>
  <c r="C16" i="15"/>
  <c r="C15" i="15"/>
  <c r="C12" i="15"/>
  <c r="C19" i="16"/>
  <c r="C8" i="7"/>
  <c r="C44" i="7"/>
  <c r="C25" i="7"/>
  <c r="C18" i="7"/>
  <c r="C27" i="7" l="1"/>
  <c r="C24" i="9"/>
  <c r="C14" i="15"/>
  <c r="C10" i="15"/>
  <c r="C15" i="6"/>
  <c r="C8" i="6"/>
  <c r="C17" i="12"/>
  <c r="C13" i="12"/>
  <c r="C12" i="12"/>
  <c r="C17" i="13"/>
  <c r="C18" i="13" s="1"/>
  <c r="C12" i="5"/>
  <c r="C8" i="15" s="1"/>
  <c r="C12" i="4"/>
  <c r="C19" i="5" l="1"/>
  <c r="C20" i="5" s="1"/>
  <c r="C23" i="5"/>
  <c r="C23" i="15"/>
  <c r="C16" i="6"/>
  <c r="C52" i="1"/>
  <c r="C11" i="1" s="1"/>
  <c r="C45" i="1"/>
  <c r="C10" i="1" s="1"/>
  <c r="D12" i="2"/>
  <c r="D21" i="2" s="1"/>
  <c r="D24" i="2" s="1"/>
  <c r="C68" i="3"/>
  <c r="C9" i="10" s="1"/>
  <c r="C59" i="3"/>
  <c r="C49" i="3"/>
  <c r="C41" i="3"/>
  <c r="C28" i="3"/>
  <c r="C23" i="3"/>
  <c r="C17" i="3"/>
  <c r="C24" i="5" l="1"/>
  <c r="C29" i="5"/>
  <c r="C14" i="1"/>
  <c r="C40" i="1" s="1"/>
  <c r="C9" i="1" s="1"/>
  <c r="C12" i="1" s="1"/>
  <c r="D26" i="2"/>
  <c r="D30" i="2" s="1"/>
  <c r="C61" i="3"/>
  <c r="C30" i="3"/>
  <c r="M21" i="15"/>
  <c r="L21" i="15"/>
  <c r="K21" i="15"/>
  <c r="J21" i="15"/>
  <c r="I21" i="15"/>
  <c r="H21" i="15"/>
  <c r="G21" i="15"/>
  <c r="F21" i="15"/>
  <c r="E21" i="15"/>
  <c r="M19" i="15"/>
  <c r="L19" i="15"/>
  <c r="K19" i="15"/>
  <c r="J19" i="15"/>
  <c r="I19" i="15"/>
  <c r="H19" i="15"/>
  <c r="G19" i="15"/>
  <c r="F19" i="15"/>
  <c r="E19" i="15"/>
  <c r="M18" i="15"/>
  <c r="L18" i="15"/>
  <c r="K18" i="15"/>
  <c r="J18" i="15"/>
  <c r="I18" i="15"/>
  <c r="H18" i="15"/>
  <c r="G18" i="15"/>
  <c r="F18" i="15"/>
  <c r="E18" i="15"/>
  <c r="M17" i="15"/>
  <c r="L17" i="15"/>
  <c r="K17" i="15"/>
  <c r="J17" i="15"/>
  <c r="I17" i="15"/>
  <c r="H17" i="15"/>
  <c r="G17" i="15"/>
  <c r="F17" i="15"/>
  <c r="E17" i="15"/>
  <c r="M16" i="15"/>
  <c r="L16" i="15"/>
  <c r="K16" i="15"/>
  <c r="J16" i="15"/>
  <c r="I16" i="15"/>
  <c r="H16" i="15"/>
  <c r="G16" i="15"/>
  <c r="F16" i="15"/>
  <c r="E16" i="15"/>
  <c r="M15" i="15"/>
  <c r="L15" i="15"/>
  <c r="K15" i="15"/>
  <c r="J15" i="15"/>
  <c r="I15" i="15"/>
  <c r="H15" i="15"/>
  <c r="G15" i="15"/>
  <c r="F15" i="15"/>
  <c r="E15" i="15"/>
  <c r="D21" i="15"/>
  <c r="D19" i="15"/>
  <c r="D18" i="15"/>
  <c r="D17" i="15"/>
  <c r="D16" i="15"/>
  <c r="D15" i="15"/>
  <c r="M12" i="15"/>
  <c r="L12" i="15"/>
  <c r="K12" i="15"/>
  <c r="J12" i="15"/>
  <c r="I12" i="15"/>
  <c r="H12" i="15"/>
  <c r="G12" i="15"/>
  <c r="F12" i="15"/>
  <c r="E12" i="15"/>
  <c r="M11" i="15"/>
  <c r="L11" i="15"/>
  <c r="K11" i="15"/>
  <c r="J11" i="15"/>
  <c r="I11" i="15"/>
  <c r="H11" i="15"/>
  <c r="F11" i="15"/>
  <c r="E11" i="15"/>
  <c r="D12" i="15"/>
  <c r="D11" i="15"/>
  <c r="F13" i="16"/>
  <c r="F19" i="16" s="1"/>
  <c r="L23" i="9"/>
  <c r="K23" i="9"/>
  <c r="J23" i="9"/>
  <c r="I23" i="9"/>
  <c r="H23" i="9"/>
  <c r="G23" i="9"/>
  <c r="E23" i="9"/>
  <c r="P22" i="9"/>
  <c r="L22" i="9"/>
  <c r="K22" i="9"/>
  <c r="J22" i="9"/>
  <c r="I22" i="9"/>
  <c r="H22" i="9"/>
  <c r="G22" i="9"/>
  <c r="E22" i="9"/>
  <c r="P21" i="9"/>
  <c r="L21" i="9"/>
  <c r="K21" i="9"/>
  <c r="J21" i="9"/>
  <c r="I21" i="9"/>
  <c r="H21" i="9"/>
  <c r="G21" i="9"/>
  <c r="E21" i="9"/>
  <c r="P20" i="9"/>
  <c r="L20" i="9"/>
  <c r="K20" i="9"/>
  <c r="J20" i="9"/>
  <c r="I20" i="9"/>
  <c r="H20" i="9"/>
  <c r="G20" i="9"/>
  <c r="E20" i="9"/>
  <c r="D20" i="9"/>
  <c r="D21" i="9"/>
  <c r="D23" i="9"/>
  <c r="D19" i="16"/>
  <c r="E19" i="16"/>
  <c r="G19" i="16"/>
  <c r="H19" i="16"/>
  <c r="I19" i="16"/>
  <c r="J19" i="16"/>
  <c r="G10" i="15" l="1"/>
  <c r="H10" i="15"/>
  <c r="K14" i="15"/>
  <c r="L14" i="15"/>
  <c r="E10" i="15"/>
  <c r="M10" i="15"/>
  <c r="D14" i="15"/>
  <c r="F14" i="15"/>
  <c r="H14" i="15"/>
  <c r="D10" i="15"/>
  <c r="I10" i="15"/>
  <c r="K10" i="15"/>
  <c r="J10" i="15"/>
  <c r="E14" i="15"/>
  <c r="M14" i="15"/>
  <c r="L10" i="15"/>
  <c r="G14" i="15"/>
  <c r="F10" i="15"/>
  <c r="J14" i="15"/>
  <c r="I14" i="15"/>
  <c r="D16" i="13"/>
  <c r="D66" i="3" l="1"/>
  <c r="D29" i="7" l="1"/>
  <c r="D65" i="3" l="1"/>
  <c r="D64" i="3"/>
  <c r="D43" i="7" l="1"/>
  <c r="D13" i="14" l="1"/>
  <c r="D8" i="7"/>
  <c r="D27" i="7" s="1"/>
  <c r="D44" i="7"/>
  <c r="D25" i="7"/>
  <c r="D18" i="7"/>
  <c r="D15" i="6"/>
  <c r="D8" i="6"/>
  <c r="D16" i="12"/>
  <c r="D12" i="12"/>
  <c r="D8" i="12"/>
  <c r="D13" i="12" s="1"/>
  <c r="D57" i="9"/>
  <c r="D46" i="9"/>
  <c r="D33" i="9"/>
  <c r="D15" i="9"/>
  <c r="D32" i="5"/>
  <c r="D11" i="5"/>
  <c r="D10" i="5"/>
  <c r="D9" i="5"/>
  <c r="E9" i="5"/>
  <c r="E10" i="5"/>
  <c r="E11" i="5"/>
  <c r="E32" i="5"/>
  <c r="E33" i="5" s="1"/>
  <c r="D9" i="4"/>
  <c r="D10" i="4"/>
  <c r="D11" i="4"/>
  <c r="D8" i="4"/>
  <c r="D24" i="9" l="1"/>
  <c r="D16" i="6"/>
  <c r="D12" i="4"/>
  <c r="D52" i="1" l="1"/>
  <c r="D11" i="1" s="1"/>
  <c r="D45" i="1"/>
  <c r="D10" i="1" s="1"/>
  <c r="E12" i="2"/>
  <c r="E21" i="2" s="1"/>
  <c r="E24" i="2" l="1"/>
  <c r="D15" i="12"/>
  <c r="D17" i="12" s="1"/>
  <c r="D49" i="3"/>
  <c r="D41" i="3"/>
  <c r="E26" i="2" l="1"/>
  <c r="E30" i="2" s="1"/>
  <c r="D8" i="5"/>
  <c r="D12" i="5" s="1"/>
  <c r="D8" i="13"/>
  <c r="D17" i="13" s="1"/>
  <c r="D18" i="13" s="1"/>
  <c r="D14" i="1"/>
  <c r="D40" i="1" s="1"/>
  <c r="D9" i="1" s="1"/>
  <c r="D23" i="3"/>
  <c r="D28" i="3"/>
  <c r="D59" i="3"/>
  <c r="D63" i="3" s="1"/>
  <c r="D8" i="15" l="1"/>
  <c r="D23" i="15" s="1"/>
  <c r="D23" i="5"/>
  <c r="D19" i="5"/>
  <c r="D20" i="5" s="1"/>
  <c r="D61" i="3"/>
  <c r="D17" i="3"/>
  <c r="D30" i="3" s="1"/>
  <c r="D67" i="3"/>
  <c r="I8" i="14"/>
  <c r="I13" i="14" s="1"/>
  <c r="O8" i="14"/>
  <c r="O13" i="14" s="1"/>
  <c r="N8" i="14"/>
  <c r="N13" i="14" s="1"/>
  <c r="M8" i="14"/>
  <c r="M13" i="14" s="1"/>
  <c r="H8" i="14"/>
  <c r="H13" i="14" s="1"/>
  <c r="L12" i="14"/>
  <c r="L11" i="14"/>
  <c r="L10" i="14"/>
  <c r="L9" i="14"/>
  <c r="G12" i="14"/>
  <c r="G11" i="14"/>
  <c r="G10" i="14"/>
  <c r="G9" i="14"/>
  <c r="Q8" i="14"/>
  <c r="Q13" i="14" s="1"/>
  <c r="P8" i="14"/>
  <c r="P13" i="14" s="1"/>
  <c r="K8" i="14"/>
  <c r="K13" i="14" s="1"/>
  <c r="L13" i="14" s="1"/>
  <c r="F8" i="14"/>
  <c r="F13" i="14" s="1"/>
  <c r="G13" i="14" s="1"/>
  <c r="J13" i="14"/>
  <c r="E13" i="14"/>
  <c r="D24" i="5" l="1"/>
  <c r="G8" i="14"/>
  <c r="L8" i="14"/>
  <c r="P66" i="3"/>
  <c r="P65" i="3"/>
  <c r="P64" i="3"/>
  <c r="P63" i="3"/>
  <c r="C27" i="5" l="1"/>
  <c r="P67" i="3"/>
  <c r="P32" i="9"/>
  <c r="O32" i="9"/>
  <c r="N32" i="9"/>
  <c r="M32" i="9"/>
  <c r="L32" i="9"/>
  <c r="M11" i="5"/>
  <c r="J11" i="5"/>
  <c r="M66" i="3" l="1"/>
  <c r="M65" i="3"/>
  <c r="M64" i="3"/>
  <c r="M63" i="3"/>
  <c r="L66" i="3"/>
  <c r="L65" i="3"/>
  <c r="L64" i="3"/>
  <c r="L63" i="3"/>
  <c r="K66" i="3"/>
  <c r="K65" i="3"/>
  <c r="K64" i="3"/>
  <c r="K63" i="3"/>
  <c r="O66" i="3"/>
  <c r="N66" i="3"/>
  <c r="J66" i="3"/>
  <c r="I66" i="3"/>
  <c r="H66" i="3"/>
  <c r="G66" i="3"/>
  <c r="F66" i="3"/>
  <c r="O65" i="3"/>
  <c r="N65" i="3"/>
  <c r="J65" i="3"/>
  <c r="I65" i="3"/>
  <c r="H65" i="3"/>
  <c r="G65" i="3"/>
  <c r="F65" i="3"/>
  <c r="O64" i="3"/>
  <c r="N64" i="3"/>
  <c r="J64" i="3"/>
  <c r="I64" i="3"/>
  <c r="H64" i="3"/>
  <c r="G64" i="3"/>
  <c r="F64" i="3"/>
  <c r="E66" i="3"/>
  <c r="E65" i="3"/>
  <c r="E64" i="3"/>
  <c r="K67" i="3" l="1"/>
  <c r="L67" i="3"/>
  <c r="M67" i="3"/>
  <c r="Q33" i="5"/>
  <c r="P33" i="5"/>
  <c r="O33" i="5"/>
  <c r="Q10" i="5"/>
  <c r="Q12" i="5" s="1"/>
  <c r="Q9" i="5"/>
  <c r="P23" i="5"/>
  <c r="P24" i="5" s="1"/>
  <c r="O23" i="5"/>
  <c r="O26" i="5" s="1"/>
  <c r="P19" i="5"/>
  <c r="O19" i="5"/>
  <c r="P12" i="5"/>
  <c r="O12" i="5"/>
  <c r="P10" i="5"/>
  <c r="O10" i="5"/>
  <c r="P9" i="5"/>
  <c r="O9" i="5"/>
  <c r="O8" i="5"/>
  <c r="P8" i="5"/>
  <c r="Q8" i="5"/>
  <c r="O24" i="5" l="1"/>
  <c r="O27" i="5" s="1"/>
  <c r="Q23" i="5"/>
  <c r="Q19" i="5"/>
  <c r="E10" i="4"/>
  <c r="R32" i="5"/>
  <c r="R34" i="5" s="1"/>
  <c r="N32" i="5"/>
  <c r="M32" i="5"/>
  <c r="M33" i="5" s="1"/>
  <c r="L32" i="5"/>
  <c r="K32" i="5"/>
  <c r="J32" i="5"/>
  <c r="I32" i="5"/>
  <c r="I33" i="5" s="1"/>
  <c r="H32" i="5"/>
  <c r="G32" i="5"/>
  <c r="F32" i="5"/>
  <c r="G33" i="5" l="1"/>
  <c r="J33" i="5"/>
  <c r="Q24" i="5"/>
  <c r="P27" i="5" s="1"/>
  <c r="Q26" i="5"/>
  <c r="P26" i="5"/>
  <c r="F33" i="5"/>
  <c r="D34" i="5" s="1"/>
  <c r="K33" i="5"/>
  <c r="N34" i="5"/>
  <c r="N33" i="5"/>
  <c r="L33" i="5"/>
  <c r="H33" i="5"/>
  <c r="F11" i="5"/>
  <c r="I11" i="5"/>
  <c r="K11" i="5"/>
  <c r="L11" i="5"/>
  <c r="P56" i="9"/>
  <c r="Q27" i="5" l="1"/>
  <c r="G34" i="5"/>
  <c r="E34" i="5"/>
  <c r="F34" i="5"/>
  <c r="K34" i="5"/>
  <c r="I34" i="5"/>
  <c r="L34" i="5"/>
  <c r="M34" i="5"/>
  <c r="H34" i="5"/>
  <c r="J34" i="5"/>
  <c r="O56" i="9"/>
  <c r="N56" i="9"/>
  <c r="M56" i="9"/>
  <c r="N52" i="9"/>
  <c r="L56" i="9"/>
  <c r="O33" i="9" l="1"/>
  <c r="N33" i="9"/>
  <c r="M33" i="9"/>
  <c r="L33" i="9"/>
  <c r="K33" i="9"/>
  <c r="J33" i="9"/>
  <c r="I33" i="9"/>
  <c r="H33" i="9"/>
  <c r="G33" i="9"/>
  <c r="F33" i="9"/>
  <c r="E33" i="9"/>
  <c r="E24" i="9" s="1"/>
  <c r="G11" i="5" l="1"/>
  <c r="H11" i="5"/>
  <c r="N11" i="5"/>
  <c r="R11" i="5"/>
  <c r="O44" i="7" l="1"/>
  <c r="N44" i="7"/>
  <c r="M44" i="7"/>
  <c r="L44" i="7"/>
  <c r="K44" i="7"/>
  <c r="J44" i="7"/>
  <c r="I44" i="7"/>
  <c r="H44" i="7"/>
  <c r="G44" i="7"/>
  <c r="F44" i="7"/>
  <c r="E44" i="7"/>
  <c r="P45" i="9" l="1"/>
  <c r="P46" i="9" s="1"/>
  <c r="L46" i="9"/>
  <c r="K46" i="9"/>
  <c r="G46" i="9"/>
  <c r="H46" i="9"/>
  <c r="I46" i="9"/>
  <c r="J46" i="9"/>
  <c r="E46" i="9"/>
  <c r="F45" i="9"/>
  <c r="F44" i="9"/>
  <c r="F43" i="9"/>
  <c r="F42" i="9"/>
  <c r="F41" i="9"/>
  <c r="P13" i="9"/>
  <c r="P23" i="9" s="1"/>
  <c r="F14" i="9"/>
  <c r="F13" i="9"/>
  <c r="F23" i="9" s="1"/>
  <c r="F12" i="9"/>
  <c r="F22" i="9" s="1"/>
  <c r="F11" i="9"/>
  <c r="F21" i="9" s="1"/>
  <c r="F10" i="9"/>
  <c r="F20" i="9" s="1"/>
  <c r="F46" i="9" l="1"/>
  <c r="E25" i="7" l="1"/>
  <c r="E18" i="7"/>
  <c r="E8" i="7"/>
  <c r="E15" i="6"/>
  <c r="E8" i="6"/>
  <c r="E16" i="12"/>
  <c r="E12" i="12"/>
  <c r="E8" i="12"/>
  <c r="E13" i="12" s="1"/>
  <c r="E57" i="9"/>
  <c r="E11" i="4"/>
  <c r="E9" i="4"/>
  <c r="E8" i="4"/>
  <c r="E52" i="1"/>
  <c r="E11" i="1" s="1"/>
  <c r="E45" i="1"/>
  <c r="E10" i="1" s="1"/>
  <c r="F12" i="2"/>
  <c r="F21" i="2" s="1"/>
  <c r="F24" i="2" s="1"/>
  <c r="E59" i="3"/>
  <c r="E63" i="3" s="1"/>
  <c r="E67" i="3" s="1"/>
  <c r="E49" i="3"/>
  <c r="E41" i="3"/>
  <c r="E28" i="3"/>
  <c r="E23" i="3"/>
  <c r="E17" i="3"/>
  <c r="K25" i="7"/>
  <c r="G25" i="7"/>
  <c r="G23" i="7"/>
  <c r="K18" i="7"/>
  <c r="G18" i="7"/>
  <c r="K15" i="6"/>
  <c r="G15" i="6"/>
  <c r="K12" i="12"/>
  <c r="G12" i="12"/>
  <c r="L25" i="7"/>
  <c r="H25" i="7"/>
  <c r="L18" i="7"/>
  <c r="H18" i="7"/>
  <c r="L15" i="6"/>
  <c r="H15" i="6"/>
  <c r="L12" i="12"/>
  <c r="H12" i="12"/>
  <c r="M25" i="7"/>
  <c r="I25" i="7"/>
  <c r="M18" i="7"/>
  <c r="I18" i="7"/>
  <c r="M15" i="6"/>
  <c r="I15" i="6"/>
  <c r="M12" i="12"/>
  <c r="I12" i="12"/>
  <c r="O12" i="12"/>
  <c r="N12" i="12"/>
  <c r="O25" i="7"/>
  <c r="N25" i="7"/>
  <c r="O18" i="7"/>
  <c r="N18" i="7"/>
  <c r="O15" i="6"/>
  <c r="N15" i="6"/>
  <c r="O16" i="12"/>
  <c r="N16" i="12"/>
  <c r="M16" i="12"/>
  <c r="L16" i="12"/>
  <c r="K16" i="12"/>
  <c r="J16" i="12"/>
  <c r="I16" i="12"/>
  <c r="H16" i="12"/>
  <c r="G16" i="12"/>
  <c r="F16" i="12"/>
  <c r="F8" i="7"/>
  <c r="G8" i="7"/>
  <c r="H8" i="7"/>
  <c r="I8" i="7"/>
  <c r="J8" i="7"/>
  <c r="K8" i="7"/>
  <c r="L8" i="7"/>
  <c r="M8" i="7"/>
  <c r="N8" i="7"/>
  <c r="O8" i="7"/>
  <c r="J25" i="7"/>
  <c r="F25" i="7"/>
  <c r="J18" i="7"/>
  <c r="F18" i="7"/>
  <c r="O8" i="6"/>
  <c r="N8" i="6"/>
  <c r="M8" i="6"/>
  <c r="L8" i="6"/>
  <c r="K8" i="6"/>
  <c r="J8" i="6"/>
  <c r="I8" i="6"/>
  <c r="H8" i="6"/>
  <c r="G8" i="6"/>
  <c r="F8" i="6"/>
  <c r="F16" i="6" s="1"/>
  <c r="J15" i="6"/>
  <c r="F15" i="6"/>
  <c r="J12" i="12"/>
  <c r="F12" i="12"/>
  <c r="O8" i="12"/>
  <c r="O13" i="12" s="1"/>
  <c r="N8" i="12"/>
  <c r="N13" i="12" s="1"/>
  <c r="M8" i="12"/>
  <c r="M13" i="12" s="1"/>
  <c r="L8" i="12"/>
  <c r="L13" i="12" s="1"/>
  <c r="K8" i="12"/>
  <c r="K13" i="12" s="1"/>
  <c r="J8" i="12"/>
  <c r="J13" i="12" s="1"/>
  <c r="I8" i="12"/>
  <c r="I13" i="12" s="1"/>
  <c r="H8" i="12"/>
  <c r="H13" i="12" s="1"/>
  <c r="G8" i="12"/>
  <c r="G13" i="12" s="1"/>
  <c r="F8" i="12"/>
  <c r="F13" i="12" s="1"/>
  <c r="P57" i="9"/>
  <c r="O57" i="9"/>
  <c r="N57" i="9"/>
  <c r="M57" i="9"/>
  <c r="L57" i="9"/>
  <c r="K57" i="9"/>
  <c r="J57" i="9"/>
  <c r="I57" i="9"/>
  <c r="H57" i="9"/>
  <c r="G57" i="9"/>
  <c r="F57" i="9"/>
  <c r="O46" i="9"/>
  <c r="N46" i="9"/>
  <c r="M46" i="9"/>
  <c r="O15" i="9"/>
  <c r="N15" i="9"/>
  <c r="M15" i="9"/>
  <c r="L15" i="9"/>
  <c r="L24" i="9" s="1"/>
  <c r="K15" i="9"/>
  <c r="K24" i="9" s="1"/>
  <c r="J15" i="9"/>
  <c r="J24" i="9" s="1"/>
  <c r="I15" i="9"/>
  <c r="I24" i="9" s="1"/>
  <c r="H15" i="9"/>
  <c r="H24" i="9" s="1"/>
  <c r="P15" i="9"/>
  <c r="G15" i="9"/>
  <c r="G24" i="9" s="1"/>
  <c r="F15" i="9"/>
  <c r="F24" i="9" s="1"/>
  <c r="F30" i="2" l="1"/>
  <c r="E8" i="5"/>
  <c r="E12" i="5" s="1"/>
  <c r="J27" i="7"/>
  <c r="F27" i="7"/>
  <c r="E8" i="13"/>
  <c r="E14" i="1"/>
  <c r="E40" i="1" s="1"/>
  <c r="E9" i="1" s="1"/>
  <c r="E15" i="12"/>
  <c r="E17" i="12" s="1"/>
  <c r="E16" i="6"/>
  <c r="E12" i="4"/>
  <c r="E30" i="3"/>
  <c r="E27" i="7"/>
  <c r="L27" i="7"/>
  <c r="N16" i="6"/>
  <c r="M16" i="6"/>
  <c r="M27" i="7"/>
  <c r="H16" i="6"/>
  <c r="H27" i="7"/>
  <c r="G16" i="6"/>
  <c r="I16" i="6"/>
  <c r="G27" i="7"/>
  <c r="J16" i="6"/>
  <c r="O16" i="6"/>
  <c r="E61" i="3"/>
  <c r="N27" i="7"/>
  <c r="I27" i="7"/>
  <c r="K27" i="7"/>
  <c r="K16" i="6"/>
  <c r="L16" i="6"/>
  <c r="O27" i="7"/>
  <c r="M10" i="5"/>
  <c r="L10" i="5"/>
  <c r="K10" i="5"/>
  <c r="J10" i="5"/>
  <c r="I10" i="5"/>
  <c r="H10" i="5"/>
  <c r="G10" i="5"/>
  <c r="M9" i="5"/>
  <c r="L9" i="5"/>
  <c r="K9" i="5"/>
  <c r="J9" i="5"/>
  <c r="I9" i="5"/>
  <c r="H9" i="5"/>
  <c r="G9" i="5"/>
  <c r="R10" i="5"/>
  <c r="N10" i="5"/>
  <c r="R9" i="5"/>
  <c r="N9" i="5"/>
  <c r="E19" i="5" l="1"/>
  <c r="E20" i="5" s="1"/>
  <c r="E23" i="5"/>
  <c r="E8" i="15"/>
  <c r="E23" i="15" s="1"/>
  <c r="E17" i="13"/>
  <c r="E18" i="13" s="1"/>
  <c r="E24" i="5" l="1"/>
  <c r="E26" i="5"/>
  <c r="F10" i="5"/>
  <c r="F9" i="5"/>
  <c r="L11" i="4"/>
  <c r="K11" i="4"/>
  <c r="J11" i="4"/>
  <c r="I11" i="4"/>
  <c r="H11" i="4"/>
  <c r="G11" i="4"/>
  <c r="L10" i="4"/>
  <c r="K10" i="4"/>
  <c r="J10" i="4"/>
  <c r="I10" i="4"/>
  <c r="H10" i="4"/>
  <c r="G10" i="4"/>
  <c r="F11" i="4"/>
  <c r="F10" i="4"/>
  <c r="F8" i="4"/>
  <c r="G8" i="4"/>
  <c r="H8" i="4"/>
  <c r="I8" i="4"/>
  <c r="J8" i="4"/>
  <c r="K8" i="4"/>
  <c r="L8" i="4"/>
  <c r="F9" i="4"/>
  <c r="G9" i="4"/>
  <c r="H9" i="4"/>
  <c r="I9" i="4"/>
  <c r="J9" i="4"/>
  <c r="K9" i="4"/>
  <c r="L9" i="4"/>
  <c r="O52" i="1"/>
  <c r="O11" i="1" s="1"/>
  <c r="O45" i="1"/>
  <c r="O10" i="1" s="1"/>
  <c r="N52" i="1"/>
  <c r="N11" i="1" s="1"/>
  <c r="N45" i="1"/>
  <c r="N10" i="1" s="1"/>
  <c r="P12" i="2"/>
  <c r="P21" i="2" s="1"/>
  <c r="P9" i="2"/>
  <c r="O12" i="2"/>
  <c r="O21" i="2" s="1"/>
  <c r="O9" i="2"/>
  <c r="O59" i="3"/>
  <c r="O63" i="3" s="1"/>
  <c r="O67" i="3" s="1"/>
  <c r="O68" i="3" s="1"/>
  <c r="O9" i="10" s="1"/>
  <c r="N59" i="3"/>
  <c r="N63" i="3" s="1"/>
  <c r="N67" i="3" s="1"/>
  <c r="O49" i="3"/>
  <c r="N49" i="3"/>
  <c r="O41" i="3"/>
  <c r="N41" i="3"/>
  <c r="O28" i="3"/>
  <c r="N28" i="3"/>
  <c r="O23" i="3"/>
  <c r="N23" i="3"/>
  <c r="O17" i="3"/>
  <c r="N17" i="3"/>
  <c r="M52" i="1"/>
  <c r="M11" i="1" s="1"/>
  <c r="M45" i="1"/>
  <c r="M10" i="1" s="1"/>
  <c r="I52" i="1"/>
  <c r="I11" i="1" s="1"/>
  <c r="I45" i="1"/>
  <c r="I10" i="1" s="1"/>
  <c r="N12" i="2"/>
  <c r="N21" i="2" s="1"/>
  <c r="J12" i="2"/>
  <c r="J21" i="2" s="1"/>
  <c r="N9" i="2"/>
  <c r="J9" i="2"/>
  <c r="I59" i="3"/>
  <c r="I49" i="3"/>
  <c r="I41" i="3"/>
  <c r="I28" i="3"/>
  <c r="J28" i="3"/>
  <c r="I23" i="3"/>
  <c r="I17" i="3"/>
  <c r="L52" i="1"/>
  <c r="L11" i="1" s="1"/>
  <c r="L45" i="1"/>
  <c r="L10" i="1" s="1"/>
  <c r="H52" i="1"/>
  <c r="H11" i="1" s="1"/>
  <c r="H45" i="1"/>
  <c r="H10" i="1" s="1"/>
  <c r="H59" i="3"/>
  <c r="H49" i="3"/>
  <c r="H41" i="3"/>
  <c r="H28" i="3"/>
  <c r="H23" i="3"/>
  <c r="H17" i="3"/>
  <c r="K52" i="1"/>
  <c r="K11" i="1" s="1"/>
  <c r="G52" i="1"/>
  <c r="G11" i="1" s="1"/>
  <c r="K45" i="1"/>
  <c r="K10" i="1" s="1"/>
  <c r="G45" i="1"/>
  <c r="G10" i="1" s="1"/>
  <c r="I9" i="2"/>
  <c r="M9" i="2"/>
  <c r="M12" i="2"/>
  <c r="M21" i="2" s="1"/>
  <c r="I12" i="2"/>
  <c r="I21" i="2" s="1"/>
  <c r="L12" i="2"/>
  <c r="L21" i="2" s="1"/>
  <c r="H12" i="2"/>
  <c r="H21" i="2" s="1"/>
  <c r="L9" i="2"/>
  <c r="H9" i="2"/>
  <c r="G59" i="3"/>
  <c r="F59" i="3"/>
  <c r="F63" i="3" s="1"/>
  <c r="F67" i="3" s="1"/>
  <c r="G49" i="3"/>
  <c r="G41" i="3"/>
  <c r="G28" i="3"/>
  <c r="G23" i="3"/>
  <c r="G17" i="3"/>
  <c r="J52" i="1"/>
  <c r="J11" i="1" s="1"/>
  <c r="F52" i="1"/>
  <c r="F11" i="1" s="1"/>
  <c r="J45" i="1"/>
  <c r="J10" i="1" s="1"/>
  <c r="F45" i="1"/>
  <c r="F10" i="1" s="1"/>
  <c r="K12" i="2"/>
  <c r="K21" i="2" s="1"/>
  <c r="G12" i="2"/>
  <c r="G21" i="2" s="1"/>
  <c r="K9" i="2"/>
  <c r="G9" i="2"/>
  <c r="J59" i="3"/>
  <c r="J63" i="3" s="1"/>
  <c r="J67" i="3" s="1"/>
  <c r="J49" i="3"/>
  <c r="F49" i="3"/>
  <c r="J41" i="3"/>
  <c r="F41" i="3"/>
  <c r="J17" i="3"/>
  <c r="F17" i="3"/>
  <c r="J23" i="3"/>
  <c r="F23" i="3"/>
  <c r="J30" i="3"/>
  <c r="F28" i="3"/>
  <c r="E27" i="5" l="1"/>
  <c r="D27" i="5"/>
  <c r="I30" i="3"/>
  <c r="H30" i="3"/>
  <c r="H61" i="3"/>
  <c r="H63" i="3"/>
  <c r="H67" i="3" s="1"/>
  <c r="H68" i="3" s="1"/>
  <c r="H9" i="10" s="1"/>
  <c r="M68" i="3"/>
  <c r="M9" i="10" s="1"/>
  <c r="N68" i="3"/>
  <c r="N9" i="10" s="1"/>
  <c r="L68" i="3"/>
  <c r="L9" i="10" s="1"/>
  <c r="K68" i="3"/>
  <c r="K9" i="10" s="1"/>
  <c r="I61" i="3"/>
  <c r="I63" i="3"/>
  <c r="I67" i="3" s="1"/>
  <c r="I68" i="3" s="1"/>
  <c r="I9" i="10" s="1"/>
  <c r="G61" i="3"/>
  <c r="G63" i="3"/>
  <c r="G67" i="3" s="1"/>
  <c r="G68" i="3" s="1"/>
  <c r="G9" i="10" s="1"/>
  <c r="J68" i="3"/>
  <c r="J9" i="10" s="1"/>
  <c r="D68" i="3"/>
  <c r="D9" i="10" s="1"/>
  <c r="E68" i="3"/>
  <c r="E9" i="10" s="1"/>
  <c r="F68" i="3"/>
  <c r="F9" i="10" s="1"/>
  <c r="F30" i="3"/>
  <c r="P24" i="2"/>
  <c r="O15" i="12"/>
  <c r="O17" i="12" s="1"/>
  <c r="F61" i="3"/>
  <c r="M24" i="2"/>
  <c r="L15" i="12"/>
  <c r="L17" i="12" s="1"/>
  <c r="I24" i="2"/>
  <c r="H15" i="12"/>
  <c r="H17" i="12" s="1"/>
  <c r="N24" i="2"/>
  <c r="M15" i="12"/>
  <c r="M17" i="12" s="1"/>
  <c r="H24" i="2"/>
  <c r="G15" i="12"/>
  <c r="G17" i="12" s="1"/>
  <c r="O24" i="2"/>
  <c r="N15" i="12"/>
  <c r="N17" i="12" s="1"/>
  <c r="I12" i="4"/>
  <c r="G24" i="2"/>
  <c r="G26" i="2" s="1"/>
  <c r="G30" i="2" s="1"/>
  <c r="F15" i="12"/>
  <c r="F17" i="12" s="1"/>
  <c r="J61" i="3"/>
  <c r="K24" i="2"/>
  <c r="J15" i="12"/>
  <c r="J17" i="12" s="1"/>
  <c r="L24" i="2"/>
  <c r="L26" i="2" s="1"/>
  <c r="L30" i="2" s="1"/>
  <c r="K15" i="12"/>
  <c r="K17" i="12" s="1"/>
  <c r="J24" i="2"/>
  <c r="I15" i="12"/>
  <c r="I17" i="12" s="1"/>
  <c r="K12" i="4"/>
  <c r="G12" i="4"/>
  <c r="J12" i="4"/>
  <c r="F12" i="4"/>
  <c r="L12" i="4"/>
  <c r="H12" i="4"/>
  <c r="I14" i="1"/>
  <c r="I40" i="1" s="1"/>
  <c r="I9" i="1" s="1"/>
  <c r="I12" i="1" s="1"/>
  <c r="K26" i="2"/>
  <c r="K30" i="2" s="1"/>
  <c r="M14" i="1"/>
  <c r="M40" i="1" s="1"/>
  <c r="M9" i="1" s="1"/>
  <c r="M12" i="1" s="1"/>
  <c r="O61" i="3"/>
  <c r="N61" i="3"/>
  <c r="N30" i="3"/>
  <c r="O30" i="3"/>
  <c r="L14" i="1"/>
  <c r="L40" i="1" s="1"/>
  <c r="L9" i="1" s="1"/>
  <c r="L12" i="1" s="1"/>
  <c r="H14" i="1"/>
  <c r="H40" i="1" s="1"/>
  <c r="H9" i="1" s="1"/>
  <c r="H12" i="1" s="1"/>
  <c r="G30" i="3"/>
  <c r="H26" i="2"/>
  <c r="H30" i="2" s="1"/>
  <c r="F14" i="1" l="1"/>
  <c r="F40" i="1" s="1"/>
  <c r="F9" i="1" s="1"/>
  <c r="K14" i="1"/>
  <c r="K40" i="1" s="1"/>
  <c r="K9" i="1" s="1"/>
  <c r="K12" i="1" s="1"/>
  <c r="K8" i="13"/>
  <c r="K8" i="5"/>
  <c r="K12" i="5" s="1"/>
  <c r="O26" i="2"/>
  <c r="O30" i="2" s="1"/>
  <c r="N8" i="13"/>
  <c r="N8" i="5"/>
  <c r="N12" i="5" s="1"/>
  <c r="N14" i="1"/>
  <c r="N40" i="1" s="1"/>
  <c r="N9" i="1" s="1"/>
  <c r="N12" i="1" s="1"/>
  <c r="F8" i="13"/>
  <c r="F8" i="5"/>
  <c r="F12" i="5" s="1"/>
  <c r="N26" i="2"/>
  <c r="N30" i="2" s="1"/>
  <c r="M8" i="13"/>
  <c r="M8" i="5"/>
  <c r="M12" i="5" s="1"/>
  <c r="M26" i="2"/>
  <c r="M30" i="2" s="1"/>
  <c r="L8" i="13"/>
  <c r="L8" i="5"/>
  <c r="L12" i="5" s="1"/>
  <c r="P26" i="2"/>
  <c r="P30" i="2" s="1"/>
  <c r="O8" i="13"/>
  <c r="R8" i="5"/>
  <c r="R12" i="5" s="1"/>
  <c r="O14" i="1"/>
  <c r="O40" i="1" s="1"/>
  <c r="O9" i="1" s="1"/>
  <c r="O12" i="1" s="1"/>
  <c r="I26" i="2"/>
  <c r="I30" i="2" s="1"/>
  <c r="H8" i="13"/>
  <c r="H8" i="5"/>
  <c r="H12" i="5" s="1"/>
  <c r="J26" i="2"/>
  <c r="J30" i="2" s="1"/>
  <c r="I8" i="13"/>
  <c r="I8" i="5"/>
  <c r="I12" i="5" s="1"/>
  <c r="J14" i="1"/>
  <c r="J40" i="1" s="1"/>
  <c r="J9" i="1" s="1"/>
  <c r="J12" i="1" s="1"/>
  <c r="F8" i="1" s="1"/>
  <c r="J8" i="13"/>
  <c r="J8" i="5"/>
  <c r="J12" i="5" s="1"/>
  <c r="G14" i="1"/>
  <c r="G40" i="1" s="1"/>
  <c r="G9" i="1" s="1"/>
  <c r="G8" i="13"/>
  <c r="G8" i="5"/>
  <c r="G12" i="5" s="1"/>
  <c r="G8" i="15" s="1"/>
  <c r="G23" i="15" s="1"/>
  <c r="F12" i="1" l="1"/>
  <c r="D8" i="1" s="1"/>
  <c r="D12" i="1" s="1"/>
  <c r="L23" i="5"/>
  <c r="L24" i="5" s="1"/>
  <c r="L8" i="15"/>
  <c r="L23" i="15" s="1"/>
  <c r="J23" i="5"/>
  <c r="J8" i="15"/>
  <c r="J23" i="15" s="1"/>
  <c r="M23" i="5"/>
  <c r="M26" i="5" s="1"/>
  <c r="M8" i="15"/>
  <c r="M23" i="15" s="1"/>
  <c r="H23" i="5"/>
  <c r="H8" i="15"/>
  <c r="H23" i="15" s="1"/>
  <c r="K23" i="5"/>
  <c r="K24" i="5" s="1"/>
  <c r="K8" i="15"/>
  <c r="K23" i="15" s="1"/>
  <c r="I23" i="5"/>
  <c r="I24" i="5" s="1"/>
  <c r="I27" i="5" s="1"/>
  <c r="I8" i="15"/>
  <c r="I23" i="15" s="1"/>
  <c r="F23" i="5"/>
  <c r="F24" i="5" s="1"/>
  <c r="F8" i="15"/>
  <c r="F23" i="15" s="1"/>
  <c r="H17" i="13"/>
  <c r="H18" i="13" s="1"/>
  <c r="N17" i="13"/>
  <c r="N18" i="13" s="1"/>
  <c r="L17" i="13"/>
  <c r="L18" i="13" s="1"/>
  <c r="J17" i="13"/>
  <c r="J18" i="13" s="1"/>
  <c r="M17" i="13"/>
  <c r="M18" i="13" s="1"/>
  <c r="K17" i="13"/>
  <c r="K18" i="13" s="1"/>
  <c r="F17" i="13"/>
  <c r="F18" i="13" s="1"/>
  <c r="G17" i="13"/>
  <c r="G18" i="13" s="1"/>
  <c r="I17" i="13"/>
  <c r="I18" i="13" s="1"/>
  <c r="O17" i="13"/>
  <c r="O18" i="13" s="1"/>
  <c r="G23" i="5"/>
  <c r="N19" i="5"/>
  <c r="N20" i="5" s="1"/>
  <c r="N23" i="5"/>
  <c r="N26" i="5" s="1"/>
  <c r="R20" i="5"/>
  <c r="R23" i="5"/>
  <c r="M19" i="5"/>
  <c r="M20" i="5" s="1"/>
  <c r="L19" i="5"/>
  <c r="L20" i="5" s="1"/>
  <c r="K19" i="5"/>
  <c r="I19" i="5"/>
  <c r="I20" i="5" s="1"/>
  <c r="H19" i="5"/>
  <c r="H20" i="5" s="1"/>
  <c r="G19" i="5"/>
  <c r="G20" i="5" s="1"/>
  <c r="J19" i="5"/>
  <c r="J20" i="5" s="1"/>
  <c r="F19" i="5"/>
  <c r="F20" i="5" s="1"/>
  <c r="G12" i="1"/>
  <c r="E8" i="1"/>
  <c r="E12" i="1" s="1"/>
  <c r="H26" i="5" l="1"/>
  <c r="I26" i="5"/>
  <c r="J26" i="5"/>
  <c r="J24" i="5"/>
  <c r="J27" i="5" s="1"/>
  <c r="H24" i="5"/>
  <c r="H27" i="5" s="1"/>
  <c r="K26" i="5"/>
  <c r="M24" i="5"/>
  <c r="M27" i="5" s="1"/>
  <c r="L26" i="5"/>
  <c r="L29" i="5" s="1"/>
  <c r="M29" i="5"/>
  <c r="F26" i="5"/>
  <c r="R29" i="5"/>
  <c r="R24" i="5"/>
  <c r="R30" i="5" s="1"/>
  <c r="R36" i="5" s="1"/>
  <c r="O8" i="10" s="1"/>
  <c r="O10" i="10" s="1"/>
  <c r="G26" i="5"/>
  <c r="G24" i="5"/>
  <c r="N29" i="5"/>
  <c r="N24" i="5"/>
  <c r="K27" i="5"/>
  <c r="K20" i="5"/>
  <c r="G27" i="5" l="1"/>
  <c r="G30" i="5" s="1"/>
  <c r="G36" i="5" s="1"/>
  <c r="G8" i="10" s="1"/>
  <c r="G10" i="10" s="1"/>
  <c r="G29" i="5"/>
  <c r="K29" i="5"/>
  <c r="H29" i="5"/>
  <c r="L27" i="5"/>
  <c r="I30" i="5" s="1"/>
  <c r="I36" i="5" s="1"/>
  <c r="I8" i="10" s="1"/>
  <c r="I10" i="10" s="1"/>
  <c r="I29" i="5"/>
  <c r="J29" i="5"/>
  <c r="F27" i="5"/>
  <c r="C30" i="5" s="1"/>
  <c r="C36" i="5" s="1"/>
  <c r="C8" i="10" s="1"/>
  <c r="C10" i="10" s="1"/>
  <c r="E29" i="5"/>
  <c r="D29" i="5"/>
  <c r="H30" i="5"/>
  <c r="H36" i="5" s="1"/>
  <c r="H8" i="10" s="1"/>
  <c r="H10" i="10" s="1"/>
  <c r="N30" i="5"/>
  <c r="N36" i="5" s="1"/>
  <c r="N8" i="10" s="1"/>
  <c r="N10" i="10" s="1"/>
  <c r="N27" i="5"/>
  <c r="F29" i="5"/>
  <c r="J30" i="5" l="1"/>
  <c r="J36" i="5" s="1"/>
  <c r="D30" i="5"/>
  <c r="D36" i="5" s="1"/>
  <c r="D8" i="10" s="1"/>
  <c r="D10" i="10" s="1"/>
  <c r="K30" i="5"/>
  <c r="K36" i="5" s="1"/>
  <c r="K8" i="10" s="1"/>
  <c r="K10" i="10" s="1"/>
  <c r="E30" i="5"/>
  <c r="E36" i="5" s="1"/>
  <c r="E8" i="10" s="1"/>
  <c r="E10" i="10" s="1"/>
  <c r="M30" i="5"/>
  <c r="M36" i="5" s="1"/>
  <c r="M8" i="10" s="1"/>
  <c r="M10" i="10" s="1"/>
  <c r="L30" i="5"/>
  <c r="L36" i="5" s="1"/>
  <c r="L8" i="10" s="1"/>
  <c r="L10" i="10" s="1"/>
  <c r="F30" i="5"/>
  <c r="F36" i="5" s="1"/>
  <c r="J8" i="10"/>
  <c r="J10" i="10" s="1"/>
  <c r="F8" i="10" l="1"/>
  <c r="F10" i="10" s="1"/>
  <c r="P33" i="9"/>
  <c r="P24" i="9" s="1"/>
</calcChain>
</file>

<file path=xl/comments1.xml><?xml version="1.0" encoding="utf-8"?>
<comments xmlns="http://schemas.openxmlformats.org/spreadsheetml/2006/main">
  <authors>
    <author>Marc Grossmann</author>
  </authors>
  <commentList>
    <comment ref="F22" authorId="0" shapeId="0">
      <text>
        <r>
          <rPr>
            <b/>
            <sz val="9"/>
            <color indexed="81"/>
            <rFont val="Segoe UI"/>
            <family val="2"/>
          </rPr>
          <t xml:space="preserve">Nota:
</t>
        </r>
        <r>
          <rPr>
            <sz val="9"/>
            <color indexed="81"/>
            <rFont val="Segoe UI"/>
            <family val="2"/>
          </rPr>
          <t xml:space="preserve">
Refere-se aos benefícios fiscais do crédito outorgado de ICMS e à redução da base de cálculo ICMS tratados como subvenções governamentais, nos termos da Lei Complementar 160 de 07/08/17. No 1T22 a Companhia, amparada na opinião de seus assessores jurídicos, decidiu alterar a forma de apuração dos valores a serem excluídos na apuração do IR/CS. A Companhia apurou os valores de anos anteriores e efetuou a exclusão no período corrente por considerar que o tratamento fiscal será aceito pelas autoridades fiscais.</t>
        </r>
      </text>
    </comment>
  </commentList>
</comments>
</file>

<file path=xl/comments2.xml><?xml version="1.0" encoding="utf-8"?>
<comments xmlns="http://schemas.openxmlformats.org/spreadsheetml/2006/main">
  <authors>
    <author>Marc Grossmann</author>
  </authors>
  <commentList>
    <comment ref="B18" authorId="0" shapeId="0">
      <text>
        <r>
          <rPr>
            <b/>
            <sz val="9"/>
            <color indexed="81"/>
            <rFont val="Segoe UI"/>
            <family val="2"/>
          </rPr>
          <t xml:space="preserve">Nota:
</t>
        </r>
        <r>
          <rPr>
            <sz val="9"/>
            <color indexed="81"/>
            <rFont val="Segoe UI"/>
            <family val="2"/>
          </rPr>
          <t xml:space="preserve">
Custos e despesas pré-operacionais com a unidade fabril em Pacatuba-CE, cujos dispêndios estão relacionados à logística de máquinas, equipamentos e insumos transferidos, além de serviços com prestadores de serviços e treinamentos.</t>
        </r>
      </text>
    </comment>
  </commentList>
</comments>
</file>

<file path=xl/comments3.xml><?xml version="1.0" encoding="utf-8"?>
<comments xmlns="http://schemas.openxmlformats.org/spreadsheetml/2006/main">
  <authors>
    <author>Marc Grossmann</author>
  </authors>
  <commentList>
    <comment ref="B16" authorId="0" shapeId="0">
      <text>
        <r>
          <rPr>
            <b/>
            <sz val="9"/>
            <color indexed="81"/>
            <rFont val="Segoe UI"/>
            <family val="2"/>
          </rPr>
          <t xml:space="preserve">Nota:
</t>
        </r>
        <r>
          <rPr>
            <sz val="9"/>
            <color indexed="81"/>
            <rFont val="Segoe UI"/>
            <family val="2"/>
          </rPr>
          <t xml:space="preserve">
Custos e despesas pré-operacionais com a unidade fabril em Pacatuba-CE, cujos dispêndios estão relacionados à logística de máquinas, equipamentos e insumos transferidos, além de serviços com prestadores de serviços e treinamentos.</t>
        </r>
      </text>
    </comment>
  </commentList>
</comments>
</file>

<file path=xl/comments4.xml><?xml version="1.0" encoding="utf-8"?>
<comments xmlns="http://schemas.openxmlformats.org/spreadsheetml/2006/main">
  <authors>
    <author>Marc Grossmann</author>
  </authors>
  <commentList>
    <comment ref="E16" authorId="0" shapeId="0">
      <text>
        <r>
          <rPr>
            <b/>
            <sz val="9"/>
            <color indexed="81"/>
            <rFont val="Segoe UI"/>
            <family val="2"/>
          </rPr>
          <t xml:space="preserve">Nota:
</t>
        </r>
        <r>
          <rPr>
            <sz val="9"/>
            <color indexed="81"/>
            <rFont val="Segoe UI"/>
            <family val="2"/>
          </rPr>
          <t xml:space="preserve">
Refere-se aos benefícios fiscais do crédito outorgado de ICMS e à redução da base de cálculo ICMS tratados como subvenções governamentais, nos termos da Lei Complementar 160 de 07/08/17. No 1T22, a Companhia, amparada na opinião de seus assessores jurídicos, decidiu alterar a forma de apuração dos valores a serem excluídos na apuração do IR/CS. A Companhia apurou os valores de anos anteriores e efetuou a exclusão no período corrente por considerar que o tratamento fiscal será aceito pelas autoridades fiscais.</t>
        </r>
      </text>
    </comment>
  </commentList>
</comments>
</file>

<file path=xl/sharedStrings.xml><?xml version="1.0" encoding="utf-8"?>
<sst xmlns="http://schemas.openxmlformats.org/spreadsheetml/2006/main" count="684" uniqueCount="298">
  <si>
    <t>Fornecedores</t>
  </si>
  <si>
    <t>Estoques</t>
  </si>
  <si>
    <t>Imobilizado</t>
  </si>
  <si>
    <t>Intangível</t>
  </si>
  <si>
    <t>ATIVO</t>
  </si>
  <si>
    <t>Caixa e equivalentes de caixa</t>
  </si>
  <si>
    <t>Títulos e valores mobiliários</t>
  </si>
  <si>
    <t>Contas a receber de clientes</t>
  </si>
  <si>
    <t>Adiantamento a fornecedores</t>
  </si>
  <si>
    <t>Impostos a recuperar</t>
  </si>
  <si>
    <t>Outras contas a receber</t>
  </si>
  <si>
    <t xml:space="preserve">Total do ativo circulante </t>
  </si>
  <si>
    <t>Contas a receber de clientes LP</t>
  </si>
  <si>
    <t xml:space="preserve">Impostos a recuperar </t>
  </si>
  <si>
    <t xml:space="preserve">Depósitos judiciais </t>
  </si>
  <si>
    <t xml:space="preserve">Ativo fiscal diferido </t>
  </si>
  <si>
    <t xml:space="preserve">Outras contas a pagar </t>
  </si>
  <si>
    <t>Total do realizável a longo prazo</t>
  </si>
  <si>
    <t xml:space="preserve">Total do ativo não circulante </t>
  </si>
  <si>
    <t>TOTAL DO ATIVO</t>
  </si>
  <si>
    <t>Empréstimos e financiamentos</t>
  </si>
  <si>
    <t>Salários e férias a pagar</t>
  </si>
  <si>
    <t>Impostos e contribuições a recolher</t>
  </si>
  <si>
    <t xml:space="preserve">Dividendos e juros sobre capital próprio a pagar </t>
  </si>
  <si>
    <t>Outras contas a pagar</t>
  </si>
  <si>
    <t>Passivo de arrendamentos</t>
  </si>
  <si>
    <t>Total do passivo circulante</t>
  </si>
  <si>
    <t>Provisões para contingências</t>
  </si>
  <si>
    <t>Passivo de arrendamentos LP</t>
  </si>
  <si>
    <t>Total do passivo não circulante</t>
  </si>
  <si>
    <t>Capital social</t>
  </si>
  <si>
    <t>Reserva de capital</t>
  </si>
  <si>
    <t>Ações em tesouraria</t>
  </si>
  <si>
    <t>Ajuste de avaliação patrimonial</t>
  </si>
  <si>
    <t>Reservas de lucros</t>
  </si>
  <si>
    <t>Dividendos adicionais propostos</t>
  </si>
  <si>
    <t>Total do patrimônio líquido</t>
  </si>
  <si>
    <t>Impostos, Descontos, Devoluções</t>
  </si>
  <si>
    <t>Receita operacional líquida</t>
  </si>
  <si>
    <t>Receita operacional bruta</t>
  </si>
  <si>
    <t>Lucro bruto</t>
  </si>
  <si>
    <t>Despesas com vendas</t>
  </si>
  <si>
    <t>Despesas administrativas e gerais</t>
  </si>
  <si>
    <t>Reversão (perdas) esperadas com créditos</t>
  </si>
  <si>
    <t>Outras receitas operacionais</t>
  </si>
  <si>
    <t>Outras despesas operacionais</t>
  </si>
  <si>
    <t>Receitas financeiras</t>
  </si>
  <si>
    <t>Despesas financeiras</t>
  </si>
  <si>
    <t>Equivalência patrimonial</t>
  </si>
  <si>
    <t>Resultado antes dos impostos</t>
  </si>
  <si>
    <t>IR/CS corrente</t>
  </si>
  <si>
    <t>IR/CS diferido</t>
  </si>
  <si>
    <t>Lucro (prejuízo) do exercício</t>
  </si>
  <si>
    <t>Resultado por ação</t>
  </si>
  <si>
    <t>Resultado atribuído aos acionistas controladores</t>
  </si>
  <si>
    <t>Resultado atribuído aos acionistas não controladores</t>
  </si>
  <si>
    <t>Quantidade de ações ordinárias emitidas (em milhares)</t>
  </si>
  <si>
    <t>Quantidade de ações ordinárias em tesouraria (em milhares)</t>
  </si>
  <si>
    <t>Depreciação e amortização</t>
  </si>
  <si>
    <t>IR/CS corrente e diferidos</t>
  </si>
  <si>
    <t>Variação monetária, cambial e juros</t>
  </si>
  <si>
    <t>Provisão para perdas de estoques</t>
  </si>
  <si>
    <t>Custo do ativo imobilizado baixado</t>
  </si>
  <si>
    <t>Ajustes para:</t>
  </si>
  <si>
    <t>Variações em:</t>
  </si>
  <si>
    <t>Depósitos judiciais</t>
  </si>
  <si>
    <t>IR/CS pagos</t>
  </si>
  <si>
    <t>Juros pagos</t>
  </si>
  <si>
    <t>Fluxo de caixa OPERACIONAL</t>
  </si>
  <si>
    <t>Aquisição de imobilizado</t>
  </si>
  <si>
    <t>Aquisição de intangível</t>
  </si>
  <si>
    <t>Baixa / aumento em aplicações financeiras</t>
  </si>
  <si>
    <t>Fluxo de caixa INVESTIMENTO</t>
  </si>
  <si>
    <t>Pagamento de arrendamento</t>
  </si>
  <si>
    <t>Pagamento de dividendos</t>
  </si>
  <si>
    <t>Pagamento de JCP</t>
  </si>
  <si>
    <t>Financiamentos e empréstimos tomados</t>
  </si>
  <si>
    <t>FC OPERACIONAL</t>
  </si>
  <si>
    <t>FC INVESTIMENTO</t>
  </si>
  <si>
    <t>Fluxo de caixa FINANCIAMENTOS</t>
  </si>
  <si>
    <t>FC FINANCIAMENTOS</t>
  </si>
  <si>
    <t>Caixa e equivalentes de caixa INICIAL</t>
  </si>
  <si>
    <t>Caixa e equivalentes de caixa FINAL</t>
  </si>
  <si>
    <t>IR/CS a recuperar</t>
  </si>
  <si>
    <t>IR/CS a recolher</t>
  </si>
  <si>
    <t>Lucros e prejuízos acumulados</t>
  </si>
  <si>
    <t>2021</t>
  </si>
  <si>
    <t>2020</t>
  </si>
  <si>
    <t>9M21</t>
  </si>
  <si>
    <t>9M20</t>
  </si>
  <si>
    <t>Ativo fiscal corrente</t>
  </si>
  <si>
    <t>6M21</t>
  </si>
  <si>
    <t>6M20</t>
  </si>
  <si>
    <t>Provisão para perdas de crédito esperadas (PDD)</t>
  </si>
  <si>
    <t>3M21</t>
  </si>
  <si>
    <t>3M20</t>
  </si>
  <si>
    <t>12M21</t>
  </si>
  <si>
    <t>12M20</t>
  </si>
  <si>
    <t>2019</t>
  </si>
  <si>
    <t>2018</t>
  </si>
  <si>
    <t>12M19</t>
  </si>
  <si>
    <t>12M18</t>
  </si>
  <si>
    <t>Empréstimos e financiamentos CP</t>
  </si>
  <si>
    <t>Empréstimos e financiamentos LP</t>
  </si>
  <si>
    <t>Caixa (Dívida) Liquido</t>
  </si>
  <si>
    <t>Caixa (Dívida) Liquido CONSOLIDADO
(em milhares de Reais)</t>
  </si>
  <si>
    <t>(+) Despesa com IR/CS</t>
  </si>
  <si>
    <t>(+) Despesa financeiras líquidas</t>
  </si>
  <si>
    <t>Custos dos produtos vendidos (CPV)</t>
  </si>
  <si>
    <t>Eventos não recorrentes:</t>
  </si>
  <si>
    <t>(+) Reversão do ganho decorrente do crédito de ICMS na base de cálculo do Pis/Cofins</t>
  </si>
  <si>
    <t>(+) Reversão da provisão da contribuição previdenciária sobre a Receita Bruta (CPRB)</t>
  </si>
  <si>
    <t>(+) Reversão do IR/CS sobre valores atinentes à taxa Selic do crédito ICMS na base de cálculo do Pis/Cofins</t>
  </si>
  <si>
    <t>(=) EBITDA</t>
  </si>
  <si>
    <t>(=) EBITDA Ajustado</t>
  </si>
  <si>
    <t>Margem EBITDA Ajustado</t>
  </si>
  <si>
    <t>4T21</t>
  </si>
  <si>
    <t>3T21</t>
  </si>
  <si>
    <t>2T21</t>
  </si>
  <si>
    <t>1T21</t>
  </si>
  <si>
    <t>4T20</t>
  </si>
  <si>
    <t>3T20</t>
  </si>
  <si>
    <t>2T20</t>
  </si>
  <si>
    <t>1T20</t>
  </si>
  <si>
    <t>Lupo</t>
  </si>
  <si>
    <t>Trifil</t>
  </si>
  <si>
    <t>Lupo Sport</t>
  </si>
  <si>
    <t>Scala</t>
  </si>
  <si>
    <t>Franquias</t>
  </si>
  <si>
    <t>Lojas de departamento</t>
  </si>
  <si>
    <t>E-commerce</t>
  </si>
  <si>
    <t>Receita líquida</t>
  </si>
  <si>
    <t>Impostos sobre vendas</t>
  </si>
  <si>
    <t>Descontos concedidos</t>
  </si>
  <si>
    <t>Devoluções e abatimentos</t>
  </si>
  <si>
    <t>TOTAL Impostos, Descontos, Devoluções</t>
  </si>
  <si>
    <t>% impostos sobre vendas</t>
  </si>
  <si>
    <t>Matéria-prima e materiais de uso e consumo</t>
  </si>
  <si>
    <t>Despesas com pessoal</t>
  </si>
  <si>
    <t>Depreciação e amortização (CPV)</t>
  </si>
  <si>
    <t>Energia elétrica</t>
  </si>
  <si>
    <t>Outros</t>
  </si>
  <si>
    <t>Fretes e serviços prestados</t>
  </si>
  <si>
    <t>Comissões sobre vendas</t>
  </si>
  <si>
    <t>Propaganda e publicidade</t>
  </si>
  <si>
    <t>Direitos autorais</t>
  </si>
  <si>
    <t>Depreciação e amortização (SG&amp;A)</t>
  </si>
  <si>
    <t>Outras</t>
  </si>
  <si>
    <t>Serviços prestados e outros</t>
  </si>
  <si>
    <t>Despesa com dirigentes</t>
  </si>
  <si>
    <t>Despesas gerais</t>
  </si>
  <si>
    <t>Recuperação de despesas</t>
  </si>
  <si>
    <t>Reversão de provisão para contingência</t>
  </si>
  <si>
    <t>Receitas eventuais</t>
  </si>
  <si>
    <t>Provisão para contingências</t>
  </si>
  <si>
    <t>Indenizações</t>
  </si>
  <si>
    <t>Doações incentivadas</t>
  </si>
  <si>
    <t>Custo de imobilizado baixado</t>
  </si>
  <si>
    <t>Contribuições para união</t>
  </si>
  <si>
    <t>Despesas legais</t>
  </si>
  <si>
    <t>Outras manutenções</t>
  </si>
  <si>
    <t>IR/CS Corrente</t>
  </si>
  <si>
    <t>% LAIR</t>
  </si>
  <si>
    <t>Venda de ativo fixo/imobilizado</t>
  </si>
  <si>
    <t>Receitas de doação (PRONAS)</t>
  </si>
  <si>
    <t>Materiais de consumo</t>
  </si>
  <si>
    <t>Muito Lupo</t>
  </si>
  <si>
    <t>(=) Lucro Líquido Ajustado</t>
  </si>
  <si>
    <t>Margem Líquida Ajustada</t>
  </si>
  <si>
    <t>(+) Reversão da baixa de saldo de IR/CS diferidos sobre prejuízo fiscal</t>
  </si>
  <si>
    <t>3M22</t>
  </si>
  <si>
    <t>1T22</t>
  </si>
  <si>
    <t>n/a</t>
  </si>
  <si>
    <t>(+) Depreciação/Amortização</t>
  </si>
  <si>
    <t>DRE: LAIR</t>
  </si>
  <si>
    <t>Total</t>
  </si>
  <si>
    <t>LupoSport</t>
  </si>
  <si>
    <t>IR/CS</t>
  </si>
  <si>
    <t>Fornecedores e salários</t>
  </si>
  <si>
    <t>(+) Reversão da Baixa de saldo de imposto de renda e contribuição social diferidos sobre prejuízo fiscal</t>
  </si>
  <si>
    <t>EBIT</t>
  </si>
  <si>
    <t>EBIT Ajustado</t>
  </si>
  <si>
    <t>EBIT (LTM)</t>
  </si>
  <si>
    <t>EBIT Ajustado (LTM)</t>
  </si>
  <si>
    <t>IR/CS Corrente (ITR)</t>
  </si>
  <si>
    <t>EBIT Ajustado (ITR)</t>
  </si>
  <si>
    <t>EBIT (ITR)</t>
  </si>
  <si>
    <t>IR/CS Corrente (LTM)</t>
  </si>
  <si>
    <t>9M19</t>
  </si>
  <si>
    <t>6M19</t>
  </si>
  <si>
    <t>3M19</t>
  </si>
  <si>
    <t>Investimentos</t>
  </si>
  <si>
    <t>Passivo fiscal diferido</t>
  </si>
  <si>
    <t>6M22</t>
  </si>
  <si>
    <t>2T22</t>
  </si>
  <si>
    <t>TOTAL DO PASSIVO E PATRIMÔNIO LÍQUIDO</t>
  </si>
  <si>
    <t>Máquinas, equipamentos e instalações</t>
  </si>
  <si>
    <t>Adiantamento a Fornecedor</t>
  </si>
  <si>
    <t>Móveis e utensílios</t>
  </si>
  <si>
    <t>Veículos</t>
  </si>
  <si>
    <t>Intalações e Showroom</t>
  </si>
  <si>
    <t>Benfeitorias em imóveis de terceiros</t>
  </si>
  <si>
    <t>Bens em construção</t>
  </si>
  <si>
    <t>Computadores e Periféricos</t>
  </si>
  <si>
    <t>Sistemas de Informática</t>
  </si>
  <si>
    <t>Ágio na aquisição de controlada</t>
  </si>
  <si>
    <t>Edifícios e Outros</t>
  </si>
  <si>
    <t>Capital Empregado</t>
  </si>
  <si>
    <t>(+) Patrimônio líquido</t>
  </si>
  <si>
    <t>(+) Empréstimos e financiamentos</t>
  </si>
  <si>
    <t xml:space="preserve">(+) Dividendos e juros sobre capital próprio a pagar </t>
  </si>
  <si>
    <t>(-) Caixa e equivalentes de caixa</t>
  </si>
  <si>
    <t>Capital Empregado Médio (para cálculo do ROIC)</t>
  </si>
  <si>
    <t>na</t>
  </si>
  <si>
    <t>NOPAT últimos 12 meses (cálculo ROIC)</t>
  </si>
  <si>
    <t>Balanço Patrimonial</t>
  </si>
  <si>
    <t>DRE</t>
  </si>
  <si>
    <t>Fluxo de Caixa</t>
  </si>
  <si>
    <t>Dívida Líquida</t>
  </si>
  <si>
    <t>EBITDA</t>
  </si>
  <si>
    <t>Lucro Líquido</t>
  </si>
  <si>
    <t>Impostos</t>
  </si>
  <si>
    <t>CPV</t>
  </si>
  <si>
    <t>SG&amp;A</t>
  </si>
  <si>
    <t>Caixa Livre</t>
  </si>
  <si>
    <t>ROIC</t>
  </si>
  <si>
    <t>Receita por Marca e Canal</t>
  </si>
  <si>
    <t>Balanço Patrimonial CONSOLIDADO
(em milhares de Reais)</t>
  </si>
  <si>
    <t>PASSIVO</t>
  </si>
  <si>
    <t>PATRIMÔNIO LÍQUIDO</t>
  </si>
  <si>
    <t>Aba com Detalhamento</t>
  </si>
  <si>
    <t>Demonstração de Resultados CONSOLIDADA
(em milhares de Reais)</t>
  </si>
  <si>
    <t>Fluxo de Caixa CONSOLIDADO
(em milhares de Reais)</t>
  </si>
  <si>
    <t>EBITDA
(em milhares de Reais)</t>
  </si>
  <si>
    <t>Lucro Líquido
(em milhares de Reais)</t>
  </si>
  <si>
    <t>Impostos
(em milhares de Reais)</t>
  </si>
  <si>
    <t>CPV
(em milhares de Reais)</t>
  </si>
  <si>
    <t>SG&amp;A
(em milhares de Reais)</t>
  </si>
  <si>
    <t>% CPV sobre Rec.Líquida</t>
  </si>
  <si>
    <t>% SG&amp;A sobre Receita Líquida</t>
  </si>
  <si>
    <t>Outras receitas (despesas) operacionais</t>
  </si>
  <si>
    <t>Investimentos
(em milhares de Reais)</t>
  </si>
  <si>
    <t>Caixa Livre
(em milhares de Reais)</t>
  </si>
  <si>
    <t>Itens não caixa</t>
  </si>
  <si>
    <t>ROIC (%)</t>
  </si>
  <si>
    <t>Receita por Marca</t>
  </si>
  <si>
    <t>Volume faturado Sell-In
(em milhões de dúzias)</t>
  </si>
  <si>
    <r>
      <t xml:space="preserve">EBITDA </t>
    </r>
    <r>
      <rPr>
        <b/>
        <sz val="9"/>
        <color theme="1"/>
        <rFont val="Calibri"/>
        <family val="2"/>
        <scheme val="minor"/>
      </rPr>
      <t>(1)</t>
    </r>
  </si>
  <si>
    <r>
      <t xml:space="preserve">Itens não caixa e impostos </t>
    </r>
    <r>
      <rPr>
        <b/>
        <sz val="9"/>
        <color theme="1"/>
        <rFont val="Calibri"/>
        <family val="2"/>
        <scheme val="minor"/>
      </rPr>
      <t>(2)</t>
    </r>
  </si>
  <si>
    <r>
      <t xml:space="preserve">Investimentos em capital de giro </t>
    </r>
    <r>
      <rPr>
        <b/>
        <sz val="9"/>
        <color theme="1"/>
        <rFont val="Calibri"/>
        <family val="2"/>
        <scheme val="minor"/>
      </rPr>
      <t>(3)</t>
    </r>
  </si>
  <si>
    <r>
      <t xml:space="preserve">CAPEX </t>
    </r>
    <r>
      <rPr>
        <b/>
        <sz val="9"/>
        <color theme="1"/>
        <rFont val="Calibri"/>
        <family val="2"/>
        <scheme val="minor"/>
      </rPr>
      <t>(4)</t>
    </r>
  </si>
  <si>
    <r>
      <t xml:space="preserve">Geração de Caixa Livre </t>
    </r>
    <r>
      <rPr>
        <b/>
        <sz val="9"/>
        <color theme="1"/>
        <rFont val="Calibri"/>
        <family val="2"/>
        <scheme val="minor"/>
      </rPr>
      <t>(1+2+3+4)</t>
    </r>
  </si>
  <si>
    <t>Volume faturado Sell-In</t>
  </si>
  <si>
    <t>Preço médio Sell-In
(em Reais por dúzia)</t>
  </si>
  <si>
    <t>Preço médio Sell-In</t>
  </si>
  <si>
    <t>Receita líquida Sell-In
(em milhões de Reais)</t>
  </si>
  <si>
    <t>Receita Líquida Sell-In</t>
  </si>
  <si>
    <t>Receita por Canal de Vendas</t>
  </si>
  <si>
    <t>Receita líquida Sell-In</t>
  </si>
  <si>
    <t>Quantidade de Lojas</t>
  </si>
  <si>
    <t>Same Store Sales (SSS)</t>
  </si>
  <si>
    <r>
      <t xml:space="preserve">ROIC </t>
    </r>
    <r>
      <rPr>
        <b/>
        <sz val="9"/>
        <color theme="1"/>
        <rFont val="Calibri"/>
        <family val="2"/>
        <scheme val="minor"/>
      </rPr>
      <t>(a/b)</t>
    </r>
  </si>
  <si>
    <r>
      <t xml:space="preserve">NOPAT últimos 12 meses </t>
    </r>
    <r>
      <rPr>
        <sz val="9"/>
        <color theme="1"/>
        <rFont val="Calibri"/>
        <family val="2"/>
        <scheme val="minor"/>
      </rPr>
      <t>(a)</t>
    </r>
  </si>
  <si>
    <r>
      <t xml:space="preserve">Capital empregado médio </t>
    </r>
    <r>
      <rPr>
        <sz val="9"/>
        <color theme="1"/>
        <rFont val="Calibri"/>
        <family val="2"/>
        <scheme val="minor"/>
      </rPr>
      <t>(b)</t>
    </r>
  </si>
  <si>
    <t>1|</t>
  </si>
  <si>
    <t>2|</t>
  </si>
  <si>
    <t>3|</t>
  </si>
  <si>
    <t>4|</t>
  </si>
  <si>
    <t>5|</t>
  </si>
  <si>
    <t>6|</t>
  </si>
  <si>
    <t>7|</t>
  </si>
  <si>
    <t>8|</t>
  </si>
  <si>
    <t>9|</t>
  </si>
  <si>
    <t>10|</t>
  </si>
  <si>
    <t>11|</t>
  </si>
  <si>
    <t>12|</t>
  </si>
  <si>
    <t>13|</t>
  </si>
  <si>
    <t>14|</t>
  </si>
  <si>
    <t>Índice</t>
  </si>
  <si>
    <t>9M22</t>
  </si>
  <si>
    <t>7| Impostos</t>
  </si>
  <si>
    <t>8| CPV</t>
  </si>
  <si>
    <t>9| SG&amp;A</t>
  </si>
  <si>
    <t>6| Lucro Líquido</t>
  </si>
  <si>
    <t>13| Receita por Marca e Canal</t>
  </si>
  <si>
    <t>3T22</t>
  </si>
  <si>
    <t>Outras¹</t>
  </si>
  <si>
    <t>¹ Outras: exportações.</t>
  </si>
  <si>
    <t>E-commerce¹</t>
  </si>
  <si>
    <t>Varejo Multimarcas</t>
  </si>
  <si>
    <t>Pagamentos de financiamentos e empréstimos</t>
  </si>
  <si>
    <t>Fase pré-operacional da nova unidade fabril</t>
  </si>
  <si>
    <t>¹ Outras: inclui exportações, aluguéis de imóveis e venda de matérias-primas como fios, elásticos e acessórios.</t>
  </si>
  <si>
    <t>Outros²</t>
  </si>
  <si>
    <t>Outros¹</t>
  </si>
  <si>
    <t>² Outros: inclui private label e mercado externo.</t>
  </si>
  <si>
    <t>¹ Outros: inclui private label, mercado externo, aluguéis de imóveis e venda de matérias-primas como fios, elásticos e acessórios.</t>
  </si>
  <si>
    <t>¹ Até dez/21 as vendas diretas por e-commerce eram faturadas fora do Grupo Lupo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</si>
</sst>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_-;\-* #,##0.00_-;_-* &quot;-&quot;??_-;_-@_-"/>
    <numFmt numFmtId="165" formatCode="_-* #,##0.0000_-;\-* #,##0.0000_-;_-* &quot;-&quot;??_-;_-@_-"/>
    <numFmt numFmtId="166" formatCode="#,##0.000"/>
    <numFmt numFmtId="167" formatCode="#,##0.0000"/>
    <numFmt numFmtId="168" formatCode="_-* #,##0_-;\-* #,##0_-;_-* &quot;-&quot;??_-;_-@_-"/>
    <numFmt numFmtId="169" formatCode="0.0%"/>
    <numFmt numFmtId="170" formatCode="_-* #,##0.0_-;\-* #,##0.0_-;_-* &quot;-&quot;??_-;_-@_-"/>
    <numFmt numFmtId="171" formatCode="0.0"/>
    <numFmt numFmtId="172" formatCode="_-* #,##0.0_-;\-* #,##0.0_-;_-* &quot;-&quot;?_-;_-@_-"/>
    <numFmt numFmtId="173" formatCode="#,##0.0"/>
    <numFmt numFmtId="174" formatCode="0.000%"/>
    <numFmt numFmtId="175" formatCode="#,##0.000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color theme="1"/>
      <name val="Lucida Console"/>
      <family val="2"/>
    </font>
    <font>
      <sz val="10"/>
      <name val="Lucida Sans Unicode"/>
      <family val="2"/>
    </font>
    <font>
      <b/>
      <sz val="11"/>
      <color theme="1"/>
      <name val="Lucida Console"/>
      <family val="2"/>
    </font>
    <font>
      <sz val="12"/>
      <name val="Arial"/>
      <family val="2"/>
    </font>
    <font>
      <sz val="10"/>
      <name val="Courier"/>
      <family val="3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55A2D4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color theme="10"/>
      <name val="Calibri"/>
      <family val="2"/>
      <scheme val="minor"/>
    </font>
    <font>
      <b/>
      <sz val="16"/>
      <color rgb="FF1F4E79"/>
      <name val="Calibri"/>
      <family val="2"/>
      <scheme val="minor"/>
    </font>
    <font>
      <b/>
      <sz val="10"/>
      <color rgb="FF1F4E79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6496C8"/>
      <name val="Calibri"/>
      <family val="2"/>
      <scheme val="minor"/>
    </font>
    <font>
      <b/>
      <sz val="11"/>
      <color rgb="FF6496C8"/>
      <name val="Calibri"/>
      <family val="2"/>
      <scheme val="minor"/>
    </font>
    <font>
      <u/>
      <sz val="11"/>
      <color rgb="FF6496C8"/>
      <name val="Calibri"/>
      <family val="2"/>
      <scheme val="minor"/>
    </font>
    <font>
      <sz val="10"/>
      <color rgb="FF6496C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6496C8"/>
      </bottom>
      <diagonal/>
    </border>
    <border>
      <left/>
      <right/>
      <top/>
      <bottom style="double">
        <color rgb="FF6496C8"/>
      </bottom>
      <diagonal/>
    </border>
  </borders>
  <cellStyleXfs count="15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3" fillId="7" borderId="7" applyNumberFormat="0" applyAlignment="0" applyProtection="0"/>
    <xf numFmtId="0" fontId="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9" applyNumberFormat="0" applyFill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30" fillId="0" borderId="0" applyNumberFormat="0" applyFill="0" applyBorder="0" applyAlignment="0" applyProtection="0"/>
  </cellStyleXfs>
  <cellXfs count="141">
    <xf numFmtId="0" fontId="0" fillId="0" borderId="0" xfId="0"/>
    <xf numFmtId="0" fontId="28" fillId="33" borderId="0" xfId="0" applyFont="1" applyFill="1"/>
    <xf numFmtId="0" fontId="29" fillId="34" borderId="0" xfId="0" applyFont="1" applyFill="1"/>
    <xf numFmtId="0" fontId="28" fillId="34" borderId="0" xfId="0" applyFont="1" applyFill="1"/>
    <xf numFmtId="3" fontId="29" fillId="34" borderId="0" xfId="0" applyNumberFormat="1" applyFont="1" applyFill="1"/>
    <xf numFmtId="164" fontId="29" fillId="34" borderId="0" xfId="1" applyFont="1" applyFill="1"/>
    <xf numFmtId="3" fontId="28" fillId="34" borderId="0" xfId="0" applyNumberFormat="1" applyFont="1" applyFill="1"/>
    <xf numFmtId="0" fontId="32" fillId="34" borderId="0" xfId="0" applyFont="1" applyFill="1" applyAlignment="1">
      <alignment wrapText="1"/>
    </xf>
    <xf numFmtId="14" fontId="32" fillId="34" borderId="0" xfId="0" applyNumberFormat="1" applyFont="1" applyFill="1" applyAlignment="1">
      <alignment horizontal="center"/>
    </xf>
    <xf numFmtId="3" fontId="29" fillId="34" borderId="0" xfId="0" applyNumberFormat="1" applyFont="1" applyFill="1" applyAlignment="1">
      <alignment horizontal="right" vertical="center" indent="1"/>
    </xf>
    <xf numFmtId="3" fontId="29" fillId="34" borderId="0" xfId="1" applyNumberFormat="1" applyFont="1" applyFill="1" applyAlignment="1">
      <alignment horizontal="right" vertical="center" indent="1"/>
    </xf>
    <xf numFmtId="3" fontId="28" fillId="34" borderId="0" xfId="0" applyNumberFormat="1" applyFont="1" applyFill="1" applyAlignment="1">
      <alignment horizontal="right" vertical="center" indent="1"/>
    </xf>
    <xf numFmtId="0" fontId="32" fillId="34" borderId="0" xfId="0" applyFont="1" applyFill="1"/>
    <xf numFmtId="3" fontId="28" fillId="35" borderId="0" xfId="0" applyNumberFormat="1" applyFont="1" applyFill="1" applyAlignment="1">
      <alignment horizontal="right" vertical="center" indent="1"/>
    </xf>
    <xf numFmtId="3" fontId="29" fillId="35" borderId="0" xfId="0" applyNumberFormat="1" applyFont="1" applyFill="1" applyAlignment="1">
      <alignment horizontal="right" vertical="center" indent="1"/>
    </xf>
    <xf numFmtId="3" fontId="29" fillId="33" borderId="0" xfId="0" applyNumberFormat="1" applyFont="1" applyFill="1" applyAlignment="1">
      <alignment horizontal="right" vertical="center" indent="1"/>
    </xf>
    <xf numFmtId="0" fontId="29" fillId="34" borderId="0" xfId="0" applyFont="1" applyFill="1" applyAlignment="1">
      <alignment horizontal="left" vertical="center" indent="1"/>
    </xf>
    <xf numFmtId="0" fontId="28" fillId="35" borderId="0" xfId="0" applyFont="1" applyFill="1" applyAlignment="1">
      <alignment horizontal="left" vertical="center" indent="1"/>
    </xf>
    <xf numFmtId="0" fontId="29" fillId="34" borderId="0" xfId="0" applyFont="1" applyFill="1" applyAlignment="1">
      <alignment vertical="center"/>
    </xf>
    <xf numFmtId="0" fontId="29" fillId="34" borderId="0" xfId="0" applyFont="1" applyFill="1" applyAlignment="1">
      <alignment horizontal="left" vertical="center" indent="3"/>
    </xf>
    <xf numFmtId="0" fontId="28" fillId="35" borderId="0" xfId="0" applyFont="1" applyFill="1" applyAlignment="1">
      <alignment horizontal="left" vertical="center" indent="2"/>
    </xf>
    <xf numFmtId="0" fontId="28" fillId="34" borderId="0" xfId="0" applyFont="1" applyFill="1" applyAlignment="1">
      <alignment horizontal="left" vertical="center" indent="1"/>
    </xf>
    <xf numFmtId="14" fontId="32" fillId="34" borderId="0" xfId="0" applyNumberFormat="1" applyFont="1" applyFill="1" applyAlignment="1">
      <alignment horizontal="right"/>
    </xf>
    <xf numFmtId="14" fontId="32" fillId="34" borderId="0" xfId="0" quotePrefix="1" applyNumberFormat="1" applyFont="1" applyFill="1" applyAlignment="1">
      <alignment horizontal="right"/>
    </xf>
    <xf numFmtId="0" fontId="32" fillId="34" borderId="0" xfId="0" applyFont="1" applyFill="1" applyAlignment="1">
      <alignment horizontal="right"/>
    </xf>
    <xf numFmtId="14" fontId="29" fillId="34" borderId="0" xfId="0" applyNumberFormat="1" applyFont="1" applyFill="1"/>
    <xf numFmtId="0" fontId="29" fillId="34" borderId="0" xfId="0" quotePrefix="1" applyFont="1" applyFill="1"/>
    <xf numFmtId="166" fontId="29" fillId="34" borderId="0" xfId="0" applyNumberFormat="1" applyFont="1" applyFill="1"/>
    <xf numFmtId="0" fontId="29" fillId="33" borderId="0" xfId="0" applyFont="1" applyFill="1" applyAlignment="1">
      <alignment horizontal="right" vertical="center" indent="1"/>
    </xf>
    <xf numFmtId="165" fontId="28" fillId="33" borderId="0" xfId="1" applyNumberFormat="1" applyFont="1" applyFill="1" applyAlignment="1">
      <alignment horizontal="right" vertical="center" indent="1"/>
    </xf>
    <xf numFmtId="167" fontId="28" fillId="33" borderId="0" xfId="0" applyNumberFormat="1" applyFont="1" applyFill="1" applyAlignment="1">
      <alignment horizontal="right" vertical="center" indent="1"/>
    </xf>
    <xf numFmtId="3" fontId="33" fillId="34" borderId="0" xfId="0" applyNumberFormat="1" applyFont="1" applyFill="1" applyAlignment="1">
      <alignment horizontal="right" vertical="center" indent="1"/>
    </xf>
    <xf numFmtId="0" fontId="29" fillId="33" borderId="0" xfId="0" applyFont="1" applyFill="1" applyAlignment="1">
      <alignment horizontal="left" vertical="center" indent="1"/>
    </xf>
    <xf numFmtId="0" fontId="28" fillId="33" borderId="0" xfId="0" applyFont="1" applyFill="1" applyAlignment="1">
      <alignment horizontal="left" vertical="center" indent="1"/>
    </xf>
    <xf numFmtId="3" fontId="29" fillId="34" borderId="0" xfId="0" quotePrefix="1" applyNumberFormat="1" applyFont="1" applyFill="1" applyAlignment="1">
      <alignment horizontal="right" vertical="center" indent="1"/>
    </xf>
    <xf numFmtId="164" fontId="29" fillId="34" borderId="0" xfId="1" applyFont="1" applyFill="1" applyAlignment="1">
      <alignment horizontal="right" vertical="center" indent="1"/>
    </xf>
    <xf numFmtId="0" fontId="29" fillId="34" borderId="0" xfId="0" quotePrefix="1" applyFont="1" applyFill="1" applyAlignment="1">
      <alignment horizontal="right" vertical="center" indent="1"/>
    </xf>
    <xf numFmtId="0" fontId="29" fillId="34" borderId="0" xfId="0" applyFont="1" applyFill="1" applyAlignment="1">
      <alignment horizontal="right" vertical="center" indent="1"/>
    </xf>
    <xf numFmtId="0" fontId="29" fillId="34" borderId="0" xfId="0" applyFont="1" applyFill="1" applyBorder="1"/>
    <xf numFmtId="3" fontId="29" fillId="34" borderId="0" xfId="0" applyNumberFormat="1" applyFont="1" applyFill="1" applyBorder="1" applyAlignment="1">
      <alignment horizontal="right" vertical="center" indent="1"/>
    </xf>
    <xf numFmtId="0" fontId="29" fillId="34" borderId="0" xfId="0" applyFont="1" applyFill="1" applyAlignment="1">
      <alignment horizontal="left" vertical="center" indent="2"/>
    </xf>
    <xf numFmtId="0" fontId="28" fillId="34" borderId="0" xfId="0" applyFont="1" applyFill="1" applyBorder="1" applyAlignment="1">
      <alignment horizontal="left" vertical="center" indent="1"/>
    </xf>
    <xf numFmtId="0" fontId="28" fillId="35" borderId="0" xfId="0" applyFont="1" applyFill="1" applyBorder="1" applyAlignment="1">
      <alignment horizontal="left" vertical="center" indent="1"/>
    </xf>
    <xf numFmtId="3" fontId="28" fillId="35" borderId="0" xfId="0" applyNumberFormat="1" applyFont="1" applyFill="1" applyBorder="1" applyAlignment="1">
      <alignment horizontal="right" vertical="center" indent="1"/>
    </xf>
    <xf numFmtId="0" fontId="28" fillId="34" borderId="0" xfId="0" applyFont="1" applyFill="1" applyAlignment="1">
      <alignment horizontal="right" vertical="center" indent="1"/>
    </xf>
    <xf numFmtId="0" fontId="29" fillId="34" borderId="0" xfId="0" applyFont="1" applyFill="1" applyBorder="1" applyAlignment="1">
      <alignment horizontal="right" vertical="center" indent="1"/>
    </xf>
    <xf numFmtId="164" fontId="29" fillId="34" borderId="0" xfId="1" applyFont="1" applyFill="1" applyBorder="1" applyAlignment="1">
      <alignment horizontal="right" vertical="center" indent="1"/>
    </xf>
    <xf numFmtId="0" fontId="28" fillId="34" borderId="0" xfId="0" applyFont="1" applyFill="1" applyBorder="1"/>
    <xf numFmtId="0" fontId="34" fillId="34" borderId="0" xfId="0" applyFont="1" applyFill="1" applyBorder="1"/>
    <xf numFmtId="3" fontId="34" fillId="34" borderId="0" xfId="0" applyNumberFormat="1" applyFont="1" applyFill="1" applyBorder="1"/>
    <xf numFmtId="173" fontId="34" fillId="34" borderId="0" xfId="0" applyNumberFormat="1" applyFont="1" applyFill="1" applyBorder="1"/>
    <xf numFmtId="170" fontId="34" fillId="34" borderId="0" xfId="1" applyNumberFormat="1" applyFont="1" applyFill="1" applyBorder="1"/>
    <xf numFmtId="172" fontId="29" fillId="34" borderId="0" xfId="0" applyNumberFormat="1" applyFont="1" applyFill="1" applyBorder="1"/>
    <xf numFmtId="0" fontId="29" fillId="34" borderId="0" xfId="0" applyFont="1" applyFill="1" applyBorder="1" applyAlignment="1">
      <alignment horizontal="left" vertical="center" indent="2"/>
    </xf>
    <xf numFmtId="3" fontId="29" fillId="34" borderId="0" xfId="1" applyNumberFormat="1" applyFont="1" applyFill="1" applyBorder="1" applyAlignment="1">
      <alignment horizontal="right" vertical="center" indent="1"/>
    </xf>
    <xf numFmtId="14" fontId="32" fillId="34" borderId="0" xfId="0" applyNumberFormat="1" applyFont="1" applyFill="1" applyBorder="1" applyAlignment="1">
      <alignment horizontal="center" vertical="center"/>
    </xf>
    <xf numFmtId="14" fontId="32" fillId="34" borderId="0" xfId="0" applyNumberFormat="1" applyFont="1" applyFill="1" applyBorder="1" applyAlignment="1">
      <alignment horizontal="center"/>
    </xf>
    <xf numFmtId="168" fontId="29" fillId="34" borderId="0" xfId="1" applyNumberFormat="1" applyFont="1" applyFill="1"/>
    <xf numFmtId="4" fontId="29" fillId="34" borderId="0" xfId="0" applyNumberFormat="1" applyFont="1" applyFill="1"/>
    <xf numFmtId="14" fontId="32" fillId="34" borderId="0" xfId="0" quotePrefix="1" applyNumberFormat="1" applyFont="1" applyFill="1" applyAlignment="1">
      <alignment horizontal="center"/>
    </xf>
    <xf numFmtId="0" fontId="32" fillId="34" borderId="0" xfId="0" applyFont="1" applyFill="1" applyAlignment="1">
      <alignment horizontal="center"/>
    </xf>
    <xf numFmtId="0" fontId="29" fillId="34" borderId="0" xfId="0" applyFont="1" applyFill="1" applyAlignment="1">
      <alignment horizontal="left" vertical="center" wrapText="1" indent="2"/>
    </xf>
    <xf numFmtId="169" fontId="28" fillId="35" borderId="0" xfId="2" applyNumberFormat="1" applyFont="1" applyFill="1" applyBorder="1" applyAlignment="1">
      <alignment horizontal="right" vertical="center" indent="1"/>
    </xf>
    <xf numFmtId="168" fontId="29" fillId="34" borderId="0" xfId="1" applyNumberFormat="1" applyFont="1" applyFill="1" applyAlignment="1">
      <alignment horizontal="right" vertical="center" indent="1"/>
    </xf>
    <xf numFmtId="0" fontId="28" fillId="35" borderId="0" xfId="0" applyFont="1" applyFill="1" applyBorder="1" applyAlignment="1">
      <alignment horizontal="left" vertical="center" wrapText="1" indent="1"/>
    </xf>
    <xf numFmtId="0" fontId="32" fillId="34" borderId="0" xfId="0" applyFont="1" applyFill="1" applyBorder="1" applyAlignment="1">
      <alignment wrapText="1"/>
    </xf>
    <xf numFmtId="14" fontId="32" fillId="34" borderId="0" xfId="0" quotePrefix="1" applyNumberFormat="1" applyFont="1" applyFill="1" applyBorder="1" applyAlignment="1">
      <alignment horizontal="center"/>
    </xf>
    <xf numFmtId="0" fontId="32" fillId="34" borderId="0" xfId="0" applyFont="1" applyFill="1" applyBorder="1" applyAlignment="1">
      <alignment horizontal="center"/>
    </xf>
    <xf numFmtId="3" fontId="33" fillId="34" borderId="0" xfId="0" applyNumberFormat="1" applyFont="1" applyFill="1" applyAlignment="1">
      <alignment horizontal="left" vertical="center" indent="2"/>
    </xf>
    <xf numFmtId="0" fontId="32" fillId="34" borderId="0" xfId="0" applyFont="1" applyFill="1" applyBorder="1"/>
    <xf numFmtId="14" fontId="32" fillId="34" borderId="0" xfId="0" applyNumberFormat="1" applyFont="1" applyFill="1" applyBorder="1" applyAlignment="1">
      <alignment horizontal="right"/>
    </xf>
    <xf numFmtId="14" fontId="32" fillId="34" borderId="0" xfId="0" quotePrefix="1" applyNumberFormat="1" applyFont="1" applyFill="1" applyBorder="1" applyAlignment="1">
      <alignment horizontal="right"/>
    </xf>
    <xf numFmtId="0" fontId="32" fillId="34" borderId="0" xfId="0" applyFont="1" applyFill="1" applyBorder="1" applyAlignment="1">
      <alignment horizontal="right"/>
    </xf>
    <xf numFmtId="169" fontId="28" fillId="35" borderId="0" xfId="2" applyNumberFormat="1" applyFont="1" applyFill="1" applyAlignment="1">
      <alignment horizontal="right" vertical="center" indent="1"/>
    </xf>
    <xf numFmtId="169" fontId="29" fillId="34" borderId="0" xfId="2" applyNumberFormat="1" applyFont="1" applyFill="1"/>
    <xf numFmtId="3" fontId="29" fillId="34" borderId="0" xfId="0" applyNumberFormat="1" applyFont="1" applyFill="1" applyAlignment="1">
      <alignment horizontal="left" vertical="center" indent="2"/>
    </xf>
    <xf numFmtId="14" fontId="32" fillId="34" borderId="0" xfId="0" quotePrefix="1" applyNumberFormat="1" applyFont="1" applyFill="1" applyBorder="1" applyAlignment="1">
      <alignment horizontal="center" vertical="center"/>
    </xf>
    <xf numFmtId="0" fontId="32" fillId="34" borderId="0" xfId="0" applyFont="1" applyFill="1" applyBorder="1" applyAlignment="1">
      <alignment horizontal="center" vertical="center"/>
    </xf>
    <xf numFmtId="3" fontId="29" fillId="34" borderId="0" xfId="0" applyNumberFormat="1" applyFont="1" applyFill="1" applyAlignment="1">
      <alignment horizontal="left" vertical="center" indent="3"/>
    </xf>
    <xf numFmtId="0" fontId="32" fillId="34" borderId="0" xfId="0" applyFont="1" applyFill="1" applyBorder="1" applyAlignment="1">
      <alignment horizontal="left" wrapText="1"/>
    </xf>
    <xf numFmtId="164" fontId="29" fillId="34" borderId="0" xfId="0" applyNumberFormat="1" applyFont="1" applyFill="1"/>
    <xf numFmtId="171" fontId="29" fillId="34" borderId="0" xfId="0" applyNumberFormat="1" applyFont="1" applyFill="1"/>
    <xf numFmtId="171" fontId="29" fillId="34" borderId="0" xfId="0" applyNumberFormat="1" applyFont="1" applyFill="1" applyAlignment="1">
      <alignment horizontal="right" vertical="center" indent="1"/>
    </xf>
    <xf numFmtId="172" fontId="29" fillId="34" borderId="0" xfId="0" applyNumberFormat="1" applyFont="1" applyFill="1"/>
    <xf numFmtId="170" fontId="29" fillId="34" borderId="0" xfId="0" applyNumberFormat="1" applyFont="1" applyFill="1"/>
    <xf numFmtId="0" fontId="35" fillId="34" borderId="0" xfId="0" applyFont="1" applyFill="1"/>
    <xf numFmtId="174" fontId="29" fillId="34" borderId="0" xfId="2" applyNumberFormat="1" applyFont="1" applyFill="1"/>
    <xf numFmtId="10" fontId="29" fillId="34" borderId="0" xfId="2" applyNumberFormat="1" applyFont="1" applyFill="1"/>
    <xf numFmtId="0" fontId="32" fillId="34" borderId="0" xfId="0" applyFont="1" applyFill="1" applyAlignment="1">
      <alignment horizontal="left" vertical="center" wrapText="1"/>
    </xf>
    <xf numFmtId="0" fontId="27" fillId="34" borderId="0" xfId="0" applyFont="1" applyFill="1" applyAlignment="1">
      <alignment horizontal="left" vertical="center" indent="2"/>
    </xf>
    <xf numFmtId="0" fontId="31" fillId="35" borderId="0" xfId="0" applyFont="1" applyFill="1" applyAlignment="1">
      <alignment horizontal="left" vertical="center" indent="1"/>
    </xf>
    <xf numFmtId="0" fontId="32" fillId="34" borderId="0" xfId="0" applyFont="1" applyFill="1" applyBorder="1" applyAlignment="1">
      <alignment horizontal="left" vertical="center" wrapText="1"/>
    </xf>
    <xf numFmtId="173" fontId="29" fillId="34" borderId="0" xfId="1" applyNumberFormat="1" applyFont="1" applyFill="1" applyAlignment="1">
      <alignment horizontal="right" vertical="center" indent="1"/>
    </xf>
    <xf numFmtId="173" fontId="28" fillId="35" borderId="0" xfId="1" applyNumberFormat="1" applyFont="1" applyFill="1" applyBorder="1" applyAlignment="1">
      <alignment horizontal="right" vertical="center" indent="1"/>
    </xf>
    <xf numFmtId="173" fontId="29" fillId="34" borderId="0" xfId="0" applyNumberFormat="1" applyFont="1" applyFill="1" applyAlignment="1">
      <alignment horizontal="right" vertical="center" indent="1"/>
    </xf>
    <xf numFmtId="171" fontId="29" fillId="34" borderId="0" xfId="1" applyNumberFormat="1" applyFont="1" applyFill="1" applyAlignment="1">
      <alignment horizontal="right" vertical="center" indent="1"/>
    </xf>
    <xf numFmtId="171" fontId="28" fillId="35" borderId="0" xfId="1" applyNumberFormat="1" applyFont="1" applyFill="1" applyBorder="1" applyAlignment="1">
      <alignment horizontal="right" vertical="center" indent="1"/>
    </xf>
    <xf numFmtId="169" fontId="29" fillId="34" borderId="0" xfId="0" applyNumberFormat="1" applyFont="1" applyFill="1"/>
    <xf numFmtId="169" fontId="29" fillId="34" borderId="0" xfId="0" applyNumberFormat="1" applyFont="1" applyFill="1" applyAlignment="1">
      <alignment horizontal="right" vertical="center" indent="1"/>
    </xf>
    <xf numFmtId="0" fontId="29" fillId="34" borderId="0" xfId="0" applyFont="1" applyFill="1" applyAlignment="1">
      <alignment horizontal="center"/>
    </xf>
    <xf numFmtId="0" fontId="37" fillId="34" borderId="0" xfId="151" applyFont="1" applyFill="1" applyAlignment="1">
      <alignment horizontal="center"/>
    </xf>
    <xf numFmtId="0" fontId="29" fillId="34" borderId="0" xfId="0" applyFont="1" applyFill="1" applyAlignment="1">
      <alignment horizontal="left"/>
    </xf>
    <xf numFmtId="0" fontId="37" fillId="34" borderId="0" xfId="151" applyFont="1" applyFill="1" applyAlignment="1">
      <alignment horizontal="left"/>
    </xf>
    <xf numFmtId="0" fontId="39" fillId="34" borderId="0" xfId="0" applyFont="1" applyFill="1"/>
    <xf numFmtId="0" fontId="38" fillId="34" borderId="0" xfId="0" applyFont="1" applyFill="1"/>
    <xf numFmtId="0" fontId="40" fillId="34" borderId="0" xfId="0" applyFont="1" applyFill="1" applyAlignment="1">
      <alignment horizontal="left" vertical="center"/>
    </xf>
    <xf numFmtId="0" fontId="39" fillId="34" borderId="0" xfId="0" applyFont="1" applyFill="1" applyBorder="1"/>
    <xf numFmtId="0" fontId="41" fillId="34" borderId="0" xfId="151" applyFont="1" applyFill="1" applyAlignment="1">
      <alignment horizontal="center"/>
    </xf>
    <xf numFmtId="0" fontId="41" fillId="34" borderId="0" xfId="151" applyFont="1" applyFill="1" applyAlignment="1">
      <alignment horizontal="right"/>
    </xf>
    <xf numFmtId="0" fontId="40" fillId="34" borderId="0" xfId="0" applyFont="1" applyFill="1" applyAlignment="1">
      <alignment horizontal="center" vertical="center"/>
    </xf>
    <xf numFmtId="0" fontId="29" fillId="34" borderId="0" xfId="0" applyFont="1" applyFill="1" applyAlignment="1">
      <alignment horizontal="right"/>
    </xf>
    <xf numFmtId="0" fontId="29" fillId="34" borderId="0" xfId="0" applyFont="1" applyFill="1" applyAlignment="1">
      <alignment horizontal="right" vertical="center"/>
    </xf>
    <xf numFmtId="0" fontId="42" fillId="34" borderId="0" xfId="0" applyFont="1" applyFill="1" applyAlignment="1">
      <alignment horizontal="left" vertical="center"/>
    </xf>
    <xf numFmtId="0" fontId="44" fillId="34" borderId="0" xfId="0" applyFont="1" applyFill="1" applyAlignment="1">
      <alignment horizontal="left" vertical="center" indent="2"/>
    </xf>
    <xf numFmtId="0" fontId="33" fillId="34" borderId="0" xfId="0" applyFont="1" applyFill="1"/>
    <xf numFmtId="175" fontId="29" fillId="34" borderId="0" xfId="0" applyNumberFormat="1" applyFont="1" applyFill="1"/>
    <xf numFmtId="0" fontId="45" fillId="34" borderId="0" xfId="0" applyFont="1" applyFill="1"/>
    <xf numFmtId="0" fontId="46" fillId="34" borderId="0" xfId="0" applyFont="1" applyFill="1" applyAlignment="1">
      <alignment horizontal="right"/>
    </xf>
    <xf numFmtId="0" fontId="47" fillId="34" borderId="0" xfId="151" applyFont="1" applyFill="1" applyAlignment="1">
      <alignment horizontal="left"/>
    </xf>
    <xf numFmtId="0" fontId="29" fillId="34" borderId="0" xfId="0" applyFont="1" applyFill="1" applyBorder="1" applyAlignment="1">
      <alignment horizontal="left"/>
    </xf>
    <xf numFmtId="0" fontId="29" fillId="34" borderId="10" xfId="0" applyFont="1" applyFill="1" applyBorder="1"/>
    <xf numFmtId="0" fontId="32" fillId="34" borderId="10" xfId="0" applyFont="1" applyFill="1" applyBorder="1" applyAlignment="1">
      <alignment horizontal="right"/>
    </xf>
    <xf numFmtId="0" fontId="29" fillId="34" borderId="10" xfId="0" applyFont="1" applyFill="1" applyBorder="1" applyAlignment="1">
      <alignment horizontal="left"/>
    </xf>
    <xf numFmtId="0" fontId="43" fillId="34" borderId="11" xfId="0" applyFont="1" applyFill="1" applyBorder="1" applyAlignment="1">
      <alignment vertical="top" wrapText="1"/>
    </xf>
    <xf numFmtId="14" fontId="43" fillId="34" borderId="11" xfId="0" applyNumberFormat="1" applyFont="1" applyFill="1" applyBorder="1" applyAlignment="1">
      <alignment horizontal="center"/>
    </xf>
    <xf numFmtId="0" fontId="43" fillId="34" borderId="11" xfId="0" applyFont="1" applyFill="1" applyBorder="1" applyAlignment="1">
      <alignment vertical="center" wrapText="1"/>
    </xf>
    <xf numFmtId="0" fontId="48" fillId="34" borderId="0" xfId="151" quotePrefix="1" applyFont="1" applyFill="1" applyAlignment="1">
      <alignment horizontal="left" vertical="center" indent="1"/>
    </xf>
    <xf numFmtId="0" fontId="49" fillId="35" borderId="0" xfId="0" applyFont="1" applyFill="1" applyAlignment="1">
      <alignment horizontal="left" vertical="center" indent="1"/>
    </xf>
    <xf numFmtId="0" fontId="49" fillId="34" borderId="0" xfId="0" applyFont="1" applyFill="1" applyAlignment="1">
      <alignment horizontal="left" vertical="center" indent="1"/>
    </xf>
    <xf numFmtId="0" fontId="48" fillId="35" borderId="0" xfId="151" quotePrefix="1" applyFont="1" applyFill="1" applyAlignment="1">
      <alignment horizontal="left" vertical="center" indent="1"/>
    </xf>
    <xf numFmtId="0" fontId="43" fillId="34" borderId="11" xfId="0" applyFont="1" applyFill="1" applyBorder="1" applyAlignment="1">
      <alignment wrapText="1"/>
    </xf>
    <xf numFmtId="0" fontId="43" fillId="34" borderId="11" xfId="0" applyFont="1" applyFill="1" applyBorder="1" applyAlignment="1">
      <alignment horizontal="center"/>
    </xf>
    <xf numFmtId="14" fontId="43" fillId="34" borderId="11" xfId="0" quotePrefix="1" applyNumberFormat="1" applyFont="1" applyFill="1" applyBorder="1" applyAlignment="1">
      <alignment horizontal="center"/>
    </xf>
    <xf numFmtId="0" fontId="43" fillId="34" borderId="11" xfId="0" applyFont="1" applyFill="1" applyBorder="1" applyAlignment="1">
      <alignment horizontal="center" wrapText="1"/>
    </xf>
    <xf numFmtId="0" fontId="43" fillId="34" borderId="11" xfId="0" applyFont="1" applyFill="1" applyBorder="1" applyAlignment="1">
      <alignment horizontal="left" wrapText="1"/>
    </xf>
    <xf numFmtId="0" fontId="43" fillId="34" borderId="11" xfId="0" applyFont="1" applyFill="1" applyBorder="1"/>
    <xf numFmtId="14" fontId="43" fillId="34" borderId="11" xfId="0" applyNumberFormat="1" applyFont="1" applyFill="1" applyBorder="1" applyAlignment="1">
      <alignment horizontal="center" vertical="center"/>
    </xf>
    <xf numFmtId="14" fontId="43" fillId="34" borderId="11" xfId="0" quotePrefix="1" applyNumberFormat="1" applyFont="1" applyFill="1" applyBorder="1" applyAlignment="1">
      <alignment horizontal="center" vertical="center"/>
    </xf>
    <xf numFmtId="0" fontId="43" fillId="34" borderId="11" xfId="0" applyFont="1" applyFill="1" applyBorder="1" applyAlignment="1">
      <alignment horizontal="center" vertical="center"/>
    </xf>
    <xf numFmtId="0" fontId="43" fillId="34" borderId="11" xfId="0" applyFont="1" applyFill="1" applyBorder="1" applyAlignment="1">
      <alignment horizontal="left" vertical="center" wrapText="1"/>
    </xf>
    <xf numFmtId="0" fontId="42" fillId="34" borderId="0" xfId="0" applyFont="1" applyFill="1" applyAlignment="1">
      <alignment horizontal="center" vertical="center"/>
    </xf>
  </cellXfs>
  <cellStyles count="152">
    <cellStyle name="20% - Ênfase1" xfId="20" builtinId="30" customBuiltin="1"/>
    <cellStyle name="20% - Ênfase1 2" xfId="52"/>
    <cellStyle name="20% - Ênfase1 2 2" xfId="72"/>
    <cellStyle name="20% - Ênfase1 3" xfId="73"/>
    <cellStyle name="20% - Ênfase1 4" xfId="136"/>
    <cellStyle name="20% - Ênfase2" xfId="24" builtinId="34" customBuiltin="1"/>
    <cellStyle name="20% - Ênfase2 2" xfId="54"/>
    <cellStyle name="20% - Ênfase2 2 2" xfId="74"/>
    <cellStyle name="20% - Ênfase2 3" xfId="75"/>
    <cellStyle name="20% - Ênfase2 4" xfId="138"/>
    <cellStyle name="20% - Ênfase3" xfId="28" builtinId="38" customBuiltin="1"/>
    <cellStyle name="20% - Ênfase3 2" xfId="56"/>
    <cellStyle name="20% - Ênfase3 2 2" xfId="76"/>
    <cellStyle name="20% - Ênfase3 3" xfId="77"/>
    <cellStyle name="20% - Ênfase3 4" xfId="140"/>
    <cellStyle name="20% - Ênfase4" xfId="32" builtinId="42" customBuiltin="1"/>
    <cellStyle name="20% - Ênfase4 2" xfId="58"/>
    <cellStyle name="20% - Ênfase4 2 2" xfId="78"/>
    <cellStyle name="20% - Ênfase4 3" xfId="79"/>
    <cellStyle name="20% - Ênfase4 4" xfId="142"/>
    <cellStyle name="20% - Ênfase5" xfId="36" builtinId="46" customBuiltin="1"/>
    <cellStyle name="20% - Ênfase5 2" xfId="60"/>
    <cellStyle name="20% - Ênfase5 2 2" xfId="80"/>
    <cellStyle name="20% - Ênfase5 3" xfId="81"/>
    <cellStyle name="20% - Ênfase5 4" xfId="144"/>
    <cellStyle name="20% - Ênfase6" xfId="40" builtinId="50" customBuiltin="1"/>
    <cellStyle name="20% - Ênfase6 2" xfId="62"/>
    <cellStyle name="20% - Ênfase6 2 2" xfId="82"/>
    <cellStyle name="20% - Ênfase6 3" xfId="83"/>
    <cellStyle name="20% - Ênfase6 4" xfId="146"/>
    <cellStyle name="40% - Ênfase1" xfId="21" builtinId="31" customBuiltin="1"/>
    <cellStyle name="40% - Ênfase1 2" xfId="53"/>
    <cellStyle name="40% - Ênfase1 2 2" xfId="84"/>
    <cellStyle name="40% - Ênfase1 3" xfId="85"/>
    <cellStyle name="40% - Ênfase1 4" xfId="137"/>
    <cellStyle name="40% - Ênfase2" xfId="25" builtinId="35" customBuiltin="1"/>
    <cellStyle name="40% - Ênfase2 2" xfId="55"/>
    <cellStyle name="40% - Ênfase2 2 2" xfId="86"/>
    <cellStyle name="40% - Ênfase2 3" xfId="87"/>
    <cellStyle name="40% - Ênfase2 4" xfId="139"/>
    <cellStyle name="40% - Ênfase3" xfId="29" builtinId="39" customBuiltin="1"/>
    <cellStyle name="40% - Ênfase3 2" xfId="57"/>
    <cellStyle name="40% - Ênfase3 2 2" xfId="88"/>
    <cellStyle name="40% - Ênfase3 3" xfId="89"/>
    <cellStyle name="40% - Ênfase3 4" xfId="141"/>
    <cellStyle name="40% - Ênfase4" xfId="33" builtinId="43" customBuiltin="1"/>
    <cellStyle name="40% - Ênfase4 2" xfId="59"/>
    <cellStyle name="40% - Ênfase4 2 2" xfId="90"/>
    <cellStyle name="40% - Ênfase4 3" xfId="91"/>
    <cellStyle name="40% - Ênfase4 4" xfId="143"/>
    <cellStyle name="40% - Ênfase5" xfId="37" builtinId="47" customBuiltin="1"/>
    <cellStyle name="40% - Ênfase5 2" xfId="61"/>
    <cellStyle name="40% - Ênfase5 2 2" xfId="92"/>
    <cellStyle name="40% - Ênfase5 3" xfId="93"/>
    <cellStyle name="40% - Ênfase5 4" xfId="145"/>
    <cellStyle name="40% - Ênfase6" xfId="41" builtinId="51" customBuiltin="1"/>
    <cellStyle name="40% - Ênfase6 2" xfId="63"/>
    <cellStyle name="40% - Ênfase6 2 2" xfId="94"/>
    <cellStyle name="40% - Ênfase6 3" xfId="95"/>
    <cellStyle name="40% - Ênfase6 4" xfId="147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Comma 14" xfId="96"/>
    <cellStyle name="Comma 2" xfId="97"/>
    <cellStyle name="Comma 2 2" xfId="98"/>
    <cellStyle name="Comma 3" xfId="99"/>
    <cellStyle name="Comma 4" xfId="100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Hiperlink" xfId="151" builtinId="8"/>
    <cellStyle name="Incorreto" xfId="8" builtinId="27" customBuiltin="1"/>
    <cellStyle name="Indefinido" xfId="127"/>
    <cellStyle name="Neutra" xfId="9" builtinId="28" customBuiltin="1"/>
    <cellStyle name="Normal" xfId="0" builtinId="0"/>
    <cellStyle name="Normal 10" xfId="129"/>
    <cellStyle name="Normal 10 2" xfId="149"/>
    <cellStyle name="Normal 11" xfId="130"/>
    <cellStyle name="Normal 11 2" xfId="150"/>
    <cellStyle name="Normal 12" xfId="69"/>
    <cellStyle name="Normal 13" xfId="43"/>
    <cellStyle name="Normal 14" xfId="101"/>
    <cellStyle name="Normal 2" xfId="46"/>
    <cellStyle name="Normal 2 2" xfId="64"/>
    <cellStyle name="Normal 2 2 2" xfId="104"/>
    <cellStyle name="Normal 2 2 3" xfId="103"/>
    <cellStyle name="Normal 2 3" xfId="105"/>
    <cellStyle name="Normal 2 4" xfId="102"/>
    <cellStyle name="Normal 3" xfId="48"/>
    <cellStyle name="Normal 3 2" xfId="106"/>
    <cellStyle name="Normal 4" xfId="67"/>
    <cellStyle name="Normal 4 2" xfId="108"/>
    <cellStyle name="Normal 4 3" xfId="107"/>
    <cellStyle name="Normal 5" xfId="109"/>
    <cellStyle name="Normal 59" xfId="110"/>
    <cellStyle name="Normal 59 2" xfId="111"/>
    <cellStyle name="Normal 6" xfId="112"/>
    <cellStyle name="Normal 7" xfId="113"/>
    <cellStyle name="Normal 8" xfId="126"/>
    <cellStyle name="Normal 9" xfId="128"/>
    <cellStyle name="Normal 9 2" xfId="148"/>
    <cellStyle name="Nota" xfId="16" builtinId="10" customBuiltin="1"/>
    <cellStyle name="Nota 2" xfId="51"/>
    <cellStyle name="Nota 2 2" xfId="114"/>
    <cellStyle name="Nota 3" xfId="115"/>
    <cellStyle name="Nota 4" xfId="135"/>
    <cellStyle name="Percent 2" xfId="116"/>
    <cellStyle name="Percent 2 2" xfId="117"/>
    <cellStyle name="Percent 3" xfId="118"/>
    <cellStyle name="Porcentagem" xfId="2" builtinId="5"/>
    <cellStyle name="Porcentagem 2" xfId="66"/>
    <cellStyle name="Porcentagem 2 2" xfId="119"/>
    <cellStyle name="Porcentagem 3" xfId="71"/>
    <cellStyle name="Porcentagem 4" xfId="50"/>
    <cellStyle name="Saída" xfId="11" builtinId="21" customBuiltin="1"/>
    <cellStyle name="Texto de Aviso" xfId="15" builtinId="11" customBuiltin="1"/>
    <cellStyle name="Texto Explicativo" xfId="17" builtinId="53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ítulo 5" xfId="131"/>
    <cellStyle name="Título 6" xfId="132"/>
    <cellStyle name="Título 7" xfId="134"/>
    <cellStyle name="Título 8" xfId="44"/>
    <cellStyle name="Total" xfId="18" builtinId="25" customBuiltin="1"/>
    <cellStyle name="Total 2" xfId="120"/>
    <cellStyle name="Vírgula" xfId="1" builtinId="3"/>
    <cellStyle name="Vírgula 2" xfId="47"/>
    <cellStyle name="Vírgula 2 2" xfId="65"/>
    <cellStyle name="Vírgula 2 3" xfId="121"/>
    <cellStyle name="Vírgula 3" xfId="49"/>
    <cellStyle name="Vírgula 3 2" xfId="122"/>
    <cellStyle name="Vírgula 4" xfId="68"/>
    <cellStyle name="Vírgula 4 2" xfId="123"/>
    <cellStyle name="Vírgula 5" xfId="124"/>
    <cellStyle name="Vírgula 6" xfId="125"/>
    <cellStyle name="Vírgula 7" xfId="133"/>
    <cellStyle name="Vírgula 8" xfId="70"/>
    <cellStyle name="Vírgula 9" xfId="45"/>
  </cellStyles>
  <dxfs count="0"/>
  <tableStyles count="0" defaultTableStyle="TableStyleMedium9" defaultPivotStyle="PivotStyleLight16"/>
  <colors>
    <mruColors>
      <color rgb="FF6496C8"/>
      <color rgb="FF55A2D4"/>
      <color rgb="FF1F4E7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603251</xdr:colOff>
      <xdr:row>0</xdr:row>
      <xdr:rowOff>2</xdr:rowOff>
    </xdr:from>
    <xdr:to>
      <xdr:col>10</xdr:col>
      <xdr:colOff>4886</xdr:colOff>
      <xdr:row>8</xdr:row>
      <xdr:rowOff>92399</xdr:rowOff>
    </xdr:to>
    <xdr:pic>
      <xdr:nvPicPr>
        <xdr:cNvPr id="3" name="Imagem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39" b="4278"/>
        <a:stretch/>
      </xdr:blipFill>
      <xdr:spPr bwMode="auto">
        <a:xfrm>
          <a:off x="603251" y="2"/>
          <a:ext cx="7434385" cy="1514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2057400</xdr:colOff>
      <xdr:row>2</xdr:row>
      <xdr:rowOff>19050</xdr:rowOff>
    </xdr:from>
    <xdr:to>
      <xdr:col>1</xdr:col>
      <xdr:colOff>2633400</xdr:colOff>
      <xdr:row>3</xdr:row>
      <xdr:rowOff>104321</xdr:rowOff>
    </xdr:to>
    <xdr:sp macro="" textlink="">
      <xdr:nvSpPr>
        <xdr:cNvPr id="3" name="Retângulo Arredondado 2">
          <a:hlinkClick xmlns:r="http://schemas.openxmlformats.org/officeDocument/2006/relationships" r:id="rId1"/>
        </xdr:cNvPr>
        <xdr:cNvSpPr/>
      </xdr:nvSpPr>
      <xdr:spPr>
        <a:xfrm>
          <a:off x="2120900" y="260350"/>
          <a:ext cx="576000" cy="263071"/>
        </a:xfrm>
        <a:prstGeom prst="roundRect">
          <a:avLst/>
        </a:prstGeom>
        <a:solidFill>
          <a:srgbClr val="6496C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 b="1">
              <a:solidFill>
                <a:schemeClr val="bg1"/>
              </a:solidFill>
            </a:rPr>
            <a:t>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1695001</xdr:colOff>
      <xdr:row>3</xdr:row>
      <xdr:rowOff>140762</xdr:rowOff>
    </xdr:to>
    <xdr:pic>
      <xdr:nvPicPr>
        <xdr:cNvPr id="4" name="Imagem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49" t="28107" r="15460" b="30981"/>
        <a:stretch/>
      </xdr:blipFill>
      <xdr:spPr bwMode="auto">
        <a:xfrm>
          <a:off x="0" y="0"/>
          <a:ext cx="1758501" cy="559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2057400</xdr:colOff>
      <xdr:row>2</xdr:row>
      <xdr:rowOff>19050</xdr:rowOff>
    </xdr:from>
    <xdr:to>
      <xdr:col>2</xdr:col>
      <xdr:colOff>258500</xdr:colOff>
      <xdr:row>3</xdr:row>
      <xdr:rowOff>104321</xdr:rowOff>
    </xdr:to>
    <xdr:sp macro="" textlink="">
      <xdr:nvSpPr>
        <xdr:cNvPr id="3" name="Retângulo Arredondado 2">
          <a:hlinkClick xmlns:r="http://schemas.openxmlformats.org/officeDocument/2006/relationships" r:id="rId1"/>
        </xdr:cNvPr>
        <xdr:cNvSpPr/>
      </xdr:nvSpPr>
      <xdr:spPr>
        <a:xfrm>
          <a:off x="2120900" y="260350"/>
          <a:ext cx="576000" cy="263071"/>
        </a:xfrm>
        <a:prstGeom prst="roundRect">
          <a:avLst/>
        </a:prstGeom>
        <a:solidFill>
          <a:srgbClr val="6496C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 b="1">
              <a:solidFill>
                <a:schemeClr val="bg1"/>
              </a:solidFill>
            </a:rPr>
            <a:t>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1695001</xdr:colOff>
      <xdr:row>3</xdr:row>
      <xdr:rowOff>140762</xdr:rowOff>
    </xdr:to>
    <xdr:pic>
      <xdr:nvPicPr>
        <xdr:cNvPr id="4" name="Imagem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49" t="28107" r="15460" b="30981"/>
        <a:stretch/>
      </xdr:blipFill>
      <xdr:spPr bwMode="auto">
        <a:xfrm>
          <a:off x="0" y="0"/>
          <a:ext cx="1758501" cy="559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2057400</xdr:colOff>
      <xdr:row>2</xdr:row>
      <xdr:rowOff>19050</xdr:rowOff>
    </xdr:from>
    <xdr:to>
      <xdr:col>2</xdr:col>
      <xdr:colOff>429950</xdr:colOff>
      <xdr:row>3</xdr:row>
      <xdr:rowOff>104321</xdr:rowOff>
    </xdr:to>
    <xdr:sp macro="" textlink="">
      <xdr:nvSpPr>
        <xdr:cNvPr id="3" name="Retângulo Arredondado 2">
          <a:hlinkClick xmlns:r="http://schemas.openxmlformats.org/officeDocument/2006/relationships" r:id="rId1"/>
        </xdr:cNvPr>
        <xdr:cNvSpPr/>
      </xdr:nvSpPr>
      <xdr:spPr>
        <a:xfrm>
          <a:off x="2120900" y="260350"/>
          <a:ext cx="576000" cy="263071"/>
        </a:xfrm>
        <a:prstGeom prst="roundRect">
          <a:avLst/>
        </a:prstGeom>
        <a:solidFill>
          <a:srgbClr val="6496C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 b="1">
              <a:solidFill>
                <a:schemeClr val="bg1"/>
              </a:solidFill>
            </a:rPr>
            <a:t>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1695001</xdr:colOff>
      <xdr:row>3</xdr:row>
      <xdr:rowOff>140762</xdr:rowOff>
    </xdr:to>
    <xdr:pic>
      <xdr:nvPicPr>
        <xdr:cNvPr id="4" name="Imagem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49" t="28107" r="15460" b="30981"/>
        <a:stretch/>
      </xdr:blipFill>
      <xdr:spPr bwMode="auto">
        <a:xfrm>
          <a:off x="0" y="0"/>
          <a:ext cx="1758501" cy="559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</xdr:row>
      <xdr:rowOff>19050</xdr:rowOff>
    </xdr:from>
    <xdr:to>
      <xdr:col>3</xdr:col>
      <xdr:colOff>271200</xdr:colOff>
      <xdr:row>3</xdr:row>
      <xdr:rowOff>104321</xdr:rowOff>
    </xdr:to>
    <xdr:sp macro="" textlink="">
      <xdr:nvSpPr>
        <xdr:cNvPr id="3" name="Retângulo Arredondado 2">
          <a:hlinkClick xmlns:r="http://schemas.openxmlformats.org/officeDocument/2006/relationships" r:id="rId1"/>
        </xdr:cNvPr>
        <xdr:cNvSpPr/>
      </xdr:nvSpPr>
      <xdr:spPr>
        <a:xfrm>
          <a:off x="2120900" y="260350"/>
          <a:ext cx="576000" cy="263071"/>
        </a:xfrm>
        <a:prstGeom prst="roundRect">
          <a:avLst/>
        </a:prstGeom>
        <a:solidFill>
          <a:srgbClr val="6496C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 b="1">
              <a:solidFill>
                <a:schemeClr val="bg1"/>
              </a:solidFill>
            </a:rPr>
            <a:t>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1695001</xdr:colOff>
      <xdr:row>3</xdr:row>
      <xdr:rowOff>140762</xdr:rowOff>
    </xdr:to>
    <xdr:pic>
      <xdr:nvPicPr>
        <xdr:cNvPr id="4" name="Imagem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49" t="28107" r="15460" b="30981"/>
        <a:stretch/>
      </xdr:blipFill>
      <xdr:spPr bwMode="auto">
        <a:xfrm>
          <a:off x="0" y="0"/>
          <a:ext cx="1758501" cy="559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2057400</xdr:colOff>
      <xdr:row>2</xdr:row>
      <xdr:rowOff>19050</xdr:rowOff>
    </xdr:from>
    <xdr:to>
      <xdr:col>2</xdr:col>
      <xdr:colOff>99750</xdr:colOff>
      <xdr:row>3</xdr:row>
      <xdr:rowOff>104321</xdr:rowOff>
    </xdr:to>
    <xdr:sp macro="" textlink="">
      <xdr:nvSpPr>
        <xdr:cNvPr id="4" name="Retângulo Arredondado 3">
          <a:hlinkClick xmlns:r="http://schemas.openxmlformats.org/officeDocument/2006/relationships" r:id="rId1"/>
        </xdr:cNvPr>
        <xdr:cNvSpPr/>
      </xdr:nvSpPr>
      <xdr:spPr>
        <a:xfrm>
          <a:off x="2120900" y="260350"/>
          <a:ext cx="576000" cy="263071"/>
        </a:xfrm>
        <a:prstGeom prst="roundRect">
          <a:avLst/>
        </a:prstGeom>
        <a:solidFill>
          <a:srgbClr val="6496C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 b="1">
              <a:solidFill>
                <a:schemeClr val="bg1"/>
              </a:solidFill>
            </a:rPr>
            <a:t>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1695001</xdr:colOff>
      <xdr:row>3</xdr:row>
      <xdr:rowOff>140762</xdr:rowOff>
    </xdr:to>
    <xdr:pic>
      <xdr:nvPicPr>
        <xdr:cNvPr id="3" name="Imagem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49" t="28107" r="15460" b="30981"/>
        <a:stretch/>
      </xdr:blipFill>
      <xdr:spPr bwMode="auto">
        <a:xfrm>
          <a:off x="0" y="0"/>
          <a:ext cx="1758501" cy="559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</xdr:row>
      <xdr:rowOff>19050</xdr:rowOff>
    </xdr:from>
    <xdr:to>
      <xdr:col>3</xdr:col>
      <xdr:colOff>302950</xdr:colOff>
      <xdr:row>3</xdr:row>
      <xdr:rowOff>104321</xdr:rowOff>
    </xdr:to>
    <xdr:sp macro="" textlink="">
      <xdr:nvSpPr>
        <xdr:cNvPr id="3" name="Retângulo Arredondado 2">
          <a:hlinkClick xmlns:r="http://schemas.openxmlformats.org/officeDocument/2006/relationships" r:id="rId1"/>
        </xdr:cNvPr>
        <xdr:cNvSpPr/>
      </xdr:nvSpPr>
      <xdr:spPr>
        <a:xfrm>
          <a:off x="2120900" y="260350"/>
          <a:ext cx="576000" cy="263071"/>
        </a:xfrm>
        <a:prstGeom prst="roundRect">
          <a:avLst/>
        </a:prstGeom>
        <a:solidFill>
          <a:srgbClr val="6496C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 b="1">
              <a:solidFill>
                <a:schemeClr val="bg1"/>
              </a:solidFill>
            </a:rPr>
            <a:t>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1695001</xdr:colOff>
      <xdr:row>3</xdr:row>
      <xdr:rowOff>140762</xdr:rowOff>
    </xdr:to>
    <xdr:pic>
      <xdr:nvPicPr>
        <xdr:cNvPr id="4" name="Imagem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49" t="28107" r="15460" b="30981"/>
        <a:stretch/>
      </xdr:blipFill>
      <xdr:spPr bwMode="auto">
        <a:xfrm>
          <a:off x="0" y="0"/>
          <a:ext cx="1758501" cy="559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0</xdr:row>
      <xdr:rowOff>0</xdr:rowOff>
    </xdr:from>
    <xdr:to>
      <xdr:col>1</xdr:col>
      <xdr:colOff>1695004</xdr:colOff>
      <xdr:row>3</xdr:row>
      <xdr:rowOff>140762</xdr:rowOff>
    </xdr:to>
    <xdr:pic>
      <xdr:nvPicPr>
        <xdr:cNvPr id="6" name="Imagem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49" t="28107" r="15460" b="30981"/>
        <a:stretch/>
      </xdr:blipFill>
      <xdr:spPr bwMode="auto">
        <a:xfrm>
          <a:off x="3" y="0"/>
          <a:ext cx="1758501" cy="559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2057400</xdr:colOff>
      <xdr:row>2</xdr:row>
      <xdr:rowOff>19050</xdr:rowOff>
    </xdr:from>
    <xdr:to>
      <xdr:col>1</xdr:col>
      <xdr:colOff>2633400</xdr:colOff>
      <xdr:row>3</xdr:row>
      <xdr:rowOff>104050</xdr:rowOff>
    </xdr:to>
    <xdr:sp macro="" textlink="">
      <xdr:nvSpPr>
        <xdr:cNvPr id="5" name="Retângulo Arredondado 4">
          <a:hlinkClick xmlns:r="http://schemas.openxmlformats.org/officeDocument/2006/relationships" r:id="rId2"/>
        </xdr:cNvPr>
        <xdr:cNvSpPr/>
      </xdr:nvSpPr>
      <xdr:spPr>
        <a:xfrm>
          <a:off x="2120900" y="260350"/>
          <a:ext cx="576000" cy="262800"/>
        </a:xfrm>
        <a:prstGeom prst="roundRect">
          <a:avLst/>
        </a:prstGeom>
        <a:solidFill>
          <a:srgbClr val="6496C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 b="1">
              <a:solidFill>
                <a:schemeClr val="bg1"/>
              </a:solidFill>
            </a:rPr>
            <a:t>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2057400</xdr:colOff>
      <xdr:row>2</xdr:row>
      <xdr:rowOff>19050</xdr:rowOff>
    </xdr:from>
    <xdr:to>
      <xdr:col>1</xdr:col>
      <xdr:colOff>2633400</xdr:colOff>
      <xdr:row>3</xdr:row>
      <xdr:rowOff>104050</xdr:rowOff>
    </xdr:to>
    <xdr:sp macro="" textlink="">
      <xdr:nvSpPr>
        <xdr:cNvPr id="4" name="Retângulo Arredondado 3">
          <a:hlinkClick xmlns:r="http://schemas.openxmlformats.org/officeDocument/2006/relationships" r:id="rId1"/>
        </xdr:cNvPr>
        <xdr:cNvSpPr/>
      </xdr:nvSpPr>
      <xdr:spPr>
        <a:xfrm>
          <a:off x="2120900" y="260350"/>
          <a:ext cx="576000" cy="262800"/>
        </a:xfrm>
        <a:prstGeom prst="roundRect">
          <a:avLst/>
        </a:prstGeom>
        <a:solidFill>
          <a:srgbClr val="6496C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 b="1">
              <a:solidFill>
                <a:schemeClr val="bg1"/>
              </a:solidFill>
            </a:rPr>
            <a:t>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1695001</xdr:colOff>
      <xdr:row>3</xdr:row>
      <xdr:rowOff>140762</xdr:rowOff>
    </xdr:to>
    <xdr:pic>
      <xdr:nvPicPr>
        <xdr:cNvPr id="5" name="Imagem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49" t="28107" r="15460" b="30981"/>
        <a:stretch/>
      </xdr:blipFill>
      <xdr:spPr bwMode="auto">
        <a:xfrm>
          <a:off x="0" y="0"/>
          <a:ext cx="1758501" cy="559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2057400</xdr:colOff>
      <xdr:row>2</xdr:row>
      <xdr:rowOff>19050</xdr:rowOff>
    </xdr:from>
    <xdr:to>
      <xdr:col>1</xdr:col>
      <xdr:colOff>2633400</xdr:colOff>
      <xdr:row>3</xdr:row>
      <xdr:rowOff>104050</xdr:rowOff>
    </xdr:to>
    <xdr:sp macro="" textlink="">
      <xdr:nvSpPr>
        <xdr:cNvPr id="4" name="Retângulo Arredondado 3">
          <a:hlinkClick xmlns:r="http://schemas.openxmlformats.org/officeDocument/2006/relationships" r:id="rId1"/>
        </xdr:cNvPr>
        <xdr:cNvSpPr/>
      </xdr:nvSpPr>
      <xdr:spPr>
        <a:xfrm>
          <a:off x="2120900" y="260350"/>
          <a:ext cx="576000" cy="262800"/>
        </a:xfrm>
        <a:prstGeom prst="roundRect">
          <a:avLst/>
        </a:prstGeom>
        <a:solidFill>
          <a:srgbClr val="6496C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 b="1">
              <a:solidFill>
                <a:schemeClr val="bg1"/>
              </a:solidFill>
            </a:rPr>
            <a:t>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1695001</xdr:colOff>
      <xdr:row>3</xdr:row>
      <xdr:rowOff>140762</xdr:rowOff>
    </xdr:to>
    <xdr:pic>
      <xdr:nvPicPr>
        <xdr:cNvPr id="5" name="Imagem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49" t="28107" r="15460" b="30981"/>
        <a:stretch/>
      </xdr:blipFill>
      <xdr:spPr bwMode="auto">
        <a:xfrm>
          <a:off x="0" y="0"/>
          <a:ext cx="1758501" cy="559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2057400</xdr:colOff>
      <xdr:row>2</xdr:row>
      <xdr:rowOff>19050</xdr:rowOff>
    </xdr:from>
    <xdr:to>
      <xdr:col>2</xdr:col>
      <xdr:colOff>347400</xdr:colOff>
      <xdr:row>3</xdr:row>
      <xdr:rowOff>104050</xdr:rowOff>
    </xdr:to>
    <xdr:sp macro="" textlink="">
      <xdr:nvSpPr>
        <xdr:cNvPr id="3" name="Retângulo Arredondado 2">
          <a:hlinkClick xmlns:r="http://schemas.openxmlformats.org/officeDocument/2006/relationships" r:id="rId1"/>
        </xdr:cNvPr>
        <xdr:cNvSpPr/>
      </xdr:nvSpPr>
      <xdr:spPr>
        <a:xfrm>
          <a:off x="2120900" y="260350"/>
          <a:ext cx="576000" cy="262800"/>
        </a:xfrm>
        <a:prstGeom prst="roundRect">
          <a:avLst/>
        </a:prstGeom>
        <a:solidFill>
          <a:srgbClr val="6496C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 b="1">
              <a:solidFill>
                <a:schemeClr val="bg1"/>
              </a:solidFill>
            </a:rPr>
            <a:t>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1695001</xdr:colOff>
      <xdr:row>3</xdr:row>
      <xdr:rowOff>140762</xdr:rowOff>
    </xdr:to>
    <xdr:pic>
      <xdr:nvPicPr>
        <xdr:cNvPr id="4" name="Imagem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49" t="28107" r="15460" b="30981"/>
        <a:stretch/>
      </xdr:blipFill>
      <xdr:spPr bwMode="auto">
        <a:xfrm>
          <a:off x="0" y="0"/>
          <a:ext cx="1758501" cy="559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2057400</xdr:colOff>
      <xdr:row>2</xdr:row>
      <xdr:rowOff>19050</xdr:rowOff>
    </xdr:from>
    <xdr:to>
      <xdr:col>1</xdr:col>
      <xdr:colOff>2633400</xdr:colOff>
      <xdr:row>3</xdr:row>
      <xdr:rowOff>104050</xdr:rowOff>
    </xdr:to>
    <xdr:sp macro="" textlink="">
      <xdr:nvSpPr>
        <xdr:cNvPr id="3" name="Retângulo Arredondado 2">
          <a:hlinkClick xmlns:r="http://schemas.openxmlformats.org/officeDocument/2006/relationships" r:id="rId1"/>
        </xdr:cNvPr>
        <xdr:cNvSpPr/>
      </xdr:nvSpPr>
      <xdr:spPr>
        <a:xfrm>
          <a:off x="2120900" y="260350"/>
          <a:ext cx="576000" cy="262800"/>
        </a:xfrm>
        <a:prstGeom prst="roundRect">
          <a:avLst/>
        </a:prstGeom>
        <a:solidFill>
          <a:srgbClr val="6496C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 b="1">
              <a:solidFill>
                <a:schemeClr val="bg1"/>
              </a:solidFill>
            </a:rPr>
            <a:t>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1695001</xdr:colOff>
      <xdr:row>3</xdr:row>
      <xdr:rowOff>140762</xdr:rowOff>
    </xdr:to>
    <xdr:pic>
      <xdr:nvPicPr>
        <xdr:cNvPr id="4" name="Imagem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49" t="28107" r="15460" b="30981"/>
        <a:stretch/>
      </xdr:blipFill>
      <xdr:spPr bwMode="auto">
        <a:xfrm>
          <a:off x="0" y="0"/>
          <a:ext cx="1758501" cy="559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2057400</xdr:colOff>
      <xdr:row>2</xdr:row>
      <xdr:rowOff>19050</xdr:rowOff>
    </xdr:from>
    <xdr:to>
      <xdr:col>1</xdr:col>
      <xdr:colOff>2633400</xdr:colOff>
      <xdr:row>3</xdr:row>
      <xdr:rowOff>104321</xdr:rowOff>
    </xdr:to>
    <xdr:sp macro="" textlink="">
      <xdr:nvSpPr>
        <xdr:cNvPr id="7" name="Retângulo Arredondado 6">
          <a:hlinkClick xmlns:r="http://schemas.openxmlformats.org/officeDocument/2006/relationships" r:id="rId1"/>
        </xdr:cNvPr>
        <xdr:cNvSpPr/>
      </xdr:nvSpPr>
      <xdr:spPr>
        <a:xfrm>
          <a:off x="2120900" y="260350"/>
          <a:ext cx="576000" cy="263071"/>
        </a:xfrm>
        <a:prstGeom prst="roundRect">
          <a:avLst/>
        </a:prstGeom>
        <a:solidFill>
          <a:srgbClr val="6496C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 b="1">
              <a:solidFill>
                <a:schemeClr val="bg1"/>
              </a:solidFill>
            </a:rPr>
            <a:t>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1695001</xdr:colOff>
      <xdr:row>3</xdr:row>
      <xdr:rowOff>140762</xdr:rowOff>
    </xdr:to>
    <xdr:pic>
      <xdr:nvPicPr>
        <xdr:cNvPr id="4" name="Imagem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49" t="28107" r="15460" b="30981"/>
        <a:stretch/>
      </xdr:blipFill>
      <xdr:spPr bwMode="auto">
        <a:xfrm>
          <a:off x="0" y="0"/>
          <a:ext cx="1758501" cy="559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2051050</xdr:colOff>
      <xdr:row>2</xdr:row>
      <xdr:rowOff>19050</xdr:rowOff>
    </xdr:from>
    <xdr:to>
      <xdr:col>2</xdr:col>
      <xdr:colOff>252150</xdr:colOff>
      <xdr:row>3</xdr:row>
      <xdr:rowOff>104321</xdr:rowOff>
    </xdr:to>
    <xdr:sp macro="" textlink="">
      <xdr:nvSpPr>
        <xdr:cNvPr id="3" name="Retângulo Arredondado 2">
          <a:hlinkClick xmlns:r="http://schemas.openxmlformats.org/officeDocument/2006/relationships" r:id="rId1"/>
        </xdr:cNvPr>
        <xdr:cNvSpPr/>
      </xdr:nvSpPr>
      <xdr:spPr>
        <a:xfrm>
          <a:off x="2120900" y="260350"/>
          <a:ext cx="576000" cy="263071"/>
        </a:xfrm>
        <a:prstGeom prst="roundRect">
          <a:avLst/>
        </a:prstGeom>
        <a:solidFill>
          <a:srgbClr val="6496C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 b="1">
              <a:solidFill>
                <a:schemeClr val="bg1"/>
              </a:solidFill>
            </a:rPr>
            <a:t>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1688651</xdr:colOff>
      <xdr:row>3</xdr:row>
      <xdr:rowOff>140762</xdr:rowOff>
    </xdr:to>
    <xdr:pic>
      <xdr:nvPicPr>
        <xdr:cNvPr id="4" name="Imagem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49" t="28107" r="15460" b="30981"/>
        <a:stretch/>
      </xdr:blipFill>
      <xdr:spPr bwMode="auto">
        <a:xfrm>
          <a:off x="0" y="0"/>
          <a:ext cx="1758501" cy="559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2057400</xdr:colOff>
      <xdr:row>2</xdr:row>
      <xdr:rowOff>19050</xdr:rowOff>
    </xdr:from>
    <xdr:to>
      <xdr:col>1</xdr:col>
      <xdr:colOff>2633400</xdr:colOff>
      <xdr:row>3</xdr:row>
      <xdr:rowOff>104321</xdr:rowOff>
    </xdr:to>
    <xdr:sp macro="" textlink="">
      <xdr:nvSpPr>
        <xdr:cNvPr id="3" name="Retângulo Arredondado 2">
          <a:hlinkClick xmlns:r="http://schemas.openxmlformats.org/officeDocument/2006/relationships" r:id="rId1"/>
        </xdr:cNvPr>
        <xdr:cNvSpPr/>
      </xdr:nvSpPr>
      <xdr:spPr>
        <a:xfrm>
          <a:off x="2120900" y="260350"/>
          <a:ext cx="576000" cy="263071"/>
        </a:xfrm>
        <a:prstGeom prst="roundRect">
          <a:avLst/>
        </a:prstGeom>
        <a:solidFill>
          <a:srgbClr val="6496C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pt-BR" sz="1100" b="1">
              <a:solidFill>
                <a:schemeClr val="bg1"/>
              </a:solidFill>
            </a:rPr>
            <a:t>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1695001</xdr:colOff>
      <xdr:row>3</xdr:row>
      <xdr:rowOff>140762</xdr:rowOff>
    </xdr:to>
    <xdr:pic>
      <xdr:nvPicPr>
        <xdr:cNvPr id="4" name="Imagem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49" t="28107" r="15460" b="30981"/>
        <a:stretch/>
      </xdr:blipFill>
      <xdr:spPr bwMode="auto">
        <a:xfrm>
          <a:off x="0" y="0"/>
          <a:ext cx="1758501" cy="559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elipe Fracarolli" id="{C72E5307-1F44-4344-BD05-AA355FB90A5E}" userId="Felipe Fracarolli" providerId="None"/>
</personList>
</file>

<file path=xl/theme/theme1.xml><?xml version="1.0" encoding="utf-8"?>
<a:theme xmlns:a="http://schemas.openxmlformats.org/drawingml/2006/main" name="Tema do Office">
  <a:themeElements>
    <a:clrScheme name="Personalizada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55A2D4"/>
      </a:hlink>
      <a:folHlink>
        <a:srgbClr val="55A2D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1" dT="2022-05-05T21:56:56.93" personId="{C72E5307-1F44-4344-BD05-AA355FB90A5E}" id="{D4AAAB44-E8B8-481D-A254-62588EB5BE3A}">
    <text>Não temos abertura da escala da DF. Temos abertura apenas do mercado inerno</text>
  </threadedComment>
  <threadedComment ref="M21" dT="2022-05-05T22:10:35.38" personId="{C72E5307-1F44-4344-BD05-AA355FB90A5E}" id="{49A5CC38-5170-4222-9EEB-462E94FF70E7}">
    <text>Não havia essa abertura na df de 2019</text>
  </threadedComment>
  <threadedComment ref="M42" dT="2022-05-05T22:10:27.39" personId="{C72E5307-1F44-4344-BD05-AA355FB90A5E}" id="{6364B4FA-F976-4C0D-832F-CDADC9F9C1B7}">
    <text>Não havia essa abertura na df de 2019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2" dT="2022-05-05T22:36:04.26" personId="{C72E5307-1F44-4344-BD05-AA355FB90A5E}" id="{E8A4EFDB-D3EA-4818-8B0A-6802531E363D}">
    <text>Correto é: 679.824</text>
  </threadedComment>
  <threadedComment ref="E4" dT="2022-05-05T22:36:37.37" personId="{C72E5307-1F44-4344-BD05-AA355FB90A5E}" id="{9F0B6C8F-6C75-478D-A2C4-468D882F02B5}">
    <text>Correto é: 126.278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K17" dT="2022-05-06T17:30:28.01" personId="{C72E5307-1F44-4344-BD05-AA355FB90A5E}" id="{A3BED872-D895-48C5-89C0-16A88A4BD35D}">
    <text>Correto é: 17.708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G3" dT="2022-05-06T17:23:26.57" personId="{C72E5307-1F44-4344-BD05-AA355FB90A5E}" id="{F5226258-944E-4A47-B8AE-91014849A0CC}">
    <text>Valor digitado, conforme apresentação RELEASE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8.xml"/><Relationship Id="rId4" Type="http://schemas.microsoft.com/office/2017/10/relationships/threadedComment" Target="../threadedComments/threadedComment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E79"/>
  </sheetPr>
  <dimension ref="A9:J27"/>
  <sheetViews>
    <sheetView showGridLines="0" showRowColHeaders="0" tabSelected="1" zoomScaleNormal="100" workbookViewId="0"/>
  </sheetViews>
  <sheetFormatPr defaultRowHeight="14" customHeight="1" x14ac:dyDescent="0.3"/>
  <cols>
    <col min="1" max="3" width="8.7265625" style="2"/>
    <col min="4" max="4" width="8.7265625" style="24" customWidth="1"/>
    <col min="5" max="5" width="22.36328125" style="101" customWidth="1"/>
    <col min="6" max="6" width="8.7265625" style="101" customWidth="1"/>
    <col min="7" max="7" width="8.7265625" style="2"/>
    <col min="8" max="8" width="22.81640625" style="2" customWidth="1"/>
    <col min="9" max="16384" width="8.7265625" style="2"/>
  </cols>
  <sheetData>
    <row r="9" spans="2:10" ht="14" customHeight="1" x14ac:dyDescent="0.3">
      <c r="B9" s="38"/>
      <c r="C9" s="38"/>
      <c r="D9" s="72"/>
      <c r="E9" s="119"/>
      <c r="F9" s="119"/>
      <c r="G9" s="38"/>
      <c r="H9" s="38"/>
      <c r="I9" s="38"/>
      <c r="J9" s="38"/>
    </row>
    <row r="10" spans="2:10" ht="14" customHeight="1" thickBot="1" x14ac:dyDescent="0.35">
      <c r="B10" s="120"/>
      <c r="C10" s="120"/>
      <c r="D10" s="121"/>
      <c r="E10" s="122"/>
      <c r="F10" s="122"/>
      <c r="G10" s="120"/>
      <c r="H10" s="120"/>
      <c r="I10" s="120"/>
      <c r="J10" s="120"/>
    </row>
    <row r="11" spans="2:10" ht="14" customHeight="1" thickTop="1" x14ac:dyDescent="0.3">
      <c r="I11" s="38"/>
      <c r="J11" s="38"/>
    </row>
    <row r="12" spans="2:10" ht="14" customHeight="1" x14ac:dyDescent="0.3">
      <c r="B12" s="140" t="s">
        <v>278</v>
      </c>
      <c r="C12" s="140"/>
      <c r="D12" s="140"/>
      <c r="E12" s="140"/>
      <c r="F12" s="140"/>
      <c r="G12" s="140"/>
      <c r="H12" s="140"/>
      <c r="I12" s="140"/>
      <c r="J12" s="140"/>
    </row>
    <row r="13" spans="2:10" ht="14" customHeight="1" x14ac:dyDescent="0.3">
      <c r="B13" s="109"/>
      <c r="C13" s="109"/>
      <c r="D13" s="109"/>
      <c r="E13" s="109"/>
      <c r="F13" s="109"/>
      <c r="G13" s="109"/>
      <c r="H13" s="109"/>
      <c r="I13" s="109"/>
      <c r="J13" s="109"/>
    </row>
    <row r="14" spans="2:10" ht="14" customHeight="1" x14ac:dyDescent="0.35">
      <c r="D14" s="117" t="s">
        <v>264</v>
      </c>
      <c r="E14" s="118" t="s">
        <v>215</v>
      </c>
      <c r="F14" s="102"/>
      <c r="G14" s="117" t="s">
        <v>271</v>
      </c>
      <c r="H14" s="118" t="s">
        <v>222</v>
      </c>
    </row>
    <row r="15" spans="2:10" ht="14" customHeight="1" x14ac:dyDescent="0.35">
      <c r="D15" s="117" t="s">
        <v>265</v>
      </c>
      <c r="E15" s="118" t="s">
        <v>216</v>
      </c>
      <c r="F15" s="102"/>
      <c r="G15" s="117" t="s">
        <v>272</v>
      </c>
      <c r="H15" s="118" t="s">
        <v>223</v>
      </c>
    </row>
    <row r="16" spans="2:10" ht="14" customHeight="1" x14ac:dyDescent="0.35">
      <c r="D16" s="117" t="s">
        <v>266</v>
      </c>
      <c r="E16" s="118" t="s">
        <v>217</v>
      </c>
      <c r="F16" s="102"/>
      <c r="G16" s="117" t="s">
        <v>273</v>
      </c>
      <c r="H16" s="118" t="s">
        <v>191</v>
      </c>
    </row>
    <row r="17" spans="1:10" ht="14" customHeight="1" x14ac:dyDescent="0.35">
      <c r="A17" s="110"/>
      <c r="D17" s="117" t="s">
        <v>267</v>
      </c>
      <c r="E17" s="118" t="s">
        <v>218</v>
      </c>
      <c r="F17" s="102"/>
      <c r="G17" s="117" t="s">
        <v>274</v>
      </c>
      <c r="H17" s="118" t="s">
        <v>224</v>
      </c>
      <c r="J17" s="111"/>
    </row>
    <row r="18" spans="1:10" ht="14" customHeight="1" x14ac:dyDescent="0.35">
      <c r="D18" s="117" t="s">
        <v>268</v>
      </c>
      <c r="E18" s="118" t="s">
        <v>219</v>
      </c>
      <c r="F18" s="102"/>
      <c r="G18" s="117" t="s">
        <v>275</v>
      </c>
      <c r="H18" s="118" t="s">
        <v>225</v>
      </c>
    </row>
    <row r="19" spans="1:10" ht="14" customHeight="1" x14ac:dyDescent="0.35">
      <c r="D19" s="117" t="s">
        <v>269</v>
      </c>
      <c r="E19" s="118" t="s">
        <v>220</v>
      </c>
      <c r="F19" s="102"/>
      <c r="G19" s="117" t="s">
        <v>276</v>
      </c>
      <c r="H19" s="118" t="s">
        <v>226</v>
      </c>
    </row>
    <row r="20" spans="1:10" ht="14" customHeight="1" x14ac:dyDescent="0.35">
      <c r="D20" s="117" t="s">
        <v>270</v>
      </c>
      <c r="E20" s="118" t="s">
        <v>221</v>
      </c>
      <c r="F20" s="102"/>
      <c r="G20" s="117" t="s">
        <v>277</v>
      </c>
      <c r="H20" s="118" t="s">
        <v>259</v>
      </c>
    </row>
    <row r="21" spans="1:10" ht="14" customHeight="1" x14ac:dyDescent="0.3">
      <c r="D21" s="3"/>
      <c r="E21" s="3"/>
      <c r="F21" s="3"/>
      <c r="G21" s="3"/>
      <c r="H21" s="3"/>
    </row>
    <row r="22" spans="1:10" ht="14" customHeight="1" x14ac:dyDescent="0.3">
      <c r="D22" s="3"/>
      <c r="E22" s="3"/>
      <c r="F22" s="3"/>
      <c r="G22" s="3"/>
      <c r="H22" s="3"/>
    </row>
    <row r="23" spans="1:10" ht="14" customHeight="1" x14ac:dyDescent="0.3">
      <c r="D23" s="3"/>
      <c r="E23" s="3"/>
      <c r="F23" s="3"/>
      <c r="G23" s="3"/>
      <c r="H23" s="3"/>
    </row>
    <row r="24" spans="1:10" ht="14" customHeight="1" x14ac:dyDescent="0.3">
      <c r="D24" s="2"/>
      <c r="E24" s="2"/>
      <c r="F24" s="2"/>
    </row>
    <row r="25" spans="1:10" ht="14" customHeight="1" x14ac:dyDescent="0.3">
      <c r="D25" s="2"/>
      <c r="E25" s="2"/>
      <c r="F25" s="2"/>
    </row>
    <row r="26" spans="1:10" ht="14" customHeight="1" x14ac:dyDescent="0.3">
      <c r="D26" s="2"/>
      <c r="E26" s="2"/>
      <c r="F26" s="2"/>
    </row>
    <row r="27" spans="1:10" ht="14" customHeight="1" x14ac:dyDescent="0.3">
      <c r="D27" s="2"/>
      <c r="E27" s="2"/>
      <c r="F27" s="2"/>
    </row>
  </sheetData>
  <mergeCells count="1">
    <mergeCell ref="B12:J12"/>
  </mergeCells>
  <hyperlinks>
    <hyperlink ref="E14" location="'1| Balanço Patrimonial'!A1" display="Balanço Patrimonial"/>
    <hyperlink ref="E15" location="'2| DRE'!A1" display="DRE"/>
    <hyperlink ref="E16" location="'3| Fluxo de Caixa'!A1" display="Fluxo de Caixa"/>
    <hyperlink ref="E17" location="'4| Dívida Líquida'!A1" display="Dívida Líquida"/>
    <hyperlink ref="E18" location="'5| EBITDA'!A1" display="EBITDA"/>
    <hyperlink ref="E19" location="'6| Lucro Líquido'!A1" display="Lucro Líquido"/>
    <hyperlink ref="E20" location="'7| Impostos'!A1" display="Impostos"/>
    <hyperlink ref="H14" location="'8| CPV'!A1" display="CPV"/>
    <hyperlink ref="H15" location="'9| SG&amp;A'!A1" display="SG&amp;A"/>
    <hyperlink ref="H16" location="'10| Investimentos'!A1" display="Investimentos"/>
    <hyperlink ref="H17" location="'11| Caixa Livre'!A1" display="Caixa Livre"/>
    <hyperlink ref="H18" location="'12| ROIC'!A1" display="ROIC"/>
    <hyperlink ref="H19" location="'13| Receita por Marca e Canal'!A1" display="Receita por Marca e Canal"/>
    <hyperlink ref="H20" location="'14| Quantidade de Lojas'!A1" display="Quantidade de Lojas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496C8"/>
  </sheetPr>
  <dimension ref="B1:Q44"/>
  <sheetViews>
    <sheetView showGridLines="0" showRowColHeaders="0"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453125" defaultRowHeight="14" customHeight="1" x14ac:dyDescent="0.3"/>
  <cols>
    <col min="1" max="1" width="0.90625" style="2" customWidth="1"/>
    <col min="2" max="2" width="37.81640625" style="2" customWidth="1"/>
    <col min="3" max="16384" width="9.453125" style="2"/>
  </cols>
  <sheetData>
    <row r="1" spans="2:15" ht="5" customHeight="1" x14ac:dyDescent="0.3"/>
    <row r="6" spans="2:15" s="103" customFormat="1" ht="26.5" customHeight="1" thickBot="1" x14ac:dyDescent="0.35">
      <c r="B6" s="130" t="s">
        <v>237</v>
      </c>
      <c r="C6" s="133" t="s">
        <v>279</v>
      </c>
      <c r="D6" s="124" t="s">
        <v>193</v>
      </c>
      <c r="E6" s="124" t="s">
        <v>170</v>
      </c>
      <c r="F6" s="132" t="s">
        <v>86</v>
      </c>
      <c r="G6" s="131" t="s">
        <v>88</v>
      </c>
      <c r="H6" s="131" t="s">
        <v>91</v>
      </c>
      <c r="I6" s="124" t="s">
        <v>94</v>
      </c>
      <c r="J6" s="132" t="s">
        <v>87</v>
      </c>
      <c r="K6" s="131" t="s">
        <v>89</v>
      </c>
      <c r="L6" s="131" t="s">
        <v>92</v>
      </c>
      <c r="M6" s="124" t="s">
        <v>95</v>
      </c>
      <c r="N6" s="132" t="s">
        <v>98</v>
      </c>
      <c r="O6" s="132" t="s">
        <v>99</v>
      </c>
    </row>
    <row r="7" spans="2:15" ht="14" customHeight="1" thickTop="1" x14ac:dyDescent="0.3">
      <c r="B7" s="7"/>
      <c r="C7" s="7"/>
      <c r="D7" s="8"/>
      <c r="E7" s="8"/>
      <c r="F7" s="59"/>
      <c r="G7" s="60"/>
      <c r="H7" s="60"/>
      <c r="I7" s="8"/>
      <c r="J7" s="59"/>
      <c r="K7" s="60"/>
      <c r="L7" s="60"/>
      <c r="M7" s="8"/>
      <c r="N7" s="59"/>
      <c r="O7" s="59"/>
    </row>
    <row r="8" spans="2:15" ht="14" customHeight="1" x14ac:dyDescent="0.3">
      <c r="B8" s="40" t="s">
        <v>131</v>
      </c>
      <c r="C8" s="9">
        <f>'2| DRE'!D10</f>
        <v>1110916</v>
      </c>
      <c r="D8" s="9">
        <f>'2| DRE'!E10</f>
        <v>710359</v>
      </c>
      <c r="E8" s="9">
        <f>'2| DRE'!F10</f>
        <v>324974</v>
      </c>
      <c r="F8" s="9">
        <f>'2| DRE'!G10</f>
        <v>1328256</v>
      </c>
      <c r="G8" s="9">
        <f>'2| DRE'!H10</f>
        <v>907881</v>
      </c>
      <c r="H8" s="9">
        <f>'2| DRE'!I10</f>
        <v>536422</v>
      </c>
      <c r="I8" s="9">
        <f>'2| DRE'!J10</f>
        <v>223368</v>
      </c>
      <c r="J8" s="9">
        <f>'2| DRE'!K10</f>
        <v>732190</v>
      </c>
      <c r="K8" s="9">
        <f>'2| DRE'!L10</f>
        <v>443212</v>
      </c>
      <c r="L8" s="9">
        <f>'2| DRE'!M10</f>
        <v>241985</v>
      </c>
      <c r="M8" s="9">
        <f>'2| DRE'!N10</f>
        <v>165821</v>
      </c>
      <c r="N8" s="9">
        <f>'2| DRE'!O10</f>
        <v>891326</v>
      </c>
      <c r="O8" s="9">
        <f>'2| DRE'!P10</f>
        <v>860086</v>
      </c>
    </row>
    <row r="9" spans="2:15" ht="14" customHeight="1" x14ac:dyDescent="0.3">
      <c r="D9" s="37"/>
      <c r="E9" s="37"/>
      <c r="F9" s="9"/>
      <c r="G9" s="37"/>
      <c r="H9" s="37"/>
      <c r="I9" s="37"/>
      <c r="J9" s="37"/>
      <c r="K9" s="37"/>
      <c r="L9" s="37"/>
      <c r="M9" s="37"/>
      <c r="N9" s="37"/>
      <c r="O9" s="37"/>
    </row>
    <row r="10" spans="2:15" ht="14" customHeight="1" x14ac:dyDescent="0.3">
      <c r="B10" s="78" t="s">
        <v>142</v>
      </c>
      <c r="C10" s="9">
        <v>-37233</v>
      </c>
      <c r="D10" s="9">
        <v>-24127</v>
      </c>
      <c r="E10" s="9">
        <v>-9894</v>
      </c>
      <c r="F10" s="9">
        <v>-55648</v>
      </c>
      <c r="G10" s="9">
        <v>-44457</v>
      </c>
      <c r="H10" s="9">
        <v>-25826</v>
      </c>
      <c r="I10" s="9">
        <v>-11629</v>
      </c>
      <c r="J10" s="9">
        <v>-42362</v>
      </c>
      <c r="K10" s="9">
        <v>-28312</v>
      </c>
      <c r="L10" s="9">
        <v>-15587</v>
      </c>
      <c r="M10" s="9">
        <v>-10407</v>
      </c>
      <c r="N10" s="9">
        <v>-53355</v>
      </c>
      <c r="O10" s="9">
        <v>-48486</v>
      </c>
    </row>
    <row r="11" spans="2:15" ht="14" customHeight="1" x14ac:dyDescent="0.3">
      <c r="B11" s="78" t="s">
        <v>143</v>
      </c>
      <c r="C11" s="9">
        <v>-55397</v>
      </c>
      <c r="D11" s="9">
        <v>-36548</v>
      </c>
      <c r="E11" s="9">
        <v>-18225</v>
      </c>
      <c r="F11" s="9">
        <v>-61448</v>
      </c>
      <c r="G11" s="9">
        <v>-43638</v>
      </c>
      <c r="H11" s="9">
        <v>-26959</v>
      </c>
      <c r="I11" s="9">
        <v>-11790</v>
      </c>
      <c r="J11" s="9">
        <v>-33022</v>
      </c>
      <c r="K11" s="9">
        <v>-22264</v>
      </c>
      <c r="L11" s="9">
        <v>-12481</v>
      </c>
      <c r="M11" s="9">
        <v>-7874</v>
      </c>
      <c r="N11" s="9">
        <v>-37996</v>
      </c>
      <c r="O11" s="9">
        <v>-37187</v>
      </c>
    </row>
    <row r="12" spans="2:15" ht="14" customHeight="1" x14ac:dyDescent="0.3">
      <c r="B12" s="78" t="s">
        <v>138</v>
      </c>
      <c r="C12" s="9">
        <v>-26382</v>
      </c>
      <c r="D12" s="9">
        <v>-17032</v>
      </c>
      <c r="E12" s="9">
        <v>-7890</v>
      </c>
      <c r="F12" s="9">
        <v>-29280</v>
      </c>
      <c r="G12" s="9">
        <v>-21076</v>
      </c>
      <c r="H12" s="9">
        <v>-13376</v>
      </c>
      <c r="I12" s="9">
        <v>-6588</v>
      </c>
      <c r="J12" s="9">
        <v>-26385</v>
      </c>
      <c r="K12" s="9">
        <v>-19314</v>
      </c>
      <c r="L12" s="9">
        <v>-12675</v>
      </c>
      <c r="M12" s="9">
        <v>-7500</v>
      </c>
      <c r="N12" s="9">
        <v>-31424</v>
      </c>
      <c r="O12" s="9">
        <v>-33273</v>
      </c>
    </row>
    <row r="13" spans="2:15" ht="14" customHeight="1" x14ac:dyDescent="0.3">
      <c r="B13" s="78" t="s">
        <v>144</v>
      </c>
      <c r="C13" s="9">
        <v>-15601</v>
      </c>
      <c r="D13" s="9">
        <v>-8570</v>
      </c>
      <c r="E13" s="9">
        <v>-3101</v>
      </c>
      <c r="F13" s="9">
        <v>-14913</v>
      </c>
      <c r="G13" s="9">
        <v>-6365</v>
      </c>
      <c r="H13" s="9">
        <v>-3153</v>
      </c>
      <c r="I13" s="9">
        <v>-2196</v>
      </c>
      <c r="J13" s="9">
        <v>-4681</v>
      </c>
      <c r="K13" s="9">
        <v>-3492</v>
      </c>
      <c r="L13" s="9">
        <v>-2802</v>
      </c>
      <c r="M13" s="9">
        <v>-1986</v>
      </c>
      <c r="N13" s="9">
        <v>-18180</v>
      </c>
      <c r="O13" s="9">
        <v>-17927</v>
      </c>
    </row>
    <row r="14" spans="2:15" ht="14" customHeight="1" x14ac:dyDescent="0.3">
      <c r="B14" s="78" t="s">
        <v>145</v>
      </c>
      <c r="C14" s="9">
        <v>-1581</v>
      </c>
      <c r="D14" s="9">
        <v>-972</v>
      </c>
      <c r="E14" s="9">
        <v>-482</v>
      </c>
      <c r="F14" s="9">
        <v>-1801</v>
      </c>
      <c r="G14" s="9">
        <v>-1142</v>
      </c>
      <c r="H14" s="9">
        <v>-611</v>
      </c>
      <c r="I14" s="9">
        <v>-264</v>
      </c>
      <c r="J14" s="9">
        <v>-1344</v>
      </c>
      <c r="K14" s="9">
        <v>-966</v>
      </c>
      <c r="L14" s="9">
        <v>-596</v>
      </c>
      <c r="M14" s="9">
        <v>-405</v>
      </c>
      <c r="N14" s="9">
        <v>-2281</v>
      </c>
      <c r="O14" s="9">
        <v>-5030</v>
      </c>
    </row>
    <row r="15" spans="2:15" ht="14" customHeight="1" x14ac:dyDescent="0.3">
      <c r="B15" s="78" t="s">
        <v>165</v>
      </c>
      <c r="C15" s="9">
        <v>-11973</v>
      </c>
      <c r="D15" s="9">
        <v>-8026</v>
      </c>
      <c r="E15" s="9">
        <v>-3883</v>
      </c>
      <c r="F15" s="9">
        <v>-902</v>
      </c>
      <c r="G15" s="9">
        <v>-67</v>
      </c>
      <c r="H15" s="9">
        <v>-43</v>
      </c>
      <c r="I15" s="9">
        <v>-21</v>
      </c>
      <c r="J15" s="9">
        <v>-117</v>
      </c>
      <c r="K15" s="9">
        <v>-80</v>
      </c>
      <c r="L15" s="9">
        <v>-41</v>
      </c>
      <c r="M15" s="9">
        <v>-29</v>
      </c>
      <c r="N15" s="9">
        <v>-92</v>
      </c>
      <c r="O15" s="9">
        <v>-91</v>
      </c>
    </row>
    <row r="16" spans="2:15" ht="14" customHeight="1" x14ac:dyDescent="0.3">
      <c r="B16" s="19" t="s">
        <v>146</v>
      </c>
      <c r="C16" s="9">
        <v>-650</v>
      </c>
      <c r="D16" s="9">
        <v>-400</v>
      </c>
      <c r="E16" s="9">
        <v>-202</v>
      </c>
      <c r="F16" s="9">
        <v>-817</v>
      </c>
      <c r="G16" s="9">
        <v>-505</v>
      </c>
      <c r="H16" s="9">
        <v>-338</v>
      </c>
      <c r="I16" s="9">
        <v>-167</v>
      </c>
      <c r="J16" s="9">
        <v>-895</v>
      </c>
      <c r="K16" s="9">
        <v>-504</v>
      </c>
      <c r="L16" s="9">
        <v>-340</v>
      </c>
      <c r="M16" s="9">
        <v>-161</v>
      </c>
      <c r="N16" s="9">
        <v>-967</v>
      </c>
      <c r="O16" s="9">
        <v>-715</v>
      </c>
    </row>
    <row r="17" spans="2:17" ht="14" customHeight="1" x14ac:dyDescent="0.3">
      <c r="B17" s="19" t="s">
        <v>147</v>
      </c>
      <c r="C17" s="9">
        <v>-66</v>
      </c>
      <c r="D17" s="9">
        <v>-55</v>
      </c>
      <c r="E17" s="9">
        <v>-52</v>
      </c>
      <c r="F17" s="9">
        <v>-25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</row>
    <row r="18" spans="2:17" ht="14" customHeight="1" x14ac:dyDescent="0.3">
      <c r="B18" s="20" t="s">
        <v>41</v>
      </c>
      <c r="C18" s="13">
        <f t="shared" ref="C18:D18" si="0">SUM(C10:C17)</f>
        <v>-148883</v>
      </c>
      <c r="D18" s="13">
        <f t="shared" si="0"/>
        <v>-95730</v>
      </c>
      <c r="E18" s="13">
        <f t="shared" ref="E18:O18" si="1">SUM(E10:E17)</f>
        <v>-43729</v>
      </c>
      <c r="F18" s="13">
        <f t="shared" si="1"/>
        <v>-164834</v>
      </c>
      <c r="G18" s="13">
        <f t="shared" si="1"/>
        <v>-117250</v>
      </c>
      <c r="H18" s="13">
        <f t="shared" si="1"/>
        <v>-70306</v>
      </c>
      <c r="I18" s="13">
        <f t="shared" si="1"/>
        <v>-32655</v>
      </c>
      <c r="J18" s="13">
        <f t="shared" si="1"/>
        <v>-108806</v>
      </c>
      <c r="K18" s="13">
        <f t="shared" si="1"/>
        <v>-74932</v>
      </c>
      <c r="L18" s="13">
        <f t="shared" si="1"/>
        <v>-44522</v>
      </c>
      <c r="M18" s="13">
        <f t="shared" si="1"/>
        <v>-28362</v>
      </c>
      <c r="N18" s="13">
        <f t="shared" si="1"/>
        <v>-144295</v>
      </c>
      <c r="O18" s="13">
        <f t="shared" si="1"/>
        <v>-142709</v>
      </c>
    </row>
    <row r="19" spans="2:17" ht="14" customHeight="1" x14ac:dyDescent="0.3"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2:17" ht="14" customHeight="1" x14ac:dyDescent="0.3">
      <c r="B20" s="78" t="s">
        <v>138</v>
      </c>
      <c r="C20" s="9">
        <v>-27157</v>
      </c>
      <c r="D20" s="9">
        <v>-18131</v>
      </c>
      <c r="E20" s="9">
        <v>-8773</v>
      </c>
      <c r="F20" s="9">
        <v>-29467</v>
      </c>
      <c r="G20" s="9">
        <v>-21262</v>
      </c>
      <c r="H20" s="9">
        <v>-13932</v>
      </c>
      <c r="I20" s="9">
        <v>-6618</v>
      </c>
      <c r="J20" s="9">
        <v>-28422</v>
      </c>
      <c r="K20" s="9">
        <v>-22495</v>
      </c>
      <c r="L20" s="9">
        <v>-14529</v>
      </c>
      <c r="M20" s="9">
        <v>-6885</v>
      </c>
      <c r="N20" s="9">
        <v>-34355</v>
      </c>
      <c r="O20" s="9">
        <v>-37410</v>
      </c>
    </row>
    <row r="21" spans="2:17" ht="14" customHeight="1" x14ac:dyDescent="0.3">
      <c r="B21" s="78" t="s">
        <v>148</v>
      </c>
      <c r="C21" s="9">
        <v>-17077</v>
      </c>
      <c r="D21" s="9">
        <v>-12051</v>
      </c>
      <c r="E21" s="9">
        <v>-5972</v>
      </c>
      <c r="F21" s="9">
        <v>-21353</v>
      </c>
      <c r="G21" s="9">
        <v>-12817</v>
      </c>
      <c r="H21" s="9">
        <v>-6428</v>
      </c>
      <c r="I21" s="9">
        <v>-2657</v>
      </c>
      <c r="J21" s="9">
        <v>-9112</v>
      </c>
      <c r="K21" s="9">
        <v>-6535</v>
      </c>
      <c r="L21" s="9">
        <v>-4405</v>
      </c>
      <c r="M21" s="9">
        <v>-2081</v>
      </c>
      <c r="N21" s="9">
        <v>-10422</v>
      </c>
      <c r="O21" s="9">
        <v>-9398</v>
      </c>
    </row>
    <row r="22" spans="2:17" ht="14" customHeight="1" x14ac:dyDescent="0.3">
      <c r="B22" s="78" t="s">
        <v>149</v>
      </c>
      <c r="C22" s="9">
        <v>-3159</v>
      </c>
      <c r="D22" s="9">
        <v>-2130</v>
      </c>
      <c r="E22" s="9">
        <v>-1102</v>
      </c>
      <c r="F22" s="9">
        <v>-3909</v>
      </c>
      <c r="G22" s="9">
        <v>-2604</v>
      </c>
      <c r="H22" s="9">
        <v>-1592</v>
      </c>
      <c r="I22" s="9">
        <v>-699</v>
      </c>
      <c r="J22" s="9">
        <v>-3580</v>
      </c>
      <c r="K22" s="9">
        <v>-2517</v>
      </c>
      <c r="L22" s="9">
        <v>-1690</v>
      </c>
      <c r="M22" s="9">
        <v>-863</v>
      </c>
      <c r="N22" s="9">
        <v>-3216</v>
      </c>
      <c r="O22" s="9">
        <v>-3178</v>
      </c>
    </row>
    <row r="23" spans="2:17" ht="14" customHeight="1" x14ac:dyDescent="0.3">
      <c r="B23" s="78" t="s">
        <v>150</v>
      </c>
      <c r="C23" s="9">
        <v>-8690</v>
      </c>
      <c r="D23" s="9">
        <v>-5846</v>
      </c>
      <c r="E23" s="9">
        <v>-2317</v>
      </c>
      <c r="F23" s="9">
        <v>-11955</v>
      </c>
      <c r="G23" s="9">
        <f>-5765</f>
        <v>-5765</v>
      </c>
      <c r="H23" s="9">
        <v>-3680</v>
      </c>
      <c r="I23" s="9">
        <v>-2030</v>
      </c>
      <c r="J23" s="9">
        <v>-4963</v>
      </c>
      <c r="K23" s="9">
        <v>-4284</v>
      </c>
      <c r="L23" s="9">
        <v>-2650</v>
      </c>
      <c r="M23" s="9">
        <v>-1550</v>
      </c>
      <c r="N23" s="9">
        <v>-12708</v>
      </c>
      <c r="O23" s="9">
        <v>-8914</v>
      </c>
    </row>
    <row r="24" spans="2:17" ht="14" customHeight="1" x14ac:dyDescent="0.3">
      <c r="B24" s="78" t="s">
        <v>146</v>
      </c>
      <c r="C24" s="9">
        <v>-6112</v>
      </c>
      <c r="D24" s="9">
        <v>-4971</v>
      </c>
      <c r="E24" s="9">
        <v>-2394</v>
      </c>
      <c r="F24" s="9">
        <v>-4529</v>
      </c>
      <c r="G24" s="9">
        <v>-3755</v>
      </c>
      <c r="H24" s="9">
        <v>-1057</v>
      </c>
      <c r="I24" s="9">
        <v>-506</v>
      </c>
      <c r="J24" s="9">
        <v>-2798</v>
      </c>
      <c r="K24" s="9">
        <v>-1678</v>
      </c>
      <c r="L24" s="9">
        <v>-1122</v>
      </c>
      <c r="M24" s="9">
        <v>-555</v>
      </c>
      <c r="N24" s="9">
        <v>-3908</v>
      </c>
      <c r="O24" s="9">
        <v>-3191</v>
      </c>
    </row>
    <row r="25" spans="2:17" ht="14" customHeight="1" x14ac:dyDescent="0.3">
      <c r="B25" s="20" t="s">
        <v>42</v>
      </c>
      <c r="C25" s="13">
        <f t="shared" ref="C25:D25" si="2">SUM(C20:C24)</f>
        <v>-62195</v>
      </c>
      <c r="D25" s="13">
        <f t="shared" si="2"/>
        <v>-43129</v>
      </c>
      <c r="E25" s="13">
        <f t="shared" ref="E25:O25" si="3">SUM(E20:E24)</f>
        <v>-20558</v>
      </c>
      <c r="F25" s="13">
        <f t="shared" si="3"/>
        <v>-71213</v>
      </c>
      <c r="G25" s="13">
        <f t="shared" si="3"/>
        <v>-46203</v>
      </c>
      <c r="H25" s="13">
        <f t="shared" si="3"/>
        <v>-26689</v>
      </c>
      <c r="I25" s="13">
        <f t="shared" si="3"/>
        <v>-12510</v>
      </c>
      <c r="J25" s="13">
        <f t="shared" si="3"/>
        <v>-48875</v>
      </c>
      <c r="K25" s="13">
        <f t="shared" si="3"/>
        <v>-37509</v>
      </c>
      <c r="L25" s="13">
        <f t="shared" si="3"/>
        <v>-24396</v>
      </c>
      <c r="M25" s="13">
        <f t="shared" si="3"/>
        <v>-11934</v>
      </c>
      <c r="N25" s="13">
        <f t="shared" si="3"/>
        <v>-64609</v>
      </c>
      <c r="O25" s="13">
        <f t="shared" si="3"/>
        <v>-62091</v>
      </c>
    </row>
    <row r="26" spans="2:17" ht="14" customHeight="1" x14ac:dyDescent="0.3"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27" spans="2:17" ht="14" customHeight="1" x14ac:dyDescent="0.3">
      <c r="B27" s="42" t="s">
        <v>239</v>
      </c>
      <c r="C27" s="62">
        <f>SUM(C25,C18)/C8</f>
        <v>-0.19000356462594831</v>
      </c>
      <c r="D27" s="62">
        <f>SUM(D25,D18)/D8</f>
        <v>-0.19547721644971064</v>
      </c>
      <c r="E27" s="62">
        <f t="shared" ref="E27:O27" si="4">SUM(E25,E18)/E8</f>
        <v>-0.19782197960452222</v>
      </c>
      <c r="F27" s="62">
        <f t="shared" si="4"/>
        <v>-0.17771197720921267</v>
      </c>
      <c r="G27" s="62">
        <f t="shared" si="4"/>
        <v>-0.18003791245768994</v>
      </c>
      <c r="H27" s="62">
        <f t="shared" si="4"/>
        <v>-0.18081846009298649</v>
      </c>
      <c r="I27" s="62">
        <f t="shared" si="4"/>
        <v>-0.20219995702159665</v>
      </c>
      <c r="J27" s="62">
        <f t="shared" si="4"/>
        <v>-0.21535530395116023</v>
      </c>
      <c r="K27" s="62">
        <f t="shared" si="4"/>
        <v>-0.25369574831006381</v>
      </c>
      <c r="L27" s="62">
        <f t="shared" si="4"/>
        <v>-0.2848027770316342</v>
      </c>
      <c r="M27" s="62">
        <f t="shared" si="4"/>
        <v>-0.24300902780709319</v>
      </c>
      <c r="N27" s="62">
        <f t="shared" si="4"/>
        <v>-0.23437440397789361</v>
      </c>
      <c r="O27" s="62">
        <f t="shared" si="4"/>
        <v>-0.2381157233113898</v>
      </c>
    </row>
    <row r="28" spans="2:17" ht="14" customHeight="1" x14ac:dyDescent="0.3"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2:17" ht="14" customHeight="1" x14ac:dyDescent="0.3">
      <c r="B29" s="78" t="s">
        <v>43</v>
      </c>
      <c r="C29" s="9"/>
      <c r="D29" s="9">
        <f>'2| DRE'!E15</f>
        <v>909</v>
      </c>
      <c r="E29" s="9">
        <v>616</v>
      </c>
      <c r="F29" s="9">
        <v>-1126</v>
      </c>
      <c r="G29" s="9">
        <v>34</v>
      </c>
      <c r="H29" s="9">
        <v>-4068</v>
      </c>
      <c r="I29" s="9">
        <v>-3144</v>
      </c>
      <c r="J29" s="9">
        <v>-3051</v>
      </c>
      <c r="K29" s="9">
        <v>-7312</v>
      </c>
      <c r="L29" s="9">
        <v>-1730</v>
      </c>
      <c r="M29" s="9">
        <v>-3478</v>
      </c>
      <c r="N29" s="9">
        <v>-6940</v>
      </c>
      <c r="O29" s="9">
        <v>-6621</v>
      </c>
      <c r="Q29" s="4"/>
    </row>
    <row r="30" spans="2:17" ht="14" customHeight="1" x14ac:dyDescent="0.3">
      <c r="B30" s="78" t="s">
        <v>151</v>
      </c>
      <c r="C30" s="9">
        <v>970</v>
      </c>
      <c r="D30" s="9">
        <v>737</v>
      </c>
      <c r="E30" s="9">
        <v>160</v>
      </c>
      <c r="F30" s="9">
        <v>99400</v>
      </c>
      <c r="G30" s="9">
        <v>74419</v>
      </c>
      <c r="H30" s="9">
        <v>67387</v>
      </c>
      <c r="I30" s="9">
        <v>145</v>
      </c>
      <c r="J30" s="9">
        <v>4249</v>
      </c>
      <c r="K30" s="9">
        <v>3566</v>
      </c>
      <c r="L30" s="9">
        <v>2212</v>
      </c>
      <c r="M30" s="9">
        <v>1904</v>
      </c>
      <c r="N30" s="9">
        <v>86719</v>
      </c>
      <c r="O30" s="9"/>
      <c r="Q30" s="4"/>
    </row>
    <row r="31" spans="2:17" ht="14" customHeight="1" x14ac:dyDescent="0.3">
      <c r="B31" s="78" t="s">
        <v>152</v>
      </c>
      <c r="C31" s="9">
        <v>2170</v>
      </c>
      <c r="D31" s="9">
        <v>2077</v>
      </c>
      <c r="E31" s="9">
        <v>756</v>
      </c>
      <c r="F31" s="9">
        <v>16015</v>
      </c>
      <c r="G31" s="9">
        <v>15582</v>
      </c>
      <c r="H31" s="9">
        <v>0</v>
      </c>
      <c r="I31" s="9">
        <v>0</v>
      </c>
      <c r="J31" s="9">
        <v>11666</v>
      </c>
      <c r="K31" s="9"/>
      <c r="L31" s="9"/>
      <c r="M31" s="9"/>
      <c r="N31" s="9">
        <v>6003</v>
      </c>
      <c r="O31" s="9">
        <v>19916</v>
      </c>
      <c r="Q31" s="4"/>
    </row>
    <row r="32" spans="2:17" ht="14" customHeight="1" x14ac:dyDescent="0.3">
      <c r="B32" s="78" t="s">
        <v>153</v>
      </c>
      <c r="C32" s="9">
        <v>329</v>
      </c>
      <c r="D32" s="9">
        <v>181</v>
      </c>
      <c r="E32" s="9">
        <v>90</v>
      </c>
      <c r="F32" s="9">
        <v>481</v>
      </c>
      <c r="G32" s="9">
        <v>270</v>
      </c>
      <c r="H32" s="9">
        <v>180</v>
      </c>
      <c r="I32" s="9">
        <v>90</v>
      </c>
      <c r="J32" s="9"/>
      <c r="K32" s="9">
        <v>65</v>
      </c>
      <c r="L32" s="9"/>
      <c r="M32" s="9"/>
      <c r="N32" s="9">
        <v>10026</v>
      </c>
      <c r="O32" s="9">
        <v>5531</v>
      </c>
      <c r="Q32" s="4"/>
    </row>
    <row r="33" spans="2:17" ht="14" customHeight="1" x14ac:dyDescent="0.3">
      <c r="B33" s="78" t="s">
        <v>163</v>
      </c>
      <c r="C33" s="9">
        <v>155</v>
      </c>
      <c r="D33" s="9">
        <v>151</v>
      </c>
      <c r="E33" s="9">
        <v>0</v>
      </c>
      <c r="F33" s="9">
        <v>75</v>
      </c>
      <c r="G33" s="9">
        <v>75</v>
      </c>
      <c r="H33" s="9">
        <v>11</v>
      </c>
      <c r="I33" s="9">
        <v>0</v>
      </c>
      <c r="J33" s="9"/>
      <c r="K33" s="9">
        <v>25</v>
      </c>
      <c r="L33" s="9">
        <v>13</v>
      </c>
      <c r="M33" s="9"/>
      <c r="N33" s="9"/>
      <c r="O33" s="9">
        <v>387</v>
      </c>
      <c r="Q33" s="4"/>
    </row>
    <row r="34" spans="2:17" ht="14" customHeight="1" x14ac:dyDescent="0.3">
      <c r="B34" s="78" t="s">
        <v>164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/>
      <c r="K34" s="9"/>
      <c r="L34" s="9"/>
      <c r="M34" s="9"/>
      <c r="N34" s="9"/>
      <c r="O34" s="9">
        <v>2915</v>
      </c>
      <c r="Q34" s="4"/>
    </row>
    <row r="35" spans="2:17" ht="14" customHeight="1" x14ac:dyDescent="0.3">
      <c r="B35" s="78" t="s">
        <v>44</v>
      </c>
      <c r="C35" s="9">
        <v>949</v>
      </c>
      <c r="D35" s="9">
        <v>695</v>
      </c>
      <c r="E35" s="9">
        <v>82</v>
      </c>
      <c r="F35" s="9">
        <v>411</v>
      </c>
      <c r="G35" s="9">
        <v>126</v>
      </c>
      <c r="H35" s="9">
        <v>93</v>
      </c>
      <c r="I35" s="9">
        <v>23</v>
      </c>
      <c r="J35" s="9">
        <v>6548</v>
      </c>
      <c r="K35" s="9">
        <v>285</v>
      </c>
      <c r="L35" s="9">
        <v>262</v>
      </c>
      <c r="M35" s="9">
        <v>262</v>
      </c>
      <c r="N35" s="9">
        <v>8503</v>
      </c>
      <c r="O35" s="9">
        <v>4526</v>
      </c>
      <c r="Q35" s="4"/>
    </row>
    <row r="36" spans="2:17" ht="14" customHeight="1" x14ac:dyDescent="0.3">
      <c r="B36" s="78" t="s">
        <v>154</v>
      </c>
      <c r="C36" s="9">
        <v>-760</v>
      </c>
      <c r="D36" s="9">
        <v>-760</v>
      </c>
      <c r="E36" s="9">
        <v>-418</v>
      </c>
      <c r="F36" s="9">
        <v>-24859</v>
      </c>
      <c r="G36" s="9">
        <v>-25700</v>
      </c>
      <c r="H36" s="9">
        <v>-18091</v>
      </c>
      <c r="I36" s="9">
        <v>-310</v>
      </c>
      <c r="J36" s="9">
        <v>-2725</v>
      </c>
      <c r="K36" s="9"/>
      <c r="L36" s="9"/>
      <c r="M36" s="9"/>
      <c r="N36" s="9">
        <v>-2147</v>
      </c>
      <c r="O36" s="9">
        <v>-1364</v>
      </c>
      <c r="Q36" s="4"/>
    </row>
    <row r="37" spans="2:17" ht="14" customHeight="1" x14ac:dyDescent="0.3">
      <c r="B37" s="78" t="s">
        <v>155</v>
      </c>
      <c r="C37" s="9">
        <v>-3174</v>
      </c>
      <c r="D37" s="9">
        <v>-3001</v>
      </c>
      <c r="E37" s="9">
        <v>0</v>
      </c>
      <c r="F37" s="9">
        <v>-5822</v>
      </c>
      <c r="G37" s="9">
        <v>0</v>
      </c>
      <c r="H37" s="9">
        <v>0</v>
      </c>
      <c r="I37" s="9">
        <v>0</v>
      </c>
      <c r="J37" s="9">
        <v>-1736</v>
      </c>
      <c r="K37" s="9"/>
      <c r="L37" s="9"/>
      <c r="M37" s="9"/>
      <c r="N37" s="9"/>
      <c r="O37" s="9"/>
      <c r="Q37" s="4"/>
    </row>
    <row r="38" spans="2:17" ht="14" customHeight="1" x14ac:dyDescent="0.3">
      <c r="B38" s="78" t="s">
        <v>156</v>
      </c>
      <c r="C38" s="9">
        <v>0</v>
      </c>
      <c r="D38" s="9">
        <v>0</v>
      </c>
      <c r="E38" s="9">
        <v>0</v>
      </c>
      <c r="F38" s="9">
        <v>-2111</v>
      </c>
      <c r="G38" s="9">
        <v>0</v>
      </c>
      <c r="H38" s="9">
        <v>0</v>
      </c>
      <c r="I38" s="9">
        <v>0</v>
      </c>
      <c r="J38" s="9"/>
      <c r="K38" s="9"/>
      <c r="L38" s="9"/>
      <c r="M38" s="9"/>
      <c r="N38" s="9"/>
      <c r="O38" s="9"/>
      <c r="Q38" s="4"/>
    </row>
    <row r="39" spans="2:17" ht="14" customHeight="1" x14ac:dyDescent="0.3">
      <c r="B39" s="78" t="s">
        <v>157</v>
      </c>
      <c r="C39" s="9">
        <v>-383</v>
      </c>
      <c r="D39" s="9">
        <v>-368</v>
      </c>
      <c r="E39" s="9">
        <v>0</v>
      </c>
      <c r="F39" s="9">
        <v>-794</v>
      </c>
      <c r="G39" s="9">
        <v>-81</v>
      </c>
      <c r="H39" s="9">
        <v>-81</v>
      </c>
      <c r="I39" s="9">
        <v>-31</v>
      </c>
      <c r="J39" s="9">
        <v>-134</v>
      </c>
      <c r="K39" s="9">
        <v>-64</v>
      </c>
      <c r="L39" s="9">
        <v>-39</v>
      </c>
      <c r="M39" s="9"/>
      <c r="N39" s="9">
        <v>-3902</v>
      </c>
      <c r="O39" s="9">
        <v>-786</v>
      </c>
      <c r="Q39" s="4"/>
    </row>
    <row r="40" spans="2:17" ht="14" customHeight="1" x14ac:dyDescent="0.3">
      <c r="B40" s="78" t="s">
        <v>158</v>
      </c>
      <c r="C40" s="9">
        <v>0</v>
      </c>
      <c r="D40" s="9">
        <v>0</v>
      </c>
      <c r="E40" s="9">
        <v>0</v>
      </c>
      <c r="F40" s="9">
        <v>-74</v>
      </c>
      <c r="G40" s="9">
        <v>0</v>
      </c>
      <c r="H40" s="9">
        <v>0</v>
      </c>
      <c r="I40" s="9">
        <v>0</v>
      </c>
      <c r="J40" s="9">
        <v>-119</v>
      </c>
      <c r="K40" s="9"/>
      <c r="L40" s="9"/>
      <c r="M40" s="9"/>
      <c r="N40" s="9"/>
      <c r="O40" s="9"/>
      <c r="Q40" s="4"/>
    </row>
    <row r="41" spans="2:17" ht="14" customHeight="1" x14ac:dyDescent="0.3">
      <c r="B41" s="78" t="s">
        <v>159</v>
      </c>
      <c r="C41" s="9">
        <v>-28</v>
      </c>
      <c r="D41" s="9">
        <v>-11</v>
      </c>
      <c r="E41" s="35">
        <v>0</v>
      </c>
      <c r="F41" s="9">
        <v>-6</v>
      </c>
      <c r="G41" s="9">
        <v>0</v>
      </c>
      <c r="H41" s="9">
        <v>0</v>
      </c>
      <c r="I41" s="9">
        <v>0</v>
      </c>
      <c r="J41" s="9">
        <v>-6</v>
      </c>
      <c r="K41" s="9"/>
      <c r="L41" s="9"/>
      <c r="M41" s="9"/>
      <c r="N41" s="9">
        <v>-156</v>
      </c>
      <c r="O41" s="9">
        <v>-1247</v>
      </c>
      <c r="Q41" s="4"/>
    </row>
    <row r="42" spans="2:17" ht="14" customHeight="1" x14ac:dyDescent="0.3">
      <c r="B42" s="78" t="s">
        <v>160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-3838</v>
      </c>
      <c r="K42" s="9"/>
      <c r="L42" s="9"/>
      <c r="M42" s="9"/>
      <c r="N42" s="9">
        <v>-1897</v>
      </c>
      <c r="O42" s="9"/>
      <c r="Q42" s="4"/>
    </row>
    <row r="43" spans="2:17" ht="14" customHeight="1" x14ac:dyDescent="0.3">
      <c r="B43" s="78" t="s">
        <v>141</v>
      </c>
      <c r="C43" s="9"/>
      <c r="D43" s="9">
        <f>-1606-46</f>
        <v>-1652</v>
      </c>
      <c r="E43" s="9">
        <v>-1953</v>
      </c>
      <c r="F43" s="9">
        <v>-6061</v>
      </c>
      <c r="G43" s="9">
        <v>-14836</v>
      </c>
      <c r="H43" s="9">
        <v>-3535</v>
      </c>
      <c r="I43" s="9">
        <v>-2904</v>
      </c>
      <c r="J43" s="9">
        <v>-1639</v>
      </c>
      <c r="K43" s="9">
        <v>-6012</v>
      </c>
      <c r="L43" s="9">
        <v>-5838</v>
      </c>
      <c r="M43" s="9">
        <v>-1477</v>
      </c>
      <c r="N43" s="9">
        <v>-13190</v>
      </c>
      <c r="O43" s="9">
        <v>-5994</v>
      </c>
      <c r="Q43" s="4"/>
    </row>
    <row r="44" spans="2:17" ht="14" customHeight="1" x14ac:dyDescent="0.3">
      <c r="B44" s="20" t="s">
        <v>240</v>
      </c>
      <c r="C44" s="13">
        <f>SUM(C29:C43)</f>
        <v>228</v>
      </c>
      <c r="D44" s="13">
        <f>SUM(D29:D43)</f>
        <v>-1042</v>
      </c>
      <c r="E44" s="13">
        <f>SUM(E29:E43)</f>
        <v>-667</v>
      </c>
      <c r="F44" s="13">
        <f t="shared" ref="F44:O44" si="5">SUM(F29:F43)</f>
        <v>75529</v>
      </c>
      <c r="G44" s="13">
        <f t="shared" si="5"/>
        <v>49889</v>
      </c>
      <c r="H44" s="13">
        <f t="shared" si="5"/>
        <v>41896</v>
      </c>
      <c r="I44" s="13">
        <f t="shared" si="5"/>
        <v>-6131</v>
      </c>
      <c r="J44" s="13">
        <f t="shared" si="5"/>
        <v>9215</v>
      </c>
      <c r="K44" s="13">
        <f t="shared" si="5"/>
        <v>-9447</v>
      </c>
      <c r="L44" s="13">
        <f t="shared" si="5"/>
        <v>-5120</v>
      </c>
      <c r="M44" s="13">
        <f t="shared" si="5"/>
        <v>-2789</v>
      </c>
      <c r="N44" s="13">
        <f t="shared" si="5"/>
        <v>83019</v>
      </c>
      <c r="O44" s="13">
        <f t="shared" si="5"/>
        <v>17263</v>
      </c>
      <c r="Q44" s="4"/>
    </row>
  </sheetData>
  <sortState ref="B14:O19">
    <sortCondition sortBy="fontColor" ref="N17"/>
  </sortState>
  <pageMargins left="0.511811024" right="0.511811024" top="0.78740157499999996" bottom="0.78740157499999996" header="0.31496062000000002" footer="0.31496062000000002"/>
  <ignoredErrors>
    <ignoredError sqref="F6:O6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496C8"/>
  </sheetPr>
  <dimension ref="B1:J20"/>
  <sheetViews>
    <sheetView showGridLines="0" showRowColHeaders="0" workbookViewId="0"/>
  </sheetViews>
  <sheetFormatPr defaultColWidth="8.6328125" defaultRowHeight="14" customHeight="1" x14ac:dyDescent="0.3"/>
  <cols>
    <col min="1" max="1" width="0.90625" style="2" customWidth="1"/>
    <col min="2" max="2" width="34" style="2" customWidth="1"/>
    <col min="3" max="16384" width="8.6328125" style="2"/>
  </cols>
  <sheetData>
    <row r="1" spans="2:10" ht="5" customHeight="1" x14ac:dyDescent="0.3"/>
    <row r="3" spans="2:10" ht="14" customHeight="1" x14ac:dyDescent="0.3">
      <c r="D3" s="116"/>
    </row>
    <row r="6" spans="2:10" s="103" customFormat="1" ht="26.5" customHeight="1" thickBot="1" x14ac:dyDescent="0.35">
      <c r="B6" s="134" t="s">
        <v>241</v>
      </c>
      <c r="C6" s="124" t="s">
        <v>279</v>
      </c>
      <c r="D6" s="124" t="s">
        <v>193</v>
      </c>
      <c r="E6" s="124" t="s">
        <v>170</v>
      </c>
      <c r="F6" s="132" t="s">
        <v>86</v>
      </c>
      <c r="G6" s="131" t="s">
        <v>88</v>
      </c>
      <c r="H6" s="131" t="s">
        <v>91</v>
      </c>
      <c r="I6" s="124" t="s">
        <v>94</v>
      </c>
      <c r="J6" s="132" t="s">
        <v>87</v>
      </c>
    </row>
    <row r="7" spans="2:10" ht="14" customHeight="1" thickTop="1" x14ac:dyDescent="0.3">
      <c r="B7" s="79"/>
      <c r="C7" s="79"/>
      <c r="D7" s="56"/>
      <c r="E7" s="56"/>
      <c r="F7" s="66"/>
      <c r="G7" s="67"/>
      <c r="H7" s="67"/>
      <c r="I7" s="56"/>
      <c r="J7" s="66"/>
    </row>
    <row r="8" spans="2:10" ht="14" customHeight="1" x14ac:dyDescent="0.3">
      <c r="B8" s="40" t="s">
        <v>196</v>
      </c>
      <c r="C8" s="9">
        <v>18499</v>
      </c>
      <c r="D8" s="9">
        <v>16019</v>
      </c>
      <c r="E8" s="9">
        <v>4452</v>
      </c>
      <c r="F8" s="9">
        <v>12906</v>
      </c>
      <c r="G8" s="9">
        <v>13558</v>
      </c>
      <c r="H8" s="9">
        <v>12450</v>
      </c>
      <c r="I8" s="9">
        <v>11109</v>
      </c>
      <c r="J8" s="9">
        <v>12078</v>
      </c>
    </row>
    <row r="9" spans="2:10" ht="14" customHeight="1" x14ac:dyDescent="0.3">
      <c r="B9" s="40" t="s">
        <v>197</v>
      </c>
      <c r="C9" s="9">
        <v>20677</v>
      </c>
      <c r="D9" s="9">
        <v>20634</v>
      </c>
      <c r="E9" s="9">
        <v>7600</v>
      </c>
      <c r="F9" s="9">
        <v>29973</v>
      </c>
      <c r="G9" s="9">
        <v>12373</v>
      </c>
      <c r="H9" s="9">
        <v>0</v>
      </c>
      <c r="I9" s="9">
        <v>0</v>
      </c>
      <c r="J9" s="9">
        <v>0</v>
      </c>
    </row>
    <row r="10" spans="2:10" ht="14" customHeight="1" x14ac:dyDescent="0.3">
      <c r="B10" s="40" t="s">
        <v>198</v>
      </c>
      <c r="C10" s="9">
        <v>2721</v>
      </c>
      <c r="D10" s="9">
        <v>2373</v>
      </c>
      <c r="E10" s="9">
        <v>147</v>
      </c>
      <c r="F10" s="9">
        <v>2035</v>
      </c>
      <c r="G10" s="9">
        <v>1534</v>
      </c>
      <c r="H10" s="9">
        <v>1109</v>
      </c>
      <c r="I10" s="9">
        <v>441</v>
      </c>
      <c r="J10" s="9">
        <v>479</v>
      </c>
    </row>
    <row r="11" spans="2:10" ht="14" customHeight="1" x14ac:dyDescent="0.3">
      <c r="B11" s="40" t="s">
        <v>199</v>
      </c>
      <c r="C11" s="9">
        <v>93</v>
      </c>
      <c r="D11" s="9">
        <v>96</v>
      </c>
      <c r="E11" s="9">
        <v>52</v>
      </c>
      <c r="F11" s="9">
        <v>17</v>
      </c>
      <c r="G11" s="9">
        <v>0</v>
      </c>
      <c r="H11" s="9">
        <v>0</v>
      </c>
      <c r="I11" s="9">
        <v>0</v>
      </c>
      <c r="J11" s="9">
        <v>0</v>
      </c>
    </row>
    <row r="12" spans="2:10" ht="14" customHeight="1" x14ac:dyDescent="0.3">
      <c r="B12" s="40" t="s">
        <v>205</v>
      </c>
      <c r="C12" s="9">
        <v>32670</v>
      </c>
      <c r="D12" s="9">
        <v>32670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</row>
    <row r="13" spans="2:10" ht="14" customHeight="1" x14ac:dyDescent="0.3">
      <c r="B13" s="40" t="s">
        <v>206</v>
      </c>
      <c r="C13" s="9">
        <v>0</v>
      </c>
      <c r="D13" s="9">
        <v>28</v>
      </c>
      <c r="E13" s="9">
        <v>0</v>
      </c>
      <c r="F13" s="9">
        <f>149+1</f>
        <v>150</v>
      </c>
      <c r="G13" s="9">
        <v>149</v>
      </c>
      <c r="H13" s="9">
        <v>0</v>
      </c>
      <c r="I13" s="9">
        <v>0</v>
      </c>
      <c r="J13" s="9">
        <v>65</v>
      </c>
    </row>
    <row r="14" spans="2:10" ht="14" customHeight="1" x14ac:dyDescent="0.3">
      <c r="B14" s="40" t="s">
        <v>200</v>
      </c>
      <c r="C14" s="9">
        <v>0</v>
      </c>
      <c r="D14" s="9">
        <v>0</v>
      </c>
      <c r="E14" s="9">
        <v>562</v>
      </c>
      <c r="F14" s="9">
        <v>2542</v>
      </c>
      <c r="G14" s="9">
        <v>0</v>
      </c>
      <c r="H14" s="9">
        <v>0</v>
      </c>
      <c r="I14" s="9">
        <v>0</v>
      </c>
      <c r="J14" s="9">
        <v>0</v>
      </c>
    </row>
    <row r="15" spans="2:10" ht="14" customHeight="1" x14ac:dyDescent="0.3">
      <c r="B15" s="40" t="s">
        <v>201</v>
      </c>
      <c r="C15" s="9">
        <v>240</v>
      </c>
      <c r="D15" s="9">
        <v>184</v>
      </c>
      <c r="E15" s="9">
        <v>9</v>
      </c>
      <c r="F15" s="9">
        <v>5</v>
      </c>
      <c r="G15" s="9">
        <v>0</v>
      </c>
      <c r="H15" s="9">
        <v>0</v>
      </c>
      <c r="I15" s="9">
        <v>0</v>
      </c>
      <c r="J15" s="9">
        <v>88</v>
      </c>
    </row>
    <row r="16" spans="2:10" ht="14" customHeight="1" x14ac:dyDescent="0.3">
      <c r="B16" s="40" t="s">
        <v>202</v>
      </c>
      <c r="C16" s="9">
        <v>5082</v>
      </c>
      <c r="D16" s="9">
        <v>3887</v>
      </c>
      <c r="E16" s="9">
        <v>2221</v>
      </c>
      <c r="F16" s="9">
        <v>7600</v>
      </c>
      <c r="G16" s="9">
        <v>6138</v>
      </c>
      <c r="H16" s="9">
        <v>4459</v>
      </c>
      <c r="I16" s="9">
        <v>3063</v>
      </c>
      <c r="J16" s="9">
        <v>5553</v>
      </c>
    </row>
    <row r="17" spans="2:10" ht="14" customHeight="1" x14ac:dyDescent="0.3">
      <c r="B17" s="75" t="s">
        <v>203</v>
      </c>
      <c r="C17" s="9">
        <v>0</v>
      </c>
      <c r="D17" s="9">
        <v>75</v>
      </c>
      <c r="E17" s="9">
        <v>197</v>
      </c>
      <c r="F17" s="9">
        <v>278</v>
      </c>
      <c r="G17" s="9">
        <v>0</v>
      </c>
      <c r="H17" s="9">
        <v>0</v>
      </c>
      <c r="I17" s="9">
        <v>0</v>
      </c>
      <c r="J17" s="9">
        <v>0</v>
      </c>
    </row>
    <row r="18" spans="2:10" ht="14" customHeight="1" x14ac:dyDescent="0.3">
      <c r="B18" s="75" t="s">
        <v>204</v>
      </c>
      <c r="C18" s="9">
        <v>1710</v>
      </c>
      <c r="D18" s="9">
        <v>1457</v>
      </c>
      <c r="E18" s="9">
        <v>866</v>
      </c>
      <c r="F18" s="9">
        <v>3338</v>
      </c>
      <c r="G18" s="9">
        <v>1382</v>
      </c>
      <c r="H18" s="9">
        <v>1264</v>
      </c>
      <c r="I18" s="9">
        <v>229</v>
      </c>
      <c r="J18" s="9">
        <v>1500</v>
      </c>
    </row>
    <row r="19" spans="2:10" ht="14" customHeight="1" x14ac:dyDescent="0.3">
      <c r="B19" s="17" t="s">
        <v>191</v>
      </c>
      <c r="C19" s="13">
        <f t="shared" ref="C19:J19" si="0">SUM(C8:C18)</f>
        <v>81692</v>
      </c>
      <c r="D19" s="13">
        <f t="shared" si="0"/>
        <v>77423</v>
      </c>
      <c r="E19" s="13">
        <f t="shared" si="0"/>
        <v>16106</v>
      </c>
      <c r="F19" s="13">
        <f t="shared" si="0"/>
        <v>58844</v>
      </c>
      <c r="G19" s="13">
        <f t="shared" si="0"/>
        <v>35134</v>
      </c>
      <c r="H19" s="13">
        <f t="shared" si="0"/>
        <v>19282</v>
      </c>
      <c r="I19" s="13">
        <f t="shared" si="0"/>
        <v>14842</v>
      </c>
      <c r="J19" s="13">
        <f t="shared" si="0"/>
        <v>19763</v>
      </c>
    </row>
    <row r="20" spans="2:10" ht="14" customHeight="1" x14ac:dyDescent="0.3">
      <c r="D20" s="74"/>
      <c r="E20" s="74"/>
      <c r="F20" s="74"/>
      <c r="G20" s="74"/>
      <c r="H20" s="74"/>
      <c r="I20" s="74"/>
      <c r="J20" s="74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F6:J6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496C8"/>
  </sheetPr>
  <dimension ref="B1:M24"/>
  <sheetViews>
    <sheetView showGridLines="0" showRowColHeaders="0" workbookViewId="0"/>
  </sheetViews>
  <sheetFormatPr defaultColWidth="9.453125" defaultRowHeight="14" customHeight="1" x14ac:dyDescent="0.3"/>
  <cols>
    <col min="1" max="1" width="0.90625" style="2" customWidth="1"/>
    <col min="2" max="2" width="31.54296875" style="2" bestFit="1" customWidth="1"/>
    <col min="3" max="16384" width="9.453125" style="2"/>
  </cols>
  <sheetData>
    <row r="1" spans="2:13" ht="5" customHeight="1" x14ac:dyDescent="0.3"/>
    <row r="6" spans="2:13" s="103" customFormat="1" ht="26.5" customHeight="1" thickBot="1" x14ac:dyDescent="0.35">
      <c r="B6" s="134" t="s">
        <v>242</v>
      </c>
      <c r="C6" s="124" t="s">
        <v>279</v>
      </c>
      <c r="D6" s="124" t="s">
        <v>193</v>
      </c>
      <c r="E6" s="124" t="s">
        <v>170</v>
      </c>
      <c r="F6" s="132" t="s">
        <v>86</v>
      </c>
      <c r="G6" s="131" t="s">
        <v>88</v>
      </c>
      <c r="H6" s="131" t="s">
        <v>91</v>
      </c>
      <c r="I6" s="124" t="s">
        <v>94</v>
      </c>
      <c r="J6" s="132" t="s">
        <v>87</v>
      </c>
      <c r="K6" s="131" t="s">
        <v>89</v>
      </c>
      <c r="L6" s="131" t="s">
        <v>92</v>
      </c>
      <c r="M6" s="124" t="s">
        <v>95</v>
      </c>
    </row>
    <row r="7" spans="2:13" ht="14" customHeight="1" thickTop="1" x14ac:dyDescent="0.3">
      <c r="I7" s="5"/>
      <c r="J7" s="5"/>
      <c r="K7" s="80"/>
    </row>
    <row r="8" spans="2:13" ht="14" customHeight="1" x14ac:dyDescent="0.3">
      <c r="B8" s="20" t="s">
        <v>247</v>
      </c>
      <c r="C8" s="13">
        <f>'5| EBITDA'!C12</f>
        <v>221200</v>
      </c>
      <c r="D8" s="13">
        <f>'5| EBITDA'!D12</f>
        <v>144255</v>
      </c>
      <c r="E8" s="13">
        <f>'5| EBITDA'!E12</f>
        <v>73211</v>
      </c>
      <c r="F8" s="13">
        <f>'5| EBITDA'!F12</f>
        <v>379251</v>
      </c>
      <c r="G8" s="13">
        <f>'5| EBITDA'!G12</f>
        <v>264244</v>
      </c>
      <c r="H8" s="13">
        <f>'5| EBITDA'!H12</f>
        <v>186025</v>
      </c>
      <c r="I8" s="13">
        <f>'5| EBITDA'!I12</f>
        <v>46157</v>
      </c>
      <c r="J8" s="13">
        <f>'5| EBITDA'!J12</f>
        <v>64216</v>
      </c>
      <c r="K8" s="13">
        <f>'5| EBITDA'!K12</f>
        <v>-3292</v>
      </c>
      <c r="L8" s="13">
        <f>'5| EBITDA'!L12</f>
        <v>-28541</v>
      </c>
      <c r="M8" s="13">
        <f>'5| EBITDA'!M12</f>
        <v>-7296</v>
      </c>
    </row>
    <row r="9" spans="2:13" ht="14" customHeight="1" x14ac:dyDescent="0.3"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2:13" ht="14" customHeight="1" x14ac:dyDescent="0.3">
      <c r="B10" s="20" t="s">
        <v>248</v>
      </c>
      <c r="C10" s="13">
        <f>SUM(C11:C12)</f>
        <v>9401</v>
      </c>
      <c r="D10" s="13">
        <f>SUM(D11:D12)</f>
        <v>-10679</v>
      </c>
      <c r="E10" s="13">
        <f t="shared" ref="E10:M10" si="0">SUM(E11:E12)</f>
        <v>-11317</v>
      </c>
      <c r="F10" s="13">
        <f t="shared" si="0"/>
        <v>9410</v>
      </c>
      <c r="G10" s="13">
        <f t="shared" si="0"/>
        <v>23359</v>
      </c>
      <c r="H10" s="13">
        <f t="shared" si="0"/>
        <v>-6754</v>
      </c>
      <c r="I10" s="13">
        <f t="shared" si="0"/>
        <v>-14858</v>
      </c>
      <c r="J10" s="13">
        <f t="shared" si="0"/>
        <v>41016</v>
      </c>
      <c r="K10" s="13">
        <f t="shared" si="0"/>
        <v>46026</v>
      </c>
      <c r="L10" s="13">
        <f t="shared" si="0"/>
        <v>51389</v>
      </c>
      <c r="M10" s="13">
        <f t="shared" si="0"/>
        <v>-1489</v>
      </c>
    </row>
    <row r="11" spans="2:13" ht="14" customHeight="1" x14ac:dyDescent="0.3">
      <c r="B11" s="19" t="s">
        <v>243</v>
      </c>
      <c r="C11" s="9">
        <f>('3| Fluxo de Caixa'!C18+'3| Fluxo de Caixa'!C21+'3| Fluxo de Caixa'!C22+'3| Fluxo de Caixa'!C23)</f>
        <v>12715</v>
      </c>
      <c r="D11" s="9">
        <f>('3| Fluxo de Caixa'!D18+'3| Fluxo de Caixa'!D21+'3| Fluxo de Caixa'!D22+'3| Fluxo de Caixa'!D23)</f>
        <v>7631</v>
      </c>
      <c r="E11" s="9">
        <f>('3| Fluxo de Caixa'!E18+'3| Fluxo de Caixa'!E21+'3| Fluxo de Caixa'!E22+'3| Fluxo de Caixa'!E23)</f>
        <v>-699</v>
      </c>
      <c r="F11" s="9">
        <f>('3| Fluxo de Caixa'!F18+'3| Fluxo de Caixa'!F21+'3| Fluxo de Caixa'!F22+'3| Fluxo de Caixa'!F23)</f>
        <v>14642</v>
      </c>
      <c r="G11" s="9">
        <f>('3| Fluxo de Caixa'!G18+'3| Fluxo de Caixa'!G21+'3| Fluxo de Caixa'!G22+'3| Fluxo de Caixa'!G23)</f>
        <v>30550</v>
      </c>
      <c r="H11" s="9">
        <f>('3| Fluxo de Caixa'!H18+'3| Fluxo de Caixa'!H21+'3| Fluxo de Caixa'!H22+'3| Fluxo de Caixa'!H23)</f>
        <v>16889</v>
      </c>
      <c r="I11" s="9">
        <f>('3| Fluxo de Caixa'!I18+'3| Fluxo de Caixa'!I21+'3| Fluxo de Caixa'!I22+'3| Fluxo de Caixa'!I23)</f>
        <v>2316</v>
      </c>
      <c r="J11" s="9">
        <f>('3| Fluxo de Caixa'!J18+'3| Fluxo de Caixa'!J21+'3| Fluxo de Caixa'!J22+'3| Fluxo de Caixa'!J23)</f>
        <v>-1872</v>
      </c>
      <c r="K11" s="9">
        <f>('3| Fluxo de Caixa'!K18+'3| Fluxo de Caixa'!K21+'3| Fluxo de Caixa'!K22+'3| Fluxo de Caixa'!K23)</f>
        <v>3728</v>
      </c>
      <c r="L11" s="9">
        <f>('3| Fluxo de Caixa'!L18+'3| Fluxo de Caixa'!L21+'3| Fluxo de Caixa'!L22+'3| Fluxo de Caixa'!L23)</f>
        <v>5108</v>
      </c>
      <c r="M11" s="9">
        <f>('3| Fluxo de Caixa'!M18+'3| Fluxo de Caixa'!M21+'3| Fluxo de Caixa'!M22+'3| Fluxo de Caixa'!M23)</f>
        <v>4848</v>
      </c>
    </row>
    <row r="12" spans="2:13" ht="14" customHeight="1" x14ac:dyDescent="0.3">
      <c r="B12" s="19" t="s">
        <v>177</v>
      </c>
      <c r="C12" s="9">
        <f>('3| Fluxo de Caixa'!C37+'3| Fluxo de Caixa'!C19)</f>
        <v>-3314</v>
      </c>
      <c r="D12" s="9">
        <f>('3| Fluxo de Caixa'!D37+'3| Fluxo de Caixa'!D19)</f>
        <v>-18310</v>
      </c>
      <c r="E12" s="9">
        <f>('3| Fluxo de Caixa'!E37+'3| Fluxo de Caixa'!E19)</f>
        <v>-10618</v>
      </c>
      <c r="F12" s="9">
        <f>('3| Fluxo de Caixa'!F37+'3| Fluxo de Caixa'!F19)</f>
        <v>-5232</v>
      </c>
      <c r="G12" s="9">
        <f>('3| Fluxo de Caixa'!G37+'3| Fluxo de Caixa'!G19)</f>
        <v>-7191</v>
      </c>
      <c r="H12" s="9">
        <f>('3| Fluxo de Caixa'!H37+'3| Fluxo de Caixa'!H19)</f>
        <v>-23643</v>
      </c>
      <c r="I12" s="9">
        <f>('3| Fluxo de Caixa'!I37+'3| Fluxo de Caixa'!I19)</f>
        <v>-17174</v>
      </c>
      <c r="J12" s="9">
        <f>('3| Fluxo de Caixa'!J37+'3| Fluxo de Caixa'!J19)</f>
        <v>42888</v>
      </c>
      <c r="K12" s="9">
        <f>('3| Fluxo de Caixa'!K37+'3| Fluxo de Caixa'!K19)</f>
        <v>42298</v>
      </c>
      <c r="L12" s="9">
        <f>('3| Fluxo de Caixa'!L37+'3| Fluxo de Caixa'!L19)</f>
        <v>46281</v>
      </c>
      <c r="M12" s="9">
        <f>('3| Fluxo de Caixa'!M37+'3| Fluxo de Caixa'!M19)</f>
        <v>-6337</v>
      </c>
    </row>
    <row r="13" spans="2:13" ht="14" customHeight="1" x14ac:dyDescent="0.3"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2:13" ht="14" customHeight="1" x14ac:dyDescent="0.3">
      <c r="B14" s="20" t="s">
        <v>249</v>
      </c>
      <c r="C14" s="13">
        <f>SUM(C15:C19)</f>
        <v>-66522</v>
      </c>
      <c r="D14" s="13">
        <f>SUM(D15:D19)</f>
        <v>-19260</v>
      </c>
      <c r="E14" s="13">
        <f t="shared" ref="E14:M14" si="1">SUM(E15:E19)</f>
        <v>-20315</v>
      </c>
      <c r="F14" s="13">
        <f t="shared" si="1"/>
        <v>-214102</v>
      </c>
      <c r="G14" s="13">
        <f t="shared" si="1"/>
        <v>-141002</v>
      </c>
      <c r="H14" s="13">
        <f t="shared" si="1"/>
        <v>-54533</v>
      </c>
      <c r="I14" s="13">
        <f t="shared" si="1"/>
        <v>42585</v>
      </c>
      <c r="J14" s="13">
        <f t="shared" si="1"/>
        <v>46741</v>
      </c>
      <c r="K14" s="13">
        <f t="shared" si="1"/>
        <v>67719</v>
      </c>
      <c r="L14" s="13">
        <f t="shared" si="1"/>
        <v>94264</v>
      </c>
      <c r="M14" s="13">
        <f t="shared" si="1"/>
        <v>23616</v>
      </c>
    </row>
    <row r="15" spans="2:13" ht="14" customHeight="1" x14ac:dyDescent="0.3">
      <c r="B15" s="19" t="s">
        <v>7</v>
      </c>
      <c r="C15" s="9">
        <f>'3| Fluxo de Caixa'!C26</f>
        <v>-17418</v>
      </c>
      <c r="D15" s="9">
        <f>'3| Fluxo de Caixa'!D26</f>
        <v>-10549</v>
      </c>
      <c r="E15" s="9">
        <f>'3| Fluxo de Caixa'!E26</f>
        <v>29978</v>
      </c>
      <c r="F15" s="9">
        <f>'3| Fluxo de Caixa'!F26</f>
        <v>-53347</v>
      </c>
      <c r="G15" s="9">
        <f>'3| Fluxo de Caixa'!G26</f>
        <v>-29709</v>
      </c>
      <c r="H15" s="9">
        <f>'3| Fluxo de Caixa'!H26</f>
        <v>6507</v>
      </c>
      <c r="I15" s="9">
        <f>'3| Fluxo de Caixa'!I26</f>
        <v>38646</v>
      </c>
      <c r="J15" s="9">
        <f>'3| Fluxo de Caixa'!J26</f>
        <v>-608</v>
      </c>
      <c r="K15" s="9">
        <f>'3| Fluxo de Caixa'!K26</f>
        <v>37301</v>
      </c>
      <c r="L15" s="9">
        <f>'3| Fluxo de Caixa'!L26</f>
        <v>109627</v>
      </c>
      <c r="M15" s="9">
        <f>'3| Fluxo de Caixa'!M26</f>
        <v>50296</v>
      </c>
    </row>
    <row r="16" spans="2:13" ht="14" customHeight="1" x14ac:dyDescent="0.3">
      <c r="B16" s="19" t="s">
        <v>1</v>
      </c>
      <c r="C16" s="9">
        <f>'3| Fluxo de Caixa'!C27</f>
        <v>-160694</v>
      </c>
      <c r="D16" s="9">
        <f>'3| Fluxo de Caixa'!D27</f>
        <v>-99762</v>
      </c>
      <c r="E16" s="9">
        <f>'3| Fluxo de Caixa'!E27</f>
        <v>-85891</v>
      </c>
      <c r="F16" s="9">
        <f>'3| Fluxo de Caixa'!F27</f>
        <v>-79031</v>
      </c>
      <c r="G16" s="9">
        <f>'3| Fluxo de Caixa'!G27</f>
        <v>-92875</v>
      </c>
      <c r="H16" s="9">
        <f>'3| Fluxo de Caixa'!H27</f>
        <v>-79726</v>
      </c>
      <c r="I16" s="9">
        <f>'3| Fluxo de Caixa'!I27</f>
        <v>-37895</v>
      </c>
      <c r="J16" s="9">
        <f>'3| Fluxo de Caixa'!J27</f>
        <v>28794</v>
      </c>
      <c r="K16" s="9">
        <f>'3| Fluxo de Caixa'!K27</f>
        <v>7930</v>
      </c>
      <c r="L16" s="9">
        <f>'3| Fluxo de Caixa'!L27</f>
        <v>-6935</v>
      </c>
      <c r="M16" s="9">
        <f>'3| Fluxo de Caixa'!M27</f>
        <v>-25059</v>
      </c>
    </row>
    <row r="17" spans="2:13" ht="14" customHeight="1" x14ac:dyDescent="0.3">
      <c r="B17" s="19" t="s">
        <v>9</v>
      </c>
      <c r="C17" s="9">
        <f>'3| Fluxo de Caixa'!C29</f>
        <v>26018</v>
      </c>
      <c r="D17" s="9">
        <f>'3| Fluxo de Caixa'!D29</f>
        <v>15359</v>
      </c>
      <c r="E17" s="9">
        <f>'3| Fluxo de Caixa'!E29</f>
        <v>7873</v>
      </c>
      <c r="F17" s="9">
        <f>'3| Fluxo de Caixa'!F29</f>
        <v>-83782</v>
      </c>
      <c r="G17" s="9">
        <f>'3| Fluxo de Caixa'!G29</f>
        <v>-35423</v>
      </c>
      <c r="H17" s="9">
        <f>'3| Fluxo de Caixa'!H29</f>
        <v>-50892</v>
      </c>
      <c r="I17" s="9">
        <f>'3| Fluxo de Caixa'!I29</f>
        <v>5109</v>
      </c>
      <c r="J17" s="9">
        <f>'3| Fluxo de Caixa'!J29</f>
        <v>17048</v>
      </c>
      <c r="K17" s="9">
        <f>'3| Fluxo de Caixa'!K29</f>
        <v>12183</v>
      </c>
      <c r="L17" s="9">
        <f>'3| Fluxo de Caixa'!L29</f>
        <v>6712</v>
      </c>
      <c r="M17" s="9">
        <f>'3| Fluxo de Caixa'!M29</f>
        <v>3055</v>
      </c>
    </row>
    <row r="18" spans="2:13" ht="14" customHeight="1" x14ac:dyDescent="0.3">
      <c r="B18" s="19" t="s">
        <v>178</v>
      </c>
      <c r="C18" s="9">
        <f>SUM('3| Fluxo de Caixa'!C32:C33)</f>
        <v>78999</v>
      </c>
      <c r="D18" s="9">
        <f>SUM('3| Fluxo de Caixa'!D32:D33)</f>
        <v>51104</v>
      </c>
      <c r="E18" s="9">
        <f>SUM('3| Fluxo de Caixa'!E32:E33)</f>
        <v>28918</v>
      </c>
      <c r="F18" s="9">
        <f>SUM('3| Fluxo de Caixa'!F32:F33)</f>
        <v>9178</v>
      </c>
      <c r="G18" s="9">
        <f>SUM('3| Fluxo de Caixa'!G32:G33)</f>
        <v>30703</v>
      </c>
      <c r="H18" s="9">
        <f>SUM('3| Fluxo de Caixa'!H32:H33)</f>
        <v>29146</v>
      </c>
      <c r="I18" s="9">
        <f>SUM('3| Fluxo de Caixa'!I32:I33)</f>
        <v>13373</v>
      </c>
      <c r="J18" s="9">
        <f>SUM('3| Fluxo de Caixa'!J32:J33)</f>
        <v>-597</v>
      </c>
      <c r="K18" s="9">
        <f>SUM('3| Fluxo de Caixa'!K32:K33)</f>
        <v>3873</v>
      </c>
      <c r="L18" s="9">
        <f>SUM('3| Fluxo de Caixa'!L32:L33)</f>
        <v>-19223</v>
      </c>
      <c r="M18" s="9">
        <f>SUM('3| Fluxo de Caixa'!M32:M33)</f>
        <v>-1690</v>
      </c>
    </row>
    <row r="19" spans="2:13" ht="14" customHeight="1" x14ac:dyDescent="0.3">
      <c r="B19" s="19" t="s">
        <v>141</v>
      </c>
      <c r="C19" s="9">
        <f>SUM('3| Fluxo de Caixa'!C28,'3| Fluxo de Caixa'!C30,'3| Fluxo de Caixa'!C31,'3| Fluxo de Caixa'!C34,'3| Fluxo de Caixa'!C35)</f>
        <v>6573</v>
      </c>
      <c r="D19" s="9">
        <f>SUM('3| Fluxo de Caixa'!D28,'3| Fluxo de Caixa'!D30,'3| Fluxo de Caixa'!D31,'3| Fluxo de Caixa'!D34,'3| Fluxo de Caixa'!D35)</f>
        <v>24588</v>
      </c>
      <c r="E19" s="9">
        <f>SUM('3| Fluxo de Caixa'!E28,'3| Fluxo de Caixa'!E30,'3| Fluxo de Caixa'!E31,'3| Fluxo de Caixa'!E34,'3| Fluxo de Caixa'!E35)</f>
        <v>-1193</v>
      </c>
      <c r="F19" s="9">
        <f>SUM('3| Fluxo de Caixa'!F28,'3| Fluxo de Caixa'!F30,'3| Fluxo de Caixa'!F31,'3| Fluxo de Caixa'!F34,'3| Fluxo de Caixa'!F35)</f>
        <v>-7120</v>
      </c>
      <c r="G19" s="9">
        <f>SUM('3| Fluxo de Caixa'!G28,'3| Fluxo de Caixa'!G30,'3| Fluxo de Caixa'!G31,'3| Fluxo de Caixa'!G34,'3| Fluxo de Caixa'!G35)</f>
        <v>-13698</v>
      </c>
      <c r="H19" s="9">
        <f>SUM('3| Fluxo de Caixa'!H28,'3| Fluxo de Caixa'!H30,'3| Fluxo de Caixa'!H31,'3| Fluxo de Caixa'!H34,'3| Fluxo de Caixa'!H35)</f>
        <v>40432</v>
      </c>
      <c r="I19" s="9">
        <f>SUM('3| Fluxo de Caixa'!I28,'3| Fluxo de Caixa'!I30,'3| Fluxo de Caixa'!I31,'3| Fluxo de Caixa'!I34,'3| Fluxo de Caixa'!I35)</f>
        <v>23352</v>
      </c>
      <c r="J19" s="9">
        <f>SUM('3| Fluxo de Caixa'!J28,'3| Fluxo de Caixa'!J30,'3| Fluxo de Caixa'!J31,'3| Fluxo de Caixa'!J34,'3| Fluxo de Caixa'!J35)</f>
        <v>2104</v>
      </c>
      <c r="K19" s="9">
        <f>SUM('3| Fluxo de Caixa'!K28,'3| Fluxo de Caixa'!K30,'3| Fluxo de Caixa'!K31,'3| Fluxo de Caixa'!K34,'3| Fluxo de Caixa'!K35)</f>
        <v>6432</v>
      </c>
      <c r="L19" s="9">
        <f>SUM('3| Fluxo de Caixa'!L28,'3| Fluxo de Caixa'!L30,'3| Fluxo de Caixa'!L31,'3| Fluxo de Caixa'!L34,'3| Fluxo de Caixa'!L35)</f>
        <v>4083</v>
      </c>
      <c r="M19" s="9">
        <f>SUM('3| Fluxo de Caixa'!M28,'3| Fluxo de Caixa'!M30,'3| Fluxo de Caixa'!M31,'3| Fluxo de Caixa'!M34,'3| Fluxo de Caixa'!M35)</f>
        <v>-2986</v>
      </c>
    </row>
    <row r="20" spans="2:13" ht="14" customHeight="1" x14ac:dyDescent="0.3"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2:13" ht="14" customHeight="1" x14ac:dyDescent="0.3">
      <c r="B21" s="20" t="s">
        <v>250</v>
      </c>
      <c r="C21" s="13">
        <f>SUM('3| Fluxo de Caixa'!C42:C43)</f>
        <v>-81720</v>
      </c>
      <c r="D21" s="13">
        <f>SUM('3| Fluxo de Caixa'!D42:D43)</f>
        <v>-77423</v>
      </c>
      <c r="E21" s="13">
        <f>SUM('3| Fluxo de Caixa'!E42:E43)</f>
        <v>-16106</v>
      </c>
      <c r="F21" s="13">
        <f>SUM('3| Fluxo de Caixa'!F42:F43)</f>
        <v>-58845</v>
      </c>
      <c r="G21" s="13">
        <f>SUM('3| Fluxo de Caixa'!G42:G43)</f>
        <v>-34871</v>
      </c>
      <c r="H21" s="13">
        <f>SUM('3| Fluxo de Caixa'!H42:H43)</f>
        <v>-19282</v>
      </c>
      <c r="I21" s="13">
        <f>SUM('3| Fluxo de Caixa'!I42:I43)</f>
        <v>-14842</v>
      </c>
      <c r="J21" s="13">
        <f>SUM('3| Fluxo de Caixa'!J42:J43)</f>
        <v>-19733</v>
      </c>
      <c r="K21" s="13">
        <f>SUM('3| Fluxo de Caixa'!K42:K43)</f>
        <v>-6380</v>
      </c>
      <c r="L21" s="13">
        <f>SUM('3| Fluxo de Caixa'!L42:L43)</f>
        <v>-2730</v>
      </c>
      <c r="M21" s="13">
        <f>SUM('3| Fluxo de Caixa'!M42:M43)</f>
        <v>-4472</v>
      </c>
    </row>
    <row r="22" spans="2:13" ht="14" customHeight="1" x14ac:dyDescent="0.3"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2:13" ht="14" customHeight="1" x14ac:dyDescent="0.3">
      <c r="B23" s="17" t="s">
        <v>251</v>
      </c>
      <c r="C23" s="13">
        <f>SUM(C8,C10,C14,C21)</f>
        <v>82359</v>
      </c>
      <c r="D23" s="13">
        <f>SUM(D8,D10,D14,D21)</f>
        <v>36893</v>
      </c>
      <c r="E23" s="13">
        <f t="shared" ref="E23:M23" si="2">SUM(E8,E10,E14,E21)</f>
        <v>25473</v>
      </c>
      <c r="F23" s="13">
        <f t="shared" si="2"/>
        <v>115714</v>
      </c>
      <c r="G23" s="13">
        <f t="shared" si="2"/>
        <v>111730</v>
      </c>
      <c r="H23" s="13">
        <f t="shared" si="2"/>
        <v>105456</v>
      </c>
      <c r="I23" s="13">
        <f t="shared" si="2"/>
        <v>59042</v>
      </c>
      <c r="J23" s="13">
        <f t="shared" si="2"/>
        <v>132240</v>
      </c>
      <c r="K23" s="13">
        <f t="shared" si="2"/>
        <v>104073</v>
      </c>
      <c r="L23" s="13">
        <f t="shared" si="2"/>
        <v>114382</v>
      </c>
      <c r="M23" s="13">
        <f t="shared" si="2"/>
        <v>10359</v>
      </c>
    </row>
    <row r="24" spans="2:13" ht="14" customHeight="1" x14ac:dyDescent="0.3">
      <c r="D24" s="81"/>
      <c r="E24" s="81"/>
      <c r="F24" s="81"/>
      <c r="G24" s="81"/>
      <c r="H24" s="81"/>
      <c r="I24" s="81"/>
      <c r="J24" s="81"/>
      <c r="K24" s="81"/>
      <c r="L24" s="81"/>
      <c r="M24" s="81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F6:J6" numberStoredAsText="1"/>
    <ignoredError sqref="D18:M18 D21:M21 C18:C21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496C8"/>
  </sheetPr>
  <dimension ref="B1:O16"/>
  <sheetViews>
    <sheetView showGridLines="0" showRowColHeaders="0" workbookViewId="0"/>
  </sheetViews>
  <sheetFormatPr defaultColWidth="8.1796875" defaultRowHeight="14" customHeight="1" x14ac:dyDescent="0.3"/>
  <cols>
    <col min="1" max="1" width="0.90625" style="2" customWidth="1"/>
    <col min="2" max="2" width="25.6328125" style="2" customWidth="1"/>
    <col min="3" max="16384" width="8.1796875" style="2"/>
  </cols>
  <sheetData>
    <row r="1" spans="2:15" ht="5" customHeight="1" x14ac:dyDescent="0.3"/>
    <row r="6" spans="2:15" s="103" customFormat="1" ht="14" customHeight="1" thickBot="1" x14ac:dyDescent="0.35">
      <c r="B6" s="135" t="s">
        <v>244</v>
      </c>
      <c r="C6" s="136" t="s">
        <v>285</v>
      </c>
      <c r="D6" s="136" t="s">
        <v>194</v>
      </c>
      <c r="E6" s="136" t="s">
        <v>171</v>
      </c>
      <c r="F6" s="137" t="s">
        <v>86</v>
      </c>
      <c r="G6" s="138" t="s">
        <v>117</v>
      </c>
      <c r="H6" s="138" t="s">
        <v>118</v>
      </c>
      <c r="I6" s="136" t="s">
        <v>119</v>
      </c>
      <c r="J6" s="137" t="s">
        <v>87</v>
      </c>
      <c r="K6" s="138" t="s">
        <v>121</v>
      </c>
      <c r="L6" s="138" t="s">
        <v>122</v>
      </c>
      <c r="M6" s="136" t="s">
        <v>123</v>
      </c>
      <c r="N6" s="137" t="s">
        <v>98</v>
      </c>
      <c r="O6" s="137" t="s">
        <v>99</v>
      </c>
    </row>
    <row r="7" spans="2:15" ht="14" customHeight="1" thickTop="1" x14ac:dyDescent="0.3">
      <c r="B7" s="12"/>
      <c r="C7" s="12"/>
      <c r="D7" s="22"/>
      <c r="E7" s="22"/>
      <c r="F7" s="23"/>
      <c r="G7" s="24"/>
      <c r="H7" s="24"/>
      <c r="I7" s="22"/>
      <c r="J7" s="23"/>
      <c r="K7" s="24"/>
      <c r="L7" s="24"/>
      <c r="M7" s="22"/>
      <c r="N7" s="23"/>
      <c r="O7" s="23"/>
    </row>
    <row r="8" spans="2:15" ht="14" customHeight="1" x14ac:dyDescent="0.3">
      <c r="B8" s="16" t="s">
        <v>262</v>
      </c>
      <c r="C8" s="82">
        <f>'5| EBITDA'!C36/1000</f>
        <v>257.31765200000001</v>
      </c>
      <c r="D8" s="82">
        <f>'5| EBITDA'!D36/1000</f>
        <v>250.36278223999997</v>
      </c>
      <c r="E8" s="82">
        <f>'5| EBITDA'!E36/1000</f>
        <v>246.62100000000001</v>
      </c>
      <c r="F8" s="82">
        <f>'5| EBITDA'!F36/1000</f>
        <v>208.631</v>
      </c>
      <c r="G8" s="82">
        <f>'5| EBITDA'!G36/1000</f>
        <v>160.68299999999999</v>
      </c>
      <c r="H8" s="82">
        <f>'5| EBITDA'!H36/1000</f>
        <v>134.38499999999999</v>
      </c>
      <c r="I8" s="82">
        <f>'5| EBITDA'!I36/1000</f>
        <v>64.596999999999994</v>
      </c>
      <c r="J8" s="82">
        <f>'5| EBITDA'!J36/1000</f>
        <v>26.076000000000001</v>
      </c>
      <c r="K8" s="82">
        <f>'5| EBITDA'!K36/1000</f>
        <v>-25.06771285000001</v>
      </c>
      <c r="L8" s="82">
        <f>'5| EBITDA'!L36/1000</f>
        <v>-22.518327959999997</v>
      </c>
      <c r="M8" s="82">
        <f>'5| EBITDA'!M36/1000</f>
        <v>21.878151899999999</v>
      </c>
      <c r="N8" s="82">
        <f>'5| EBITDA'!N36/1000</f>
        <v>66.891000000000005</v>
      </c>
      <c r="O8" s="82">
        <f>'5| EBITDA'!R36/1000</f>
        <v>76.3</v>
      </c>
    </row>
    <row r="9" spans="2:15" ht="14" customHeight="1" x14ac:dyDescent="0.3">
      <c r="B9" s="16" t="s">
        <v>263</v>
      </c>
      <c r="C9" s="82">
        <f>'1| Balanço Patrimonial'!C68/1000</f>
        <v>959.42349999999999</v>
      </c>
      <c r="D9" s="82">
        <f>'1| Balanço Patrimonial'!D68/1000</f>
        <v>947.68700000000001</v>
      </c>
      <c r="E9" s="82">
        <f>'1| Balanço Patrimonial'!E68/1000</f>
        <v>921.66600000000005</v>
      </c>
      <c r="F9" s="82">
        <f>'1| Balanço Patrimonial'!F68/1000</f>
        <v>782.70600000000002</v>
      </c>
      <c r="G9" s="82">
        <f>'1| Balanço Patrimonial'!G68/1000</f>
        <v>730.87950000000001</v>
      </c>
      <c r="H9" s="82">
        <f>'1| Balanço Patrimonial'!H68/1000</f>
        <v>698.74850000000004</v>
      </c>
      <c r="I9" s="82">
        <f>'1| Balanço Patrimonial'!I68/1000</f>
        <v>654.84500000000003</v>
      </c>
      <c r="J9" s="82">
        <f>'1| Balanço Patrimonial'!J68/1000</f>
        <v>710.07550000000003</v>
      </c>
      <c r="K9" s="82">
        <f>'1| Balanço Patrimonial'!K68/1000</f>
        <v>736.0901029150001</v>
      </c>
      <c r="L9" s="82">
        <f>'1| Balanço Patrimonial'!L68/1000</f>
        <v>728.52161108500002</v>
      </c>
      <c r="M9" s="82">
        <f>'1| Balanço Patrimonial'!M68/1000</f>
        <v>747.31461152999987</v>
      </c>
      <c r="N9" s="82">
        <f>'1| Balanço Patrimonial'!N68/1000</f>
        <v>730.08</v>
      </c>
      <c r="O9" s="82">
        <f>'1| Balanço Patrimonial'!O68/1000</f>
        <v>704.78449999999998</v>
      </c>
    </row>
    <row r="10" spans="2:15" ht="14" customHeight="1" x14ac:dyDescent="0.3">
      <c r="B10" s="17" t="s">
        <v>261</v>
      </c>
      <c r="C10" s="73">
        <f t="shared" ref="C10:O10" si="0">C8/C9</f>
        <v>0.26820028068939317</v>
      </c>
      <c r="D10" s="73">
        <f t="shared" si="0"/>
        <v>0.26418298683003982</v>
      </c>
      <c r="E10" s="73">
        <f t="shared" si="0"/>
        <v>0.26758174870289236</v>
      </c>
      <c r="F10" s="73">
        <f t="shared" si="0"/>
        <v>0.26655091439186618</v>
      </c>
      <c r="G10" s="73">
        <f t="shared" si="0"/>
        <v>0.21984882596926031</v>
      </c>
      <c r="H10" s="73">
        <f t="shared" si="0"/>
        <v>0.19232241643452541</v>
      </c>
      <c r="I10" s="73">
        <f t="shared" si="0"/>
        <v>9.8644717452221503E-2</v>
      </c>
      <c r="J10" s="73">
        <f t="shared" si="0"/>
        <v>3.6722855527334772E-2</v>
      </c>
      <c r="K10" s="73">
        <f t="shared" si="0"/>
        <v>-3.4055223335742499E-2</v>
      </c>
      <c r="L10" s="73">
        <f t="shared" si="0"/>
        <v>-3.090962247017361E-2</v>
      </c>
      <c r="M10" s="73">
        <f t="shared" si="0"/>
        <v>2.9275691338629381E-2</v>
      </c>
      <c r="N10" s="73">
        <f t="shared" si="0"/>
        <v>9.1621466140696911E-2</v>
      </c>
      <c r="O10" s="73">
        <f t="shared" si="0"/>
        <v>0.10826004260876906</v>
      </c>
    </row>
    <row r="11" spans="2:15" ht="14" customHeight="1" x14ac:dyDescent="0.3">
      <c r="D11" s="74"/>
      <c r="E11" s="74"/>
      <c r="F11" s="74"/>
    </row>
    <row r="12" spans="2:15" ht="14" customHeight="1" x14ac:dyDescent="0.3">
      <c r="F12" s="4"/>
      <c r="J12" s="4"/>
      <c r="N12" s="4"/>
    </row>
    <row r="13" spans="2:15" ht="14" customHeight="1" x14ac:dyDescent="0.3">
      <c r="F13" s="4"/>
      <c r="I13" s="4"/>
      <c r="J13" s="4"/>
      <c r="N13" s="4"/>
    </row>
    <row r="14" spans="2:15" ht="14" customHeight="1" x14ac:dyDescent="0.3">
      <c r="D14" s="4"/>
      <c r="E14" s="4"/>
      <c r="F14" s="74"/>
      <c r="I14" s="4"/>
      <c r="J14" s="74"/>
      <c r="N14" s="74"/>
    </row>
    <row r="15" spans="2:15" ht="14" customHeight="1" x14ac:dyDescent="0.3">
      <c r="I15" s="4"/>
    </row>
    <row r="16" spans="2:15" ht="14" customHeight="1" x14ac:dyDescent="0.3">
      <c r="F16" s="4"/>
      <c r="I16" s="4"/>
    </row>
  </sheetData>
  <pageMargins left="0.511811024" right="0.511811024" top="0.78740157499999996" bottom="0.78740157499999996" header="0.31496062000000002" footer="0.31496062000000002"/>
  <ignoredErrors>
    <ignoredError sqref="F6:O6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496C8"/>
  </sheetPr>
  <dimension ref="B1:R66"/>
  <sheetViews>
    <sheetView showGridLines="0" showRowColHeaders="0" workbookViewId="0"/>
  </sheetViews>
  <sheetFormatPr defaultColWidth="7.6328125" defaultRowHeight="14" customHeight="1" x14ac:dyDescent="0.3"/>
  <cols>
    <col min="1" max="1" width="0.90625" style="2" customWidth="1"/>
    <col min="2" max="2" width="36.26953125" style="2" customWidth="1"/>
    <col min="3" max="3" width="7.6328125" style="2" customWidth="1"/>
    <col min="4" max="16384" width="7.6328125" style="2"/>
  </cols>
  <sheetData>
    <row r="1" spans="2:18" ht="5" customHeight="1" x14ac:dyDescent="0.3"/>
    <row r="6" spans="2:18" ht="21" x14ac:dyDescent="0.3">
      <c r="B6" s="112" t="s">
        <v>245</v>
      </c>
      <c r="C6" s="105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2:18" ht="14" customHeight="1" x14ac:dyDescent="0.3"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2:18" s="3" customFormat="1" ht="26.5" customHeight="1" thickBot="1" x14ac:dyDescent="0.35">
      <c r="B8" s="139" t="s">
        <v>246</v>
      </c>
      <c r="C8" s="131" t="s">
        <v>285</v>
      </c>
      <c r="D8" s="131" t="s">
        <v>194</v>
      </c>
      <c r="E8" s="131" t="s">
        <v>171</v>
      </c>
      <c r="F8" s="131">
        <v>2021</v>
      </c>
      <c r="G8" s="131" t="s">
        <v>116</v>
      </c>
      <c r="H8" s="131" t="s">
        <v>117</v>
      </c>
      <c r="I8" s="131" t="s">
        <v>118</v>
      </c>
      <c r="J8" s="131" t="s">
        <v>119</v>
      </c>
      <c r="K8" s="131">
        <v>2020</v>
      </c>
      <c r="L8" s="131" t="s">
        <v>120</v>
      </c>
      <c r="M8" s="131" t="s">
        <v>121</v>
      </c>
      <c r="N8" s="131" t="s">
        <v>122</v>
      </c>
      <c r="O8" s="131" t="s">
        <v>123</v>
      </c>
      <c r="P8" s="131">
        <v>2019</v>
      </c>
      <c r="Q8" s="12"/>
    </row>
    <row r="9" spans="2:18" s="3" customFormat="1" ht="14" customHeight="1" thickTop="1" x14ac:dyDescent="0.3">
      <c r="B9" s="88"/>
      <c r="C9" s="88"/>
      <c r="D9" s="24"/>
      <c r="E9" s="24"/>
      <c r="F9" s="12"/>
      <c r="G9" s="24"/>
      <c r="H9" s="24"/>
      <c r="I9" s="24"/>
      <c r="J9" s="24"/>
      <c r="K9" s="12"/>
      <c r="L9" s="24"/>
      <c r="M9" s="24"/>
      <c r="N9" s="24"/>
      <c r="O9" s="24"/>
      <c r="P9" s="12"/>
      <c r="Q9" s="12"/>
    </row>
    <row r="10" spans="2:18" ht="14" customHeight="1" x14ac:dyDescent="0.3">
      <c r="B10" s="40" t="s">
        <v>124</v>
      </c>
      <c r="C10" s="92">
        <v>2.5055878333333701</v>
      </c>
      <c r="D10" s="92">
        <v>2.5193978166666446</v>
      </c>
      <c r="E10" s="92">
        <v>2.4243098333334387</v>
      </c>
      <c r="F10" s="92">
        <f>SUM(G10:J10)</f>
        <v>12.725891750000029</v>
      </c>
      <c r="G10" s="92">
        <v>3.3462699166666776</v>
      </c>
      <c r="H10" s="92">
        <v>3.4504235833333117</v>
      </c>
      <c r="I10" s="92">
        <v>3.3888320000000149</v>
      </c>
      <c r="J10" s="92">
        <v>2.5403662500000252</v>
      </c>
      <c r="K10" s="92">
        <v>7.495242583332943</v>
      </c>
      <c r="L10" s="92">
        <v>2.8697891666666613</v>
      </c>
      <c r="M10" s="94" t="s">
        <v>172</v>
      </c>
      <c r="N10" s="94" t="s">
        <v>172</v>
      </c>
      <c r="O10" s="94" t="s">
        <v>172</v>
      </c>
      <c r="P10" s="92">
        <v>8.3250030833334847</v>
      </c>
      <c r="R10" s="83"/>
    </row>
    <row r="11" spans="2:18" ht="14" customHeight="1" x14ac:dyDescent="0.3">
      <c r="B11" s="40" t="s">
        <v>125</v>
      </c>
      <c r="C11" s="92">
        <v>0.8275674166667587</v>
      </c>
      <c r="D11" s="92">
        <v>0.79613158333348133</v>
      </c>
      <c r="E11" s="92">
        <v>0.82425757866671034</v>
      </c>
      <c r="F11" s="92">
        <f>SUM(G11:J11)</f>
        <v>3.4682059166666712</v>
      </c>
      <c r="G11" s="92">
        <v>0.84619016666667179</v>
      </c>
      <c r="H11" s="92">
        <v>1.0936701666666584</v>
      </c>
      <c r="I11" s="92">
        <v>0.79820191666667395</v>
      </c>
      <c r="J11" s="92">
        <v>0.7301436666666673</v>
      </c>
      <c r="K11" s="92">
        <v>2.5736917500000116</v>
      </c>
      <c r="L11" s="92">
        <v>0.75881633333333198</v>
      </c>
      <c r="M11" s="94" t="s">
        <v>172</v>
      </c>
      <c r="N11" s="94" t="s">
        <v>172</v>
      </c>
      <c r="O11" s="94" t="s">
        <v>172</v>
      </c>
      <c r="P11" s="92">
        <v>3.2223710000001904</v>
      </c>
    </row>
    <row r="12" spans="2:18" ht="14" customHeight="1" x14ac:dyDescent="0.3">
      <c r="B12" s="40" t="s">
        <v>126</v>
      </c>
      <c r="C12" s="92">
        <v>0.12782591666669987</v>
      </c>
      <c r="D12" s="92">
        <v>9.8117500000008726E-2</v>
      </c>
      <c r="E12" s="92">
        <v>8.6330083333306593E-2</v>
      </c>
      <c r="F12" s="92">
        <f>SUM(G12:J12)</f>
        <v>0.27490949999999587</v>
      </c>
      <c r="G12" s="92">
        <v>8.4894416666664835E-2</v>
      </c>
      <c r="H12" s="92">
        <v>8.7819333333330626E-2</v>
      </c>
      <c r="I12" s="92">
        <v>6.0710333333332922E-2</v>
      </c>
      <c r="J12" s="92">
        <v>4.148541666666751E-2</v>
      </c>
      <c r="K12" s="92">
        <v>0.13619083333331308</v>
      </c>
      <c r="L12" s="92">
        <v>4.5695333333334413E-2</v>
      </c>
      <c r="M12" s="94" t="s">
        <v>172</v>
      </c>
      <c r="N12" s="94" t="s">
        <v>172</v>
      </c>
      <c r="O12" s="94" t="s">
        <v>172</v>
      </c>
      <c r="P12" s="92">
        <v>0.18938774999998428</v>
      </c>
    </row>
    <row r="13" spans="2:18" ht="14" customHeight="1" x14ac:dyDescent="0.3">
      <c r="B13" s="40" t="s">
        <v>127</v>
      </c>
      <c r="C13" s="92">
        <v>2.4899916666666636E-2</v>
      </c>
      <c r="D13" s="92">
        <v>3.1431083333333311E-2</v>
      </c>
      <c r="E13" s="92">
        <v>2.3573333333333574E-2</v>
      </c>
      <c r="F13" s="92">
        <f>SUM(G13:J13)</f>
        <v>0.10463816666666663</v>
      </c>
      <c r="G13" s="92">
        <v>4.3055833333333335E-2</v>
      </c>
      <c r="H13" s="92">
        <v>2.6770416666666644E-2</v>
      </c>
      <c r="I13" s="92">
        <v>2.2516666666666664E-2</v>
      </c>
      <c r="J13" s="92">
        <v>1.2295249999999988E-2</v>
      </c>
      <c r="K13" s="92">
        <v>6.289608333333338E-2</v>
      </c>
      <c r="L13" s="92">
        <v>2.7617249999999986E-2</v>
      </c>
      <c r="M13" s="94" t="s">
        <v>172</v>
      </c>
      <c r="N13" s="94" t="s">
        <v>172</v>
      </c>
      <c r="O13" s="94" t="s">
        <v>172</v>
      </c>
      <c r="P13" s="92">
        <f>0.128180000000001+0.015</f>
        <v>0.14318000000000097</v>
      </c>
    </row>
    <row r="14" spans="2:18" ht="14" customHeight="1" x14ac:dyDescent="0.3">
      <c r="B14" s="40" t="s">
        <v>286</v>
      </c>
      <c r="C14" s="92">
        <v>4.1351416666666696E-2</v>
      </c>
      <c r="D14" s="92">
        <v>8.5832416666666661E-2</v>
      </c>
      <c r="E14" s="92">
        <v>2.6646583333333328E-2</v>
      </c>
      <c r="F14" s="92">
        <f>SUM(G14:J14)</f>
        <v>0.22026225000000002</v>
      </c>
      <c r="G14" s="92">
        <v>7.0164000000000004E-2</v>
      </c>
      <c r="H14" s="92">
        <v>6.405566666666665E-2</v>
      </c>
      <c r="I14" s="92">
        <v>4.9928500000000015E-2</v>
      </c>
      <c r="J14" s="92">
        <v>3.6114083333333352E-2</v>
      </c>
      <c r="K14" s="92">
        <v>0.12933874999999989</v>
      </c>
      <c r="L14" s="92">
        <v>7.2462000000000013E-2</v>
      </c>
      <c r="M14" s="94" t="s">
        <v>172</v>
      </c>
      <c r="N14" s="94" t="s">
        <v>172</v>
      </c>
      <c r="O14" s="94" t="s">
        <v>172</v>
      </c>
      <c r="P14" s="92">
        <v>0.27375400000000011</v>
      </c>
    </row>
    <row r="15" spans="2:18" ht="14" customHeight="1" x14ac:dyDescent="0.3">
      <c r="B15" s="90" t="s">
        <v>252</v>
      </c>
      <c r="C15" s="93">
        <f t="shared" ref="C15:D15" si="0">SUM(C10:C14)</f>
        <v>3.5272325000001619</v>
      </c>
      <c r="D15" s="93">
        <f t="shared" si="0"/>
        <v>3.5309104000001348</v>
      </c>
      <c r="E15" s="93">
        <f>SUM(E10:E14)</f>
        <v>3.3851174120001226</v>
      </c>
      <c r="F15" s="93">
        <f>SUM(F10:F14)</f>
        <v>16.793907583333365</v>
      </c>
      <c r="G15" s="93">
        <f>SUM(G10:G14)</f>
        <v>4.3905743333333485</v>
      </c>
      <c r="H15" s="93">
        <f t="shared" ref="H15:O15" si="1">SUM(H10:H14)</f>
        <v>4.7227391666666332</v>
      </c>
      <c r="I15" s="93">
        <f t="shared" si="1"/>
        <v>4.3201894166666879</v>
      </c>
      <c r="J15" s="93">
        <f t="shared" si="1"/>
        <v>3.3604046666666938</v>
      </c>
      <c r="K15" s="93">
        <f t="shared" si="1"/>
        <v>10.397359999999601</v>
      </c>
      <c r="L15" s="93">
        <f t="shared" si="1"/>
        <v>3.7743800833333276</v>
      </c>
      <c r="M15" s="93">
        <f t="shared" si="1"/>
        <v>0</v>
      </c>
      <c r="N15" s="93">
        <f t="shared" si="1"/>
        <v>0</v>
      </c>
      <c r="O15" s="93">
        <f t="shared" si="1"/>
        <v>0</v>
      </c>
      <c r="P15" s="93">
        <f>SUM(P10:P14)</f>
        <v>12.153695833333661</v>
      </c>
    </row>
    <row r="16" spans="2:18" ht="14" customHeight="1" x14ac:dyDescent="0.3">
      <c r="B16" s="89" t="s">
        <v>287</v>
      </c>
      <c r="C16" s="113"/>
      <c r="D16" s="114"/>
      <c r="E16" s="114"/>
      <c r="F16" s="84"/>
      <c r="G16" s="84"/>
      <c r="K16" s="84"/>
      <c r="L16" s="84"/>
      <c r="P16" s="84"/>
    </row>
    <row r="18" spans="2:18" s="103" customFormat="1" ht="26.5" thickBot="1" x14ac:dyDescent="0.35">
      <c r="B18" s="139" t="s">
        <v>253</v>
      </c>
      <c r="C18" s="133" t="str">
        <f>C8</f>
        <v>3T22</v>
      </c>
      <c r="D18" s="133" t="str">
        <f t="shared" ref="D18:P18" si="2">D8</f>
        <v>2T22</v>
      </c>
      <c r="E18" s="133" t="str">
        <f t="shared" si="2"/>
        <v>1T22</v>
      </c>
      <c r="F18" s="133">
        <f t="shared" si="2"/>
        <v>2021</v>
      </c>
      <c r="G18" s="133" t="str">
        <f t="shared" si="2"/>
        <v>4T21</v>
      </c>
      <c r="H18" s="133" t="str">
        <f t="shared" si="2"/>
        <v>3T21</v>
      </c>
      <c r="I18" s="133" t="str">
        <f t="shared" si="2"/>
        <v>2T21</v>
      </c>
      <c r="J18" s="133" t="str">
        <f t="shared" si="2"/>
        <v>1T21</v>
      </c>
      <c r="K18" s="133">
        <f t="shared" si="2"/>
        <v>2020</v>
      </c>
      <c r="L18" s="133" t="str">
        <f t="shared" si="2"/>
        <v>4T20</v>
      </c>
      <c r="M18" s="133" t="str">
        <f t="shared" si="2"/>
        <v>3T20</v>
      </c>
      <c r="N18" s="133" t="str">
        <f t="shared" si="2"/>
        <v>2T20</v>
      </c>
      <c r="O18" s="133" t="str">
        <f t="shared" si="2"/>
        <v>1T20</v>
      </c>
      <c r="P18" s="133">
        <f t="shared" si="2"/>
        <v>2019</v>
      </c>
    </row>
    <row r="19" spans="2:18" ht="13.5" thickTop="1" x14ac:dyDescent="0.3">
      <c r="B19" s="91"/>
      <c r="C19" s="91"/>
      <c r="D19" s="72"/>
      <c r="E19" s="72"/>
      <c r="F19" s="69"/>
      <c r="G19" s="72"/>
      <c r="H19" s="72"/>
      <c r="I19" s="72"/>
      <c r="J19" s="72"/>
      <c r="K19" s="69"/>
      <c r="L19" s="72"/>
      <c r="M19" s="72"/>
      <c r="N19" s="72"/>
      <c r="O19" s="72"/>
      <c r="P19" s="69"/>
    </row>
    <row r="20" spans="2:18" ht="14" customHeight="1" x14ac:dyDescent="0.3">
      <c r="B20" s="40" t="s">
        <v>124</v>
      </c>
      <c r="C20" s="95">
        <f t="shared" ref="C20" si="3">C28/C10</f>
        <v>101.07847612872067</v>
      </c>
      <c r="D20" s="95">
        <f t="shared" ref="D20:L20" si="4">D28/D10</f>
        <v>99.389623323283232</v>
      </c>
      <c r="E20" s="95">
        <f t="shared" si="4"/>
        <v>94.734178297750589</v>
      </c>
      <c r="F20" s="95">
        <f t="shared" si="4"/>
        <v>73.440825865896429</v>
      </c>
      <c r="G20" s="95">
        <f t="shared" si="4"/>
        <v>87.141453519708975</v>
      </c>
      <c r="H20" s="95">
        <f t="shared" si="4"/>
        <v>74.041845375273425</v>
      </c>
      <c r="I20" s="95">
        <f t="shared" si="4"/>
        <v>66.322971905158411</v>
      </c>
      <c r="J20" s="95">
        <f t="shared" si="4"/>
        <v>64.076532679621934</v>
      </c>
      <c r="K20" s="95">
        <f t="shared" si="4"/>
        <v>66.949133990118611</v>
      </c>
      <c r="L20" s="95">
        <f t="shared" si="4"/>
        <v>69.029461223487218</v>
      </c>
      <c r="M20" s="82" t="s">
        <v>172</v>
      </c>
      <c r="N20" s="82" t="s">
        <v>172</v>
      </c>
      <c r="O20" s="82" t="s">
        <v>172</v>
      </c>
      <c r="P20" s="95">
        <f>P28/P10</f>
        <v>71.79576920476886</v>
      </c>
    </row>
    <row r="21" spans="2:18" ht="14" customHeight="1" x14ac:dyDescent="0.3">
      <c r="B21" s="40" t="s">
        <v>125</v>
      </c>
      <c r="C21" s="95">
        <f t="shared" ref="C21" si="5">C29/C11</f>
        <v>75.302626402332052</v>
      </c>
      <c r="D21" s="95">
        <f t="shared" ref="D21:L21" si="6">D29/D11</f>
        <v>68.104319857498325</v>
      </c>
      <c r="E21" s="95">
        <f t="shared" si="6"/>
        <v>62.98637870455385</v>
      </c>
      <c r="F21" s="95">
        <f t="shared" si="6"/>
        <v>60.232871121094206</v>
      </c>
      <c r="G21" s="95">
        <f t="shared" si="6"/>
        <v>73.690623628139846</v>
      </c>
      <c r="H21" s="95">
        <f t="shared" si="6"/>
        <v>56.556170447151771</v>
      </c>
      <c r="I21" s="95">
        <f t="shared" si="6"/>
        <v>59.746606639696296</v>
      </c>
      <c r="J21" s="95">
        <f t="shared" si="6"/>
        <v>50.630238122406205</v>
      </c>
      <c r="K21" s="95">
        <f t="shared" si="6"/>
        <v>56.922123638154936</v>
      </c>
      <c r="L21" s="95">
        <f t="shared" si="6"/>
        <v>78.938733088244149</v>
      </c>
      <c r="M21" s="82" t="s">
        <v>172</v>
      </c>
      <c r="N21" s="82" t="s">
        <v>172</v>
      </c>
      <c r="O21" s="82" t="s">
        <v>172</v>
      </c>
      <c r="P21" s="95">
        <f>P29/P11</f>
        <v>51.980358562061944</v>
      </c>
    </row>
    <row r="22" spans="2:18" ht="14" customHeight="1" x14ac:dyDescent="0.3">
      <c r="B22" s="40" t="s">
        <v>126</v>
      </c>
      <c r="C22" s="95">
        <f t="shared" ref="C22" si="7">C30/C12</f>
        <v>546.39936736862978</v>
      </c>
      <c r="D22" s="95">
        <f t="shared" ref="D22:L22" si="8">D30/D12</f>
        <v>576.12556373730445</v>
      </c>
      <c r="E22" s="95">
        <f t="shared" si="8"/>
        <v>373.76310498186706</v>
      </c>
      <c r="F22" s="95">
        <f t="shared" si="8"/>
        <v>476.52045491335139</v>
      </c>
      <c r="G22" s="95">
        <f t="shared" si="8"/>
        <v>515.74584801150604</v>
      </c>
      <c r="H22" s="95">
        <f t="shared" si="8"/>
        <v>462.10401673682151</v>
      </c>
      <c r="I22" s="95">
        <f t="shared" si="8"/>
        <v>467.26092755787442</v>
      </c>
      <c r="J22" s="95">
        <f t="shared" si="8"/>
        <v>441.28197628894026</v>
      </c>
      <c r="K22" s="95">
        <f t="shared" si="8"/>
        <v>436.88696620557317</v>
      </c>
      <c r="L22" s="95">
        <f t="shared" si="8"/>
        <v>474.88437914884423</v>
      </c>
      <c r="M22" s="82" t="s">
        <v>172</v>
      </c>
      <c r="N22" s="82" t="s">
        <v>172</v>
      </c>
      <c r="O22" s="82" t="s">
        <v>172</v>
      </c>
      <c r="P22" s="95">
        <f>P30/P12</f>
        <v>396.01294170296774</v>
      </c>
    </row>
    <row r="23" spans="2:18" ht="14" customHeight="1" x14ac:dyDescent="0.3">
      <c r="B23" s="40" t="s">
        <v>127</v>
      </c>
      <c r="C23" s="95">
        <f t="shared" ref="C23" si="9">C31/C13</f>
        <v>296.30339073245767</v>
      </c>
      <c r="D23" s="95">
        <f t="shared" ref="D23:L23" si="10">D31/D13</f>
        <v>332.72795242501473</v>
      </c>
      <c r="E23" s="95">
        <f t="shared" si="10"/>
        <v>304.90542200221904</v>
      </c>
      <c r="F23" s="95">
        <f t="shared" si="10"/>
        <v>318.23952063380324</v>
      </c>
      <c r="G23" s="95">
        <f t="shared" si="10"/>
        <v>326.68846660270748</v>
      </c>
      <c r="H23" s="95">
        <f t="shared" si="10"/>
        <v>353.22360205389691</v>
      </c>
      <c r="I23" s="95">
        <f t="shared" si="10"/>
        <v>298.30322485250014</v>
      </c>
      <c r="J23" s="95">
        <f t="shared" si="10"/>
        <v>251.41926491294305</v>
      </c>
      <c r="K23" s="95">
        <f t="shared" si="10"/>
        <v>186.02112214194563</v>
      </c>
      <c r="L23" s="95">
        <f t="shared" si="10"/>
        <v>178.94806170114435</v>
      </c>
      <c r="M23" s="82" t="s">
        <v>172</v>
      </c>
      <c r="N23" s="82" t="s">
        <v>172</v>
      </c>
      <c r="O23" s="82" t="s">
        <v>172</v>
      </c>
      <c r="P23" s="95">
        <f>P31/P13</f>
        <v>220.90243336305153</v>
      </c>
    </row>
    <row r="24" spans="2:18" ht="14" customHeight="1" x14ac:dyDescent="0.3">
      <c r="B24" s="90" t="s">
        <v>254</v>
      </c>
      <c r="C24" s="96">
        <f t="shared" ref="C24:L24" si="11">C33/C15</f>
        <v>113.5188711038317</v>
      </c>
      <c r="D24" s="96">
        <f t="shared" si="11"/>
        <v>109.18883696396976</v>
      </c>
      <c r="E24" s="96">
        <f t="shared" si="11"/>
        <v>96.00083747936695</v>
      </c>
      <c r="F24" s="96">
        <f t="shared" si="11"/>
        <v>79.094159200818368</v>
      </c>
      <c r="G24" s="96">
        <f t="shared" si="11"/>
        <v>95.744936717845917</v>
      </c>
      <c r="H24" s="96">
        <f t="shared" si="11"/>
        <v>78.653150116086991</v>
      </c>
      <c r="I24" s="96">
        <f t="shared" si="11"/>
        <v>72.463115510011107</v>
      </c>
      <c r="J24" s="96">
        <f t="shared" si="11"/>
        <v>66.470578128784311</v>
      </c>
      <c r="K24" s="96">
        <f t="shared" si="11"/>
        <v>70.421722437236767</v>
      </c>
      <c r="L24" s="96">
        <f t="shared" si="11"/>
        <v>76.621854083278819</v>
      </c>
      <c r="M24" s="96"/>
      <c r="N24" s="96"/>
      <c r="O24" s="96"/>
      <c r="P24" s="96">
        <f>P33/P15</f>
        <v>73.335717153250798</v>
      </c>
    </row>
    <row r="26" spans="2:18" s="103" customFormat="1" ht="26.5" customHeight="1" thickBot="1" x14ac:dyDescent="0.35">
      <c r="B26" s="139" t="s">
        <v>255</v>
      </c>
      <c r="C26" s="133" t="str">
        <f>C8</f>
        <v>3T22</v>
      </c>
      <c r="D26" s="133" t="str">
        <f t="shared" ref="D26:P26" si="12">D8</f>
        <v>2T22</v>
      </c>
      <c r="E26" s="133" t="str">
        <f t="shared" si="12"/>
        <v>1T22</v>
      </c>
      <c r="F26" s="133">
        <f t="shared" si="12"/>
        <v>2021</v>
      </c>
      <c r="G26" s="133" t="str">
        <f t="shared" si="12"/>
        <v>4T21</v>
      </c>
      <c r="H26" s="133" t="str">
        <f t="shared" si="12"/>
        <v>3T21</v>
      </c>
      <c r="I26" s="133" t="str">
        <f t="shared" si="12"/>
        <v>2T21</v>
      </c>
      <c r="J26" s="133" t="str">
        <f t="shared" si="12"/>
        <v>1T21</v>
      </c>
      <c r="K26" s="133">
        <f t="shared" si="12"/>
        <v>2020</v>
      </c>
      <c r="L26" s="133" t="str">
        <f t="shared" si="12"/>
        <v>4T20</v>
      </c>
      <c r="M26" s="133" t="str">
        <f t="shared" si="12"/>
        <v>3T20</v>
      </c>
      <c r="N26" s="133" t="str">
        <f t="shared" si="12"/>
        <v>2T20</v>
      </c>
      <c r="O26" s="133" t="str">
        <f t="shared" si="12"/>
        <v>1T20</v>
      </c>
      <c r="P26" s="133">
        <f t="shared" si="12"/>
        <v>2019</v>
      </c>
    </row>
    <row r="27" spans="2:18" ht="14" customHeight="1" thickTop="1" x14ac:dyDescent="0.3">
      <c r="B27" s="91"/>
      <c r="C27" s="91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8" ht="14" customHeight="1" x14ac:dyDescent="0.3">
      <c r="B28" s="40" t="s">
        <v>124</v>
      </c>
      <c r="C28" s="92">
        <v>253.261</v>
      </c>
      <c r="D28" s="92">
        <v>250.40199999999999</v>
      </c>
      <c r="E28" s="92">
        <v>229.66499999999999</v>
      </c>
      <c r="F28" s="92">
        <v>934.6</v>
      </c>
      <c r="G28" s="92">
        <v>291.5988244076097</v>
      </c>
      <c r="H28" s="92">
        <v>255.47572943636192</v>
      </c>
      <c r="I28" s="92">
        <v>224.7574095273028</v>
      </c>
      <c r="J28" s="92">
        <v>162.77786103633522</v>
      </c>
      <c r="K28" s="92">
        <v>501.8</v>
      </c>
      <c r="L28" s="92">
        <v>198.1</v>
      </c>
      <c r="M28" s="94">
        <v>140.19999999999999</v>
      </c>
      <c r="N28" s="94">
        <v>52.3</v>
      </c>
      <c r="O28" s="94">
        <v>111.2</v>
      </c>
      <c r="P28" s="92">
        <v>597.70000000000005</v>
      </c>
      <c r="R28" s="83"/>
    </row>
    <row r="29" spans="2:18" ht="14" customHeight="1" x14ac:dyDescent="0.3">
      <c r="B29" s="40" t="s">
        <v>125</v>
      </c>
      <c r="C29" s="92">
        <v>62.317999999999998</v>
      </c>
      <c r="D29" s="92">
        <v>54.22</v>
      </c>
      <c r="E29" s="92">
        <v>51.917000000000002</v>
      </c>
      <c r="F29" s="92">
        <v>208.9</v>
      </c>
      <c r="G29" s="92">
        <v>62.356281089666645</v>
      </c>
      <c r="H29" s="92">
        <v>61.853796358964416</v>
      </c>
      <c r="I29" s="92">
        <v>47.689855934135409</v>
      </c>
      <c r="J29" s="92">
        <v>36.967347706900149</v>
      </c>
      <c r="K29" s="92">
        <v>146.5</v>
      </c>
      <c r="L29" s="92">
        <v>59.9</v>
      </c>
      <c r="M29" s="94">
        <v>41.3</v>
      </c>
      <c r="N29" s="94">
        <v>14.3</v>
      </c>
      <c r="O29" s="94">
        <v>31</v>
      </c>
      <c r="P29" s="92">
        <v>167.5</v>
      </c>
    </row>
    <row r="30" spans="2:18" ht="14" customHeight="1" x14ac:dyDescent="0.3">
      <c r="B30" s="40" t="s">
        <v>126</v>
      </c>
      <c r="C30" s="92">
        <v>69.843999999999994</v>
      </c>
      <c r="D30" s="92">
        <v>56.527999999999999</v>
      </c>
      <c r="E30" s="92">
        <v>32.267000000000003</v>
      </c>
      <c r="F30" s="92">
        <v>131</v>
      </c>
      <c r="G30" s="92">
        <v>43.78394291519119</v>
      </c>
      <c r="H30" s="92">
        <v>40.581666680481923</v>
      </c>
      <c r="I30" s="92">
        <v>28.367566665680883</v>
      </c>
      <c r="J30" s="92">
        <v>18.30676665383718</v>
      </c>
      <c r="K30" s="92">
        <v>59.5</v>
      </c>
      <c r="L30" s="92">
        <v>21.7</v>
      </c>
      <c r="M30" s="94">
        <v>14.4</v>
      </c>
      <c r="N30" s="94">
        <v>6.6</v>
      </c>
      <c r="O30" s="94">
        <v>16.8</v>
      </c>
      <c r="P30" s="92">
        <v>75</v>
      </c>
    </row>
    <row r="31" spans="2:18" ht="14" customHeight="1" x14ac:dyDescent="0.3">
      <c r="B31" s="40" t="s">
        <v>127</v>
      </c>
      <c r="C31" s="92">
        <v>7.3779297372889596</v>
      </c>
      <c r="D31" s="92">
        <v>10.458</v>
      </c>
      <c r="E31" s="92">
        <v>7.18763714799905</v>
      </c>
      <c r="F31" s="92">
        <v>33.299999999999997</v>
      </c>
      <c r="G31" s="92">
        <v>14.065844169968406</v>
      </c>
      <c r="H31" s="92">
        <v>9.455943003483668</v>
      </c>
      <c r="I31" s="92">
        <v>6.7167942795954607</v>
      </c>
      <c r="J31" s="92">
        <v>3.09126271692086</v>
      </c>
      <c r="K31" s="92">
        <v>11.7</v>
      </c>
      <c r="L31" s="92">
        <v>4.9420533570159266</v>
      </c>
      <c r="M31" s="92">
        <v>3.3223583525753431</v>
      </c>
      <c r="N31" s="92">
        <v>2.3599547468848914</v>
      </c>
      <c r="O31" s="92">
        <v>1.0861193329721941</v>
      </c>
      <c r="P31" s="92">
        <v>31.628810408921932</v>
      </c>
      <c r="Q31" s="85"/>
    </row>
    <row r="32" spans="2:18" ht="14" customHeight="1" x14ac:dyDescent="0.3">
      <c r="B32" s="40" t="s">
        <v>286</v>
      </c>
      <c r="C32" s="92">
        <v>7.6065217834754302</v>
      </c>
      <c r="D32" s="92">
        <v>13.927999999999999</v>
      </c>
      <c r="E32" s="92">
        <v>3.9374693700000001</v>
      </c>
      <c r="F32" s="92">
        <v>20.5</v>
      </c>
      <c r="G32" s="92">
        <v>8.5703691175640611</v>
      </c>
      <c r="H32" s="92">
        <v>4.0911771556622796</v>
      </c>
      <c r="I32" s="92">
        <v>5.5227583183312463</v>
      </c>
      <c r="J32" s="92">
        <v>2.2248028260064729</v>
      </c>
      <c r="K32" s="92">
        <v>12.7</v>
      </c>
      <c r="L32" s="92">
        <f>3.8+5.7-L31</f>
        <v>4.5579466429840734</v>
      </c>
      <c r="M32" s="94">
        <f>3.2+1.7-M31</f>
        <v>1.5776416474246573</v>
      </c>
      <c r="N32" s="94">
        <f>2.4+0.8-N31</f>
        <v>0.8400452531151088</v>
      </c>
      <c r="O32" s="94">
        <f>3.8+3-O31</f>
        <v>5.7138806670278059</v>
      </c>
      <c r="P32" s="92">
        <f>34.1+17-P31</f>
        <v>19.471189591078069</v>
      </c>
    </row>
    <row r="33" spans="2:16" ht="14" customHeight="1" x14ac:dyDescent="0.3">
      <c r="B33" s="90" t="s">
        <v>256</v>
      </c>
      <c r="C33" s="93">
        <f>SUM(C28:C32)</f>
        <v>400.40745152076443</v>
      </c>
      <c r="D33" s="93">
        <f>SUM(D28:D32)</f>
        <v>385.536</v>
      </c>
      <c r="E33" s="93">
        <f>SUM(E28:E32)</f>
        <v>324.97410651799902</v>
      </c>
      <c r="F33" s="93">
        <f t="shared" ref="F33:P33" si="13">SUM(F28:F32)</f>
        <v>1328.3</v>
      </c>
      <c r="G33" s="93">
        <f t="shared" si="13"/>
        <v>420.37526169999995</v>
      </c>
      <c r="H33" s="93">
        <f t="shared" si="13"/>
        <v>371.45831263495427</v>
      </c>
      <c r="I33" s="93">
        <f t="shared" si="13"/>
        <v>313.05438472504574</v>
      </c>
      <c r="J33" s="93">
        <f t="shared" si="13"/>
        <v>223.36804093999987</v>
      </c>
      <c r="K33" s="93">
        <f t="shared" si="13"/>
        <v>732.2</v>
      </c>
      <c r="L33" s="93">
        <f t="shared" si="13"/>
        <v>289.2</v>
      </c>
      <c r="M33" s="93">
        <f t="shared" si="13"/>
        <v>200.8</v>
      </c>
      <c r="N33" s="93">
        <f t="shared" si="13"/>
        <v>76.399999999999991</v>
      </c>
      <c r="O33" s="93">
        <f t="shared" si="13"/>
        <v>165.8</v>
      </c>
      <c r="P33" s="93">
        <f t="shared" si="13"/>
        <v>891.30000000000007</v>
      </c>
    </row>
    <row r="34" spans="2:16" ht="14" customHeight="1" x14ac:dyDescent="0.3">
      <c r="B34" s="89" t="s">
        <v>292</v>
      </c>
      <c r="C34" s="89"/>
    </row>
    <row r="36" spans="2:16" ht="14" customHeight="1" x14ac:dyDescent="0.3">
      <c r="L36" s="83"/>
      <c r="M36" s="83"/>
      <c r="N36" s="83"/>
      <c r="O36" s="83"/>
      <c r="P36" s="83"/>
    </row>
    <row r="37" spans="2:16" ht="21" x14ac:dyDescent="0.3">
      <c r="B37" s="112" t="s">
        <v>257</v>
      </c>
      <c r="C37" s="105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</row>
    <row r="38" spans="2:16" s="103" customFormat="1" ht="14" customHeight="1" x14ac:dyDescent="0.3"/>
    <row r="39" spans="2:16" s="104" customFormat="1" ht="26.5" thickBot="1" x14ac:dyDescent="0.35">
      <c r="B39" s="139" t="s">
        <v>246</v>
      </c>
      <c r="C39" s="133" t="str">
        <f>C8</f>
        <v>3T22</v>
      </c>
      <c r="D39" s="133" t="str">
        <f t="shared" ref="D39:P39" si="14">D8</f>
        <v>2T22</v>
      </c>
      <c r="E39" s="133" t="str">
        <f t="shared" si="14"/>
        <v>1T22</v>
      </c>
      <c r="F39" s="133">
        <f t="shared" si="14"/>
        <v>2021</v>
      </c>
      <c r="G39" s="133" t="str">
        <f t="shared" si="14"/>
        <v>4T21</v>
      </c>
      <c r="H39" s="133" t="str">
        <f t="shared" si="14"/>
        <v>3T21</v>
      </c>
      <c r="I39" s="133" t="str">
        <f t="shared" si="14"/>
        <v>2T21</v>
      </c>
      <c r="J39" s="133" t="str">
        <f t="shared" si="14"/>
        <v>1T21</v>
      </c>
      <c r="K39" s="133">
        <f t="shared" si="14"/>
        <v>2020</v>
      </c>
      <c r="L39" s="133" t="str">
        <f t="shared" si="14"/>
        <v>4T20</v>
      </c>
      <c r="M39" s="133" t="str">
        <f t="shared" si="14"/>
        <v>3T20</v>
      </c>
      <c r="N39" s="133" t="str">
        <f t="shared" si="14"/>
        <v>2T20</v>
      </c>
      <c r="O39" s="133" t="str">
        <f t="shared" si="14"/>
        <v>1T20</v>
      </c>
      <c r="P39" s="133">
        <f t="shared" si="14"/>
        <v>2019</v>
      </c>
    </row>
    <row r="40" spans="2:16" s="3" customFormat="1" ht="13.5" thickTop="1" x14ac:dyDescent="0.3">
      <c r="B40" s="91"/>
      <c r="C40" s="91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 ht="14" customHeight="1" x14ac:dyDescent="0.3">
      <c r="B41" s="40" t="s">
        <v>289</v>
      </c>
      <c r="C41" s="95">
        <v>2.3411615000001542</v>
      </c>
      <c r="D41" s="95">
        <v>2.2173662500001723</v>
      </c>
      <c r="E41" s="95">
        <v>2.1755837453335185</v>
      </c>
      <c r="F41" s="95">
        <f>SUM(G41:J41)</f>
        <v>10.338310666666708</v>
      </c>
      <c r="G41" s="95">
        <v>2.6177106666666767</v>
      </c>
      <c r="H41" s="95">
        <v>2.9349031666667029</v>
      </c>
      <c r="I41" s="95">
        <v>2.6857370000000236</v>
      </c>
      <c r="J41" s="95">
        <v>2.0999598333333056</v>
      </c>
      <c r="K41" s="95">
        <v>6.6276890000003208</v>
      </c>
      <c r="L41" s="95">
        <v>2.1348441666666491</v>
      </c>
      <c r="M41" s="82" t="s">
        <v>172</v>
      </c>
      <c r="N41" s="82" t="s">
        <v>172</v>
      </c>
      <c r="O41" s="82" t="s">
        <v>172</v>
      </c>
      <c r="P41" s="95">
        <v>7.7455151666669471</v>
      </c>
    </row>
    <row r="42" spans="2:16" ht="14" customHeight="1" x14ac:dyDescent="0.3">
      <c r="B42" s="40" t="s">
        <v>128</v>
      </c>
      <c r="C42" s="95">
        <v>0.73556100000000613</v>
      </c>
      <c r="D42" s="95">
        <v>0.63663048333333516</v>
      </c>
      <c r="E42" s="95">
        <v>0.76578933333333676</v>
      </c>
      <c r="F42" s="95">
        <f t="shared" ref="F42:F45" si="15">SUM(G42:J42)</f>
        <v>4.527948916666654</v>
      </c>
      <c r="G42" s="95">
        <v>1.2624974166666592</v>
      </c>
      <c r="H42" s="95">
        <v>1.2260214999999937</v>
      </c>
      <c r="I42" s="95">
        <v>1.1835149999999988</v>
      </c>
      <c r="J42" s="95">
        <v>0.8559150000000022</v>
      </c>
      <c r="K42" s="95">
        <v>1.8803277499999986</v>
      </c>
      <c r="L42" s="95">
        <v>1.0209654999999993</v>
      </c>
      <c r="M42" s="82" t="s">
        <v>172</v>
      </c>
      <c r="N42" s="82" t="s">
        <v>172</v>
      </c>
      <c r="O42" s="82" t="s">
        <v>172</v>
      </c>
      <c r="P42" s="95">
        <v>1.9319400833333205</v>
      </c>
    </row>
    <row r="43" spans="2:16" ht="14" customHeight="1" x14ac:dyDescent="0.3">
      <c r="B43" s="40" t="s">
        <v>129</v>
      </c>
      <c r="C43" s="95">
        <v>0.33657025000000185</v>
      </c>
      <c r="D43" s="95">
        <v>0.52861949999999724</v>
      </c>
      <c r="E43" s="95">
        <v>0.34466808333333337</v>
      </c>
      <c r="F43" s="95">
        <f t="shared" si="15"/>
        <v>1.5291697500000001</v>
      </c>
      <c r="G43" s="95">
        <v>0.39372250000000014</v>
      </c>
      <c r="H43" s="95">
        <v>0.45172349999999994</v>
      </c>
      <c r="I43" s="95">
        <v>0.35479091666666668</v>
      </c>
      <c r="J43" s="95">
        <v>0.32893283333333329</v>
      </c>
      <c r="K43" s="95">
        <v>1.5296274166666679</v>
      </c>
      <c r="L43" s="95">
        <v>0.50977199999999989</v>
      </c>
      <c r="M43" s="82" t="s">
        <v>172</v>
      </c>
      <c r="N43" s="82" t="s">
        <v>172</v>
      </c>
      <c r="O43" s="82" t="s">
        <v>172</v>
      </c>
      <c r="P43" s="95">
        <v>1.8406475000000002</v>
      </c>
    </row>
    <row r="44" spans="2:16" ht="14" customHeight="1" x14ac:dyDescent="0.3">
      <c r="B44" s="40" t="s">
        <v>288</v>
      </c>
      <c r="C44" s="95">
        <v>3.6145000000000148E-3</v>
      </c>
      <c r="D44" s="95">
        <v>5.4970000000001519E-3</v>
      </c>
      <c r="E44" s="95">
        <v>1.2904500000000261E-2</v>
      </c>
      <c r="F44" s="95">
        <f t="shared" si="15"/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82" t="s">
        <v>172</v>
      </c>
      <c r="N44" s="82" t="s">
        <v>172</v>
      </c>
      <c r="O44" s="82" t="s">
        <v>172</v>
      </c>
      <c r="P44" s="95">
        <v>0</v>
      </c>
    </row>
    <row r="45" spans="2:16" ht="14" customHeight="1" x14ac:dyDescent="0.3">
      <c r="B45" s="40" t="s">
        <v>293</v>
      </c>
      <c r="C45" s="95">
        <v>0.11032525000000006</v>
      </c>
      <c r="D45" s="95">
        <v>0.14279716666666642</v>
      </c>
      <c r="E45" s="95">
        <v>8.6171750000000075E-2</v>
      </c>
      <c r="F45" s="95">
        <f t="shared" si="15"/>
        <v>0.39847825000000003</v>
      </c>
      <c r="G45" s="95">
        <v>0.11664375000000003</v>
      </c>
      <c r="H45" s="95">
        <v>0.11009100000000002</v>
      </c>
      <c r="I45" s="95">
        <v>9.6146499999999996E-2</v>
      </c>
      <c r="J45" s="95">
        <v>7.5597000000000025E-2</v>
      </c>
      <c r="K45" s="95">
        <v>0.35971583333333251</v>
      </c>
      <c r="L45" s="95">
        <v>0.10879841666666669</v>
      </c>
      <c r="M45" s="82" t="s">
        <v>172</v>
      </c>
      <c r="N45" s="82" t="s">
        <v>172</v>
      </c>
      <c r="O45" s="82" t="s">
        <v>172</v>
      </c>
      <c r="P45" s="95">
        <f>0.620593166666667+0.012</f>
        <v>0.63259316666666698</v>
      </c>
    </row>
    <row r="46" spans="2:16" ht="14" customHeight="1" x14ac:dyDescent="0.3">
      <c r="B46" s="90" t="s">
        <v>252</v>
      </c>
      <c r="C46" s="96">
        <f t="shared" ref="C46:E46" si="16">SUM(C41:C45)</f>
        <v>3.5272325000001628</v>
      </c>
      <c r="D46" s="96">
        <f t="shared" si="16"/>
        <v>3.5309104000001712</v>
      </c>
      <c r="E46" s="96">
        <f t="shared" si="16"/>
        <v>3.3851174120001892</v>
      </c>
      <c r="F46" s="96">
        <f t="shared" ref="F46:L46" si="17">SUM(F41:F45)</f>
        <v>16.793907583333361</v>
      </c>
      <c r="G46" s="96">
        <f t="shared" si="17"/>
        <v>4.390574333333336</v>
      </c>
      <c r="H46" s="96">
        <f t="shared" si="17"/>
        <v>4.7227391666666962</v>
      </c>
      <c r="I46" s="96">
        <f t="shared" si="17"/>
        <v>4.3201894166666888</v>
      </c>
      <c r="J46" s="96">
        <f t="shared" si="17"/>
        <v>3.3604046666666414</v>
      </c>
      <c r="K46" s="96">
        <f t="shared" si="17"/>
        <v>10.397360000000319</v>
      </c>
      <c r="L46" s="96">
        <f t="shared" si="17"/>
        <v>3.7743800833333152</v>
      </c>
      <c r="M46" s="96">
        <f t="shared" ref="M46" si="18">SUM(M41:M45)</f>
        <v>0</v>
      </c>
      <c r="N46" s="96">
        <f t="shared" ref="N46" si="19">SUM(N41:N45)</f>
        <v>0</v>
      </c>
      <c r="O46" s="96">
        <f t="shared" ref="O46" si="20">SUM(O41:O45)</f>
        <v>0</v>
      </c>
      <c r="P46" s="96">
        <f t="shared" ref="P46" si="21">SUM(P41:P45)</f>
        <v>12.150695916666933</v>
      </c>
    </row>
    <row r="47" spans="2:16" ht="14" customHeight="1" x14ac:dyDescent="0.3">
      <c r="B47" s="89" t="s">
        <v>297</v>
      </c>
      <c r="C47" s="89"/>
      <c r="F47" s="84"/>
      <c r="G47" s="84"/>
      <c r="K47" s="84"/>
      <c r="L47" s="84"/>
      <c r="P47" s="84"/>
    </row>
    <row r="48" spans="2:16" ht="14" customHeight="1" x14ac:dyDescent="0.3">
      <c r="B48" s="89" t="s">
        <v>295</v>
      </c>
      <c r="C48" s="89"/>
      <c r="D48" s="86"/>
      <c r="E48" s="86"/>
      <c r="F48" s="84"/>
      <c r="G48" s="84"/>
      <c r="K48" s="84"/>
      <c r="L48" s="84"/>
      <c r="P48" s="84"/>
    </row>
    <row r="49" spans="2:17" ht="14" customHeight="1" x14ac:dyDescent="0.3"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</row>
    <row r="50" spans="2:17" s="103" customFormat="1" ht="26.5" thickBot="1" x14ac:dyDescent="0.35">
      <c r="B50" s="139" t="s">
        <v>255</v>
      </c>
      <c r="C50" s="133" t="str">
        <f>C8</f>
        <v>3T22</v>
      </c>
      <c r="D50" s="133" t="str">
        <f t="shared" ref="D50:P50" si="22">D8</f>
        <v>2T22</v>
      </c>
      <c r="E50" s="133" t="str">
        <f t="shared" si="22"/>
        <v>1T22</v>
      </c>
      <c r="F50" s="133">
        <f t="shared" si="22"/>
        <v>2021</v>
      </c>
      <c r="G50" s="133" t="str">
        <f t="shared" si="22"/>
        <v>4T21</v>
      </c>
      <c r="H50" s="133" t="str">
        <f t="shared" si="22"/>
        <v>3T21</v>
      </c>
      <c r="I50" s="133" t="str">
        <f t="shared" si="22"/>
        <v>2T21</v>
      </c>
      <c r="J50" s="133" t="str">
        <f t="shared" si="22"/>
        <v>1T21</v>
      </c>
      <c r="K50" s="133">
        <f t="shared" si="22"/>
        <v>2020</v>
      </c>
      <c r="L50" s="133" t="str">
        <f t="shared" si="22"/>
        <v>4T20</v>
      </c>
      <c r="M50" s="133" t="str">
        <f t="shared" si="22"/>
        <v>3T20</v>
      </c>
      <c r="N50" s="133" t="str">
        <f t="shared" si="22"/>
        <v>2T20</v>
      </c>
      <c r="O50" s="133" t="str">
        <f t="shared" si="22"/>
        <v>1T20</v>
      </c>
      <c r="P50" s="133">
        <f t="shared" si="22"/>
        <v>2019</v>
      </c>
    </row>
    <row r="51" spans="2:17" ht="13.5" thickTop="1" x14ac:dyDescent="0.3">
      <c r="B51" s="91"/>
      <c r="C51" s="91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7" ht="14" customHeight="1" x14ac:dyDescent="0.3">
      <c r="B52" s="40" t="s">
        <v>289</v>
      </c>
      <c r="C52" s="94">
        <v>248.03800000000001</v>
      </c>
      <c r="D52" s="94">
        <v>227.88399999999999</v>
      </c>
      <c r="E52" s="94">
        <v>203.76</v>
      </c>
      <c r="F52" s="92">
        <v>781.7</v>
      </c>
      <c r="G52" s="92">
        <v>233.54298007226916</v>
      </c>
      <c r="H52" s="92">
        <v>215.93440901374768</v>
      </c>
      <c r="I52" s="92">
        <v>193.87821816676282</v>
      </c>
      <c r="J52" s="92">
        <v>138.32537281948953</v>
      </c>
      <c r="K52" s="92">
        <v>447.8</v>
      </c>
      <c r="L52" s="92">
        <v>159.9</v>
      </c>
      <c r="M52" s="92">
        <v>130.69999999999999</v>
      </c>
      <c r="N52" s="92">
        <f>51.5</f>
        <v>51.5</v>
      </c>
      <c r="O52" s="92">
        <v>105.7</v>
      </c>
      <c r="P52" s="92">
        <v>509</v>
      </c>
      <c r="Q52" s="83"/>
    </row>
    <row r="53" spans="2:17" ht="14" customHeight="1" x14ac:dyDescent="0.3">
      <c r="B53" s="40" t="s">
        <v>128</v>
      </c>
      <c r="C53" s="94">
        <v>108.848</v>
      </c>
      <c r="D53" s="94">
        <v>97.944999999999993</v>
      </c>
      <c r="E53" s="94">
        <v>84.290999999999997</v>
      </c>
      <c r="F53" s="92">
        <v>388.1</v>
      </c>
      <c r="G53" s="92">
        <v>138.7470867393653</v>
      </c>
      <c r="H53" s="92">
        <v>110.15769166030879</v>
      </c>
      <c r="I53" s="92">
        <v>85.008002496171656</v>
      </c>
      <c r="J53" s="92">
        <v>54.213305843519507</v>
      </c>
      <c r="K53" s="92">
        <v>159.5</v>
      </c>
      <c r="L53" s="92">
        <v>81.3</v>
      </c>
      <c r="M53" s="92">
        <v>36.4</v>
      </c>
      <c r="N53" s="92">
        <v>9.4</v>
      </c>
      <c r="O53" s="92">
        <v>32.4</v>
      </c>
      <c r="P53" s="92">
        <v>232.1</v>
      </c>
      <c r="Q53" s="83"/>
    </row>
    <row r="54" spans="2:17" ht="14" customHeight="1" x14ac:dyDescent="0.3">
      <c r="B54" s="40" t="s">
        <v>129</v>
      </c>
      <c r="C54" s="94">
        <v>30.925999999999998</v>
      </c>
      <c r="D54" s="94">
        <v>41.011000000000003</v>
      </c>
      <c r="E54" s="94">
        <v>25.986000000000001</v>
      </c>
      <c r="F54" s="92">
        <v>125.7</v>
      </c>
      <c r="G54" s="92">
        <v>36.29297576888311</v>
      </c>
      <c r="H54" s="92">
        <v>36.685905357856853</v>
      </c>
      <c r="I54" s="92">
        <v>27.825240237837285</v>
      </c>
      <c r="J54" s="92">
        <v>24.894854404305839</v>
      </c>
      <c r="K54" s="92">
        <v>104.8</v>
      </c>
      <c r="L54" s="92">
        <v>39.4</v>
      </c>
      <c r="M54" s="92">
        <v>30.5</v>
      </c>
      <c r="N54" s="92">
        <v>13.6</v>
      </c>
      <c r="O54" s="92">
        <v>21.3</v>
      </c>
      <c r="P54" s="92">
        <v>119.8</v>
      </c>
      <c r="Q54" s="83"/>
    </row>
    <row r="55" spans="2:17" ht="14" customHeight="1" x14ac:dyDescent="0.3">
      <c r="B55" s="40" t="s">
        <v>130</v>
      </c>
      <c r="C55" s="94">
        <v>1.4690000000000001</v>
      </c>
      <c r="D55" s="94">
        <v>2.11</v>
      </c>
      <c r="E55" s="94">
        <v>2.8809999999999998</v>
      </c>
      <c r="F55" s="92">
        <v>0</v>
      </c>
      <c r="G55" s="92">
        <v>0</v>
      </c>
      <c r="H55" s="92">
        <v>0</v>
      </c>
      <c r="I55" s="92">
        <v>0</v>
      </c>
      <c r="J55" s="92">
        <v>0</v>
      </c>
      <c r="K55" s="92">
        <v>0</v>
      </c>
      <c r="L55" s="92">
        <v>0</v>
      </c>
      <c r="M55" s="92">
        <v>0</v>
      </c>
      <c r="N55" s="92">
        <v>0</v>
      </c>
      <c r="O55" s="92">
        <v>0</v>
      </c>
      <c r="P55" s="92">
        <v>0</v>
      </c>
      <c r="Q55" s="83"/>
    </row>
    <row r="56" spans="2:17" ht="14" customHeight="1" x14ac:dyDescent="0.3">
      <c r="B56" s="40" t="s">
        <v>294</v>
      </c>
      <c r="C56" s="94">
        <v>11.125999999999999</v>
      </c>
      <c r="D56" s="94">
        <v>16.585000000000001</v>
      </c>
      <c r="E56" s="94">
        <v>8.0559999999999992</v>
      </c>
      <c r="F56" s="92">
        <v>32.799999999999997</v>
      </c>
      <c r="G56" s="92">
        <v>11.792219119482423</v>
      </c>
      <c r="H56" s="92">
        <v>8.6803066030410765</v>
      </c>
      <c r="I56" s="92">
        <v>6.3432421642738097</v>
      </c>
      <c r="J56" s="92">
        <v>5.934189532685112</v>
      </c>
      <c r="K56" s="92">
        <v>20.100000000000001</v>
      </c>
      <c r="L56" s="92">
        <f>2+0.8+5.6</f>
        <v>8.3999999999999986</v>
      </c>
      <c r="M56" s="92">
        <f>1.3+0.1+1.7</f>
        <v>3.1</v>
      </c>
      <c r="N56" s="92">
        <f>0.8+0.2+0.9</f>
        <v>1.9</v>
      </c>
      <c r="O56" s="92">
        <f>3+0.6+3.1</f>
        <v>6.7</v>
      </c>
      <c r="P56" s="92">
        <f>11+2.5+17</f>
        <v>30.5</v>
      </c>
      <c r="Q56" s="83"/>
    </row>
    <row r="57" spans="2:17" ht="14" customHeight="1" x14ac:dyDescent="0.3">
      <c r="B57" s="90" t="s">
        <v>258</v>
      </c>
      <c r="C57" s="93">
        <f t="shared" ref="C57:E57" si="23">SUM(C52:C56)</f>
        <v>400.40699999999998</v>
      </c>
      <c r="D57" s="93">
        <f t="shared" si="23"/>
        <v>385.53499999999997</v>
      </c>
      <c r="E57" s="93">
        <f t="shared" si="23"/>
        <v>324.97399999999993</v>
      </c>
      <c r="F57" s="93">
        <f>SUM(F52:F56)</f>
        <v>1328.3000000000002</v>
      </c>
      <c r="G57" s="93">
        <f>SUM(G52:G56)</f>
        <v>420.37526170000001</v>
      </c>
      <c r="H57" s="93">
        <f t="shared" ref="H57" si="24">SUM(H52:H56)</f>
        <v>371.45831263495444</v>
      </c>
      <c r="I57" s="93">
        <f t="shared" ref="I57" si="25">SUM(I52:I56)</f>
        <v>313.0547030650456</v>
      </c>
      <c r="J57" s="93">
        <f t="shared" ref="J57" si="26">SUM(J52:J56)</f>
        <v>223.36772259999998</v>
      </c>
      <c r="K57" s="93">
        <f t="shared" ref="K57" si="27">SUM(K52:K56)</f>
        <v>732.19999999999993</v>
      </c>
      <c r="L57" s="93">
        <f t="shared" ref="L57" si="28">SUM(L52:L56)</f>
        <v>288.99999999999994</v>
      </c>
      <c r="M57" s="93">
        <f t="shared" ref="M57" si="29">SUM(M52:M56)</f>
        <v>200.7</v>
      </c>
      <c r="N57" s="93">
        <f t="shared" ref="N57" si="30">SUM(N52:N56)</f>
        <v>76.400000000000006</v>
      </c>
      <c r="O57" s="93">
        <f t="shared" ref="O57" si="31">SUM(O52:O56)</f>
        <v>166.1</v>
      </c>
      <c r="P57" s="93">
        <f>SUM(P52:P56)</f>
        <v>891.4</v>
      </c>
    </row>
    <row r="58" spans="2:17" ht="14" customHeight="1" x14ac:dyDescent="0.3">
      <c r="B58" s="89" t="s">
        <v>296</v>
      </c>
      <c r="C58" s="89"/>
    </row>
    <row r="60" spans="2:17" ht="14" customHeight="1" x14ac:dyDescent="0.3">
      <c r="B60" s="89"/>
      <c r="C60" s="115"/>
      <c r="D60" s="87"/>
      <c r="E60" s="87"/>
    </row>
    <row r="62" spans="2:17" ht="14" customHeight="1" x14ac:dyDescent="0.3">
      <c r="B62" s="89"/>
    </row>
    <row r="64" spans="2:17" ht="14" customHeight="1" x14ac:dyDescent="0.3">
      <c r="J64" s="58"/>
      <c r="L64" s="87"/>
    </row>
    <row r="65" spans="5:10" ht="14" customHeight="1" x14ac:dyDescent="0.3">
      <c r="E65" s="58"/>
      <c r="G65" s="86"/>
      <c r="J65" s="58"/>
    </row>
    <row r="66" spans="5:10" ht="14" customHeight="1" x14ac:dyDescent="0.3">
      <c r="E66" s="58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F10:F14 F33 F41:F45 F52:K57 P57 K46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496C8"/>
  </sheetPr>
  <dimension ref="B1:Q19"/>
  <sheetViews>
    <sheetView showGridLines="0" showRowColHeaders="0" workbookViewId="0"/>
  </sheetViews>
  <sheetFormatPr defaultColWidth="7.6328125" defaultRowHeight="14" customHeight="1" x14ac:dyDescent="0.3"/>
  <cols>
    <col min="1" max="1" width="0.90625" style="2" customWidth="1"/>
    <col min="2" max="2" width="25.6328125" style="2" customWidth="1"/>
    <col min="3" max="3" width="7.7265625" style="2" customWidth="1"/>
    <col min="4" max="16384" width="7.6328125" style="2"/>
  </cols>
  <sheetData>
    <row r="1" spans="2:17" ht="5" customHeight="1" x14ac:dyDescent="0.3"/>
    <row r="6" spans="2:17" s="103" customFormat="1" ht="14" customHeight="1" thickBot="1" x14ac:dyDescent="0.35">
      <c r="B6" s="135" t="s">
        <v>259</v>
      </c>
      <c r="C6" s="136" t="s">
        <v>285</v>
      </c>
      <c r="D6" s="136" t="s">
        <v>194</v>
      </c>
      <c r="E6" s="136" t="s">
        <v>171</v>
      </c>
      <c r="F6" s="137" t="s">
        <v>86</v>
      </c>
      <c r="G6" s="138" t="s">
        <v>116</v>
      </c>
      <c r="H6" s="138" t="s">
        <v>117</v>
      </c>
      <c r="I6" s="138" t="s">
        <v>118</v>
      </c>
      <c r="J6" s="136" t="s">
        <v>119</v>
      </c>
      <c r="K6" s="137" t="s">
        <v>87</v>
      </c>
      <c r="L6" s="138" t="s">
        <v>120</v>
      </c>
      <c r="M6" s="138" t="s">
        <v>121</v>
      </c>
      <c r="N6" s="138" t="s">
        <v>122</v>
      </c>
      <c r="O6" s="136" t="s">
        <v>123</v>
      </c>
      <c r="P6" s="137" t="s">
        <v>98</v>
      </c>
      <c r="Q6" s="137" t="s">
        <v>99</v>
      </c>
    </row>
    <row r="7" spans="2:17" ht="14" customHeight="1" thickTop="1" x14ac:dyDescent="0.3"/>
    <row r="8" spans="2:17" ht="14" customHeight="1" x14ac:dyDescent="0.3">
      <c r="B8" s="40" t="s">
        <v>124</v>
      </c>
      <c r="C8" s="9">
        <v>468</v>
      </c>
      <c r="D8" s="9">
        <v>457</v>
      </c>
      <c r="E8" s="9">
        <v>444</v>
      </c>
      <c r="F8" s="9">
        <f>432+8+2</f>
        <v>442</v>
      </c>
      <c r="G8" s="9">
        <f t="shared" ref="G8:G12" si="0">F8</f>
        <v>442</v>
      </c>
      <c r="H8" s="9">
        <f>432-H9</f>
        <v>419</v>
      </c>
      <c r="I8" s="9">
        <f>414-I9</f>
        <v>402</v>
      </c>
      <c r="J8" s="9">
        <v>395</v>
      </c>
      <c r="K8" s="9">
        <f>405-K9</f>
        <v>394</v>
      </c>
      <c r="L8" s="9">
        <f t="shared" ref="L8:L12" si="1">K8</f>
        <v>394</v>
      </c>
      <c r="M8" s="9">
        <f>394-M9</f>
        <v>384</v>
      </c>
      <c r="N8" s="9">
        <f>389-N9</f>
        <v>380</v>
      </c>
      <c r="O8" s="9">
        <f>387-O9</f>
        <v>378</v>
      </c>
      <c r="P8" s="9">
        <f>390-P9</f>
        <v>382</v>
      </c>
      <c r="Q8" s="9">
        <f>365-Q9</f>
        <v>361</v>
      </c>
    </row>
    <row r="9" spans="2:17" ht="14" customHeight="1" x14ac:dyDescent="0.3">
      <c r="B9" s="40" t="s">
        <v>176</v>
      </c>
      <c r="C9" s="9">
        <v>27</v>
      </c>
      <c r="D9" s="9">
        <v>20</v>
      </c>
      <c r="E9" s="9">
        <v>18</v>
      </c>
      <c r="F9" s="9">
        <v>16</v>
      </c>
      <c r="G9" s="9">
        <f t="shared" si="0"/>
        <v>16</v>
      </c>
      <c r="H9" s="9">
        <v>13</v>
      </c>
      <c r="I9" s="9">
        <v>12</v>
      </c>
      <c r="J9" s="9">
        <v>11</v>
      </c>
      <c r="K9" s="9">
        <v>11</v>
      </c>
      <c r="L9" s="9">
        <f t="shared" si="1"/>
        <v>11</v>
      </c>
      <c r="M9" s="9">
        <v>10</v>
      </c>
      <c r="N9" s="9">
        <v>9</v>
      </c>
      <c r="O9" s="9">
        <v>9</v>
      </c>
      <c r="P9" s="9">
        <v>8</v>
      </c>
      <c r="Q9" s="9">
        <v>4</v>
      </c>
    </row>
    <row r="10" spans="2:17" ht="14" customHeight="1" x14ac:dyDescent="0.3">
      <c r="B10" s="40" t="s">
        <v>127</v>
      </c>
      <c r="C10" s="9">
        <v>63</v>
      </c>
      <c r="D10" s="9">
        <v>67</v>
      </c>
      <c r="E10" s="9">
        <v>67</v>
      </c>
      <c r="F10" s="9">
        <v>67</v>
      </c>
      <c r="G10" s="9">
        <f t="shared" si="0"/>
        <v>67</v>
      </c>
      <c r="H10" s="9">
        <v>67</v>
      </c>
      <c r="I10" s="9">
        <v>67</v>
      </c>
      <c r="J10" s="9">
        <v>70</v>
      </c>
      <c r="K10" s="9">
        <v>71</v>
      </c>
      <c r="L10" s="9">
        <f t="shared" si="1"/>
        <v>71</v>
      </c>
      <c r="M10" s="9">
        <v>72</v>
      </c>
      <c r="N10" s="9">
        <v>75</v>
      </c>
      <c r="O10" s="9">
        <v>77</v>
      </c>
      <c r="P10" s="9">
        <v>78</v>
      </c>
      <c r="Q10" s="9">
        <v>77</v>
      </c>
    </row>
    <row r="11" spans="2:17" ht="14" customHeight="1" x14ac:dyDescent="0.3">
      <c r="B11" s="40" t="s">
        <v>166</v>
      </c>
      <c r="C11" s="9">
        <v>250</v>
      </c>
      <c r="D11" s="9">
        <v>239</v>
      </c>
      <c r="E11" s="9">
        <v>214</v>
      </c>
      <c r="F11" s="9">
        <v>208</v>
      </c>
      <c r="G11" s="9">
        <f t="shared" si="0"/>
        <v>208</v>
      </c>
      <c r="H11" s="9">
        <v>172</v>
      </c>
      <c r="I11" s="9">
        <v>149</v>
      </c>
      <c r="J11" s="9">
        <v>130</v>
      </c>
      <c r="K11" s="9">
        <v>125</v>
      </c>
      <c r="L11" s="9">
        <f t="shared" si="1"/>
        <v>125</v>
      </c>
      <c r="M11" s="9">
        <v>107</v>
      </c>
      <c r="N11" s="9">
        <v>98</v>
      </c>
      <c r="O11" s="9">
        <v>95</v>
      </c>
      <c r="P11" s="9">
        <v>92</v>
      </c>
      <c r="Q11" s="9">
        <v>71</v>
      </c>
    </row>
    <row r="12" spans="2:17" ht="14" customHeight="1" x14ac:dyDescent="0.3">
      <c r="B12" s="40" t="s">
        <v>125</v>
      </c>
      <c r="C12" s="9">
        <v>87</v>
      </c>
      <c r="D12" s="9">
        <v>85</v>
      </c>
      <c r="E12" s="9">
        <v>75</v>
      </c>
      <c r="F12" s="9">
        <v>70</v>
      </c>
      <c r="G12" s="9">
        <f t="shared" si="0"/>
        <v>70</v>
      </c>
      <c r="H12" s="9">
        <v>60</v>
      </c>
      <c r="I12" s="9">
        <v>52</v>
      </c>
      <c r="J12" s="9">
        <v>50</v>
      </c>
      <c r="K12" s="9">
        <v>43</v>
      </c>
      <c r="L12" s="9">
        <f t="shared" si="1"/>
        <v>43</v>
      </c>
      <c r="M12" s="9">
        <v>37</v>
      </c>
      <c r="N12" s="9">
        <v>30</v>
      </c>
      <c r="O12" s="9">
        <v>27</v>
      </c>
      <c r="P12" s="9">
        <v>21</v>
      </c>
      <c r="Q12" s="9">
        <v>6</v>
      </c>
    </row>
    <row r="13" spans="2:17" ht="14" customHeight="1" x14ac:dyDescent="0.3">
      <c r="B13" s="17" t="s">
        <v>175</v>
      </c>
      <c r="C13" s="13">
        <f>SUM(C8:C12)</f>
        <v>895</v>
      </c>
      <c r="D13" s="13">
        <f>SUM(D8:D12)</f>
        <v>868</v>
      </c>
      <c r="E13" s="13">
        <f>SUM(E8:E12)</f>
        <v>818</v>
      </c>
      <c r="F13" s="13">
        <f>SUM(F8:F12)</f>
        <v>803</v>
      </c>
      <c r="G13" s="13">
        <f>F13</f>
        <v>803</v>
      </c>
      <c r="H13" s="13">
        <f>SUM(H8:H12)</f>
        <v>731</v>
      </c>
      <c r="I13" s="13">
        <f>SUM(I8:I12)</f>
        <v>682</v>
      </c>
      <c r="J13" s="13">
        <f>SUM(J8:J12)</f>
        <v>656</v>
      </c>
      <c r="K13" s="13">
        <f>SUM(K8:K12)</f>
        <v>644</v>
      </c>
      <c r="L13" s="13">
        <f>K13</f>
        <v>644</v>
      </c>
      <c r="M13" s="13">
        <f>SUM(M8:M12)</f>
        <v>610</v>
      </c>
      <c r="N13" s="13">
        <f>SUM(N8:N12)</f>
        <v>592</v>
      </c>
      <c r="O13" s="13">
        <f>SUM(O8:O12)</f>
        <v>586</v>
      </c>
      <c r="P13" s="13">
        <f>SUM(P8:P12)</f>
        <v>581</v>
      </c>
      <c r="Q13" s="13">
        <f>SUM(Q8:Q12)</f>
        <v>519</v>
      </c>
    </row>
    <row r="15" spans="2:17" ht="14" customHeight="1" x14ac:dyDescent="0.3">
      <c r="B15" s="16" t="s">
        <v>260</v>
      </c>
      <c r="C15" s="98">
        <v>-0.18054751739605368</v>
      </c>
      <c r="D15" s="98">
        <v>2.7E-2</v>
      </c>
      <c r="E15" s="98">
        <v>0.26400000000000001</v>
      </c>
      <c r="F15" s="98">
        <v>0.309</v>
      </c>
      <c r="G15" s="98">
        <v>0.309</v>
      </c>
      <c r="H15" s="98">
        <v>1.1970000000000001</v>
      </c>
      <c r="I15" s="98">
        <v>7.218</v>
      </c>
      <c r="J15" s="98">
        <v>0.28499999999999998</v>
      </c>
      <c r="K15" s="98">
        <v>-0.26300000000000001</v>
      </c>
      <c r="L15" s="98">
        <v>-0.26300000000000001</v>
      </c>
      <c r="M15" s="37"/>
      <c r="N15" s="37"/>
      <c r="O15" s="37"/>
      <c r="P15" s="98">
        <v>1.7999999999999999E-2</v>
      </c>
      <c r="Q15" s="37"/>
    </row>
    <row r="17" spans="4:12" ht="14" customHeight="1" x14ac:dyDescent="0.3">
      <c r="D17" s="5"/>
      <c r="E17" s="97"/>
      <c r="F17" s="97"/>
      <c r="G17" s="97"/>
      <c r="J17" s="97"/>
      <c r="K17" s="97"/>
      <c r="L17" s="97"/>
    </row>
    <row r="19" spans="4:12" ht="14" customHeight="1" x14ac:dyDescent="0.3">
      <c r="E19" s="87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F6:Q6" numberStoredAsText="1"/>
    <ignoredError sqref="G13 L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496C8"/>
  </sheetPr>
  <dimension ref="B1:Q68"/>
  <sheetViews>
    <sheetView showGridLines="0" showRowColHeaders="0" zoomScaleNormal="100" workbookViewId="0">
      <pane xSplit="2" ySplit="6" topLeftCell="C7" activePane="bottomRight" state="frozen"/>
      <selection activeCell="J22" sqref="J22"/>
      <selection pane="topRight" activeCell="J22" sqref="J22"/>
      <selection pane="bottomLeft" activeCell="J22" sqref="J22"/>
      <selection pane="bottomRight"/>
    </sheetView>
  </sheetViews>
  <sheetFormatPr defaultColWidth="10.08984375" defaultRowHeight="14" customHeight="1" x14ac:dyDescent="0.3"/>
  <cols>
    <col min="1" max="1" width="0.90625" style="2" customWidth="1"/>
    <col min="2" max="2" width="44.6328125" style="2" customWidth="1"/>
    <col min="3" max="3" width="10.08984375" style="2" customWidth="1"/>
    <col min="4" max="16384" width="10.08984375" style="2"/>
  </cols>
  <sheetData>
    <row r="1" spans="2:16" ht="5" customHeight="1" x14ac:dyDescent="0.3"/>
    <row r="2" spans="2:16" ht="14" customHeight="1" x14ac:dyDescent="0.3">
      <c r="C2" s="99"/>
      <c r="D2" s="101"/>
      <c r="E2" s="99"/>
    </row>
    <row r="3" spans="2:16" ht="14" customHeight="1" x14ac:dyDescent="0.35">
      <c r="C3" s="100"/>
      <c r="D3" s="101"/>
    </row>
    <row r="4" spans="2:16" ht="14" customHeight="1" x14ac:dyDescent="0.3">
      <c r="D4" s="101"/>
    </row>
    <row r="5" spans="2:16" ht="14" customHeight="1" x14ac:dyDescent="0.3">
      <c r="E5" s="101"/>
      <c r="F5" s="4"/>
    </row>
    <row r="6" spans="2:16" s="103" customFormat="1" ht="26.5" thickBot="1" x14ac:dyDescent="0.35">
      <c r="B6" s="125" t="s">
        <v>227</v>
      </c>
      <c r="C6" s="124">
        <v>44834</v>
      </c>
      <c r="D6" s="124">
        <v>44742</v>
      </c>
      <c r="E6" s="124">
        <v>44651</v>
      </c>
      <c r="F6" s="124">
        <v>44561</v>
      </c>
      <c r="G6" s="124">
        <v>44469</v>
      </c>
      <c r="H6" s="124">
        <v>44377</v>
      </c>
      <c r="I6" s="124">
        <v>44286</v>
      </c>
      <c r="J6" s="124">
        <v>44196</v>
      </c>
      <c r="K6" s="124">
        <v>44104</v>
      </c>
      <c r="L6" s="124">
        <v>44012</v>
      </c>
      <c r="M6" s="124">
        <v>43921</v>
      </c>
      <c r="N6" s="124">
        <v>43830</v>
      </c>
      <c r="O6" s="124">
        <v>43465</v>
      </c>
      <c r="P6" s="124">
        <v>43100</v>
      </c>
    </row>
    <row r="7" spans="2:16" ht="14" customHeight="1" thickTop="1" x14ac:dyDescent="0.3">
      <c r="B7" s="21" t="s">
        <v>4</v>
      </c>
      <c r="C7" s="21"/>
      <c r="D7" s="3"/>
    </row>
    <row r="8" spans="2:16" ht="14" customHeight="1" x14ac:dyDescent="0.3">
      <c r="B8" s="19" t="s">
        <v>5</v>
      </c>
      <c r="C8" s="9">
        <v>157031</v>
      </c>
      <c r="D8" s="9">
        <v>139657</v>
      </c>
      <c r="E8" s="9">
        <v>151272</v>
      </c>
      <c r="F8" s="9">
        <v>96994</v>
      </c>
      <c r="G8" s="9">
        <v>142392</v>
      </c>
      <c r="H8" s="9">
        <v>142231</v>
      </c>
      <c r="I8" s="9">
        <v>138765</v>
      </c>
      <c r="J8" s="9">
        <v>104851</v>
      </c>
      <c r="K8" s="9">
        <v>129735.27082000003</v>
      </c>
      <c r="L8" s="9">
        <v>127448.96810999999</v>
      </c>
      <c r="M8" s="9">
        <v>102764.63817000001</v>
      </c>
      <c r="N8" s="9">
        <v>83509</v>
      </c>
      <c r="O8" s="9">
        <v>109805</v>
      </c>
      <c r="P8" s="9">
        <v>71037</v>
      </c>
    </row>
    <row r="9" spans="2:16" ht="14" customHeight="1" x14ac:dyDescent="0.3">
      <c r="B9" s="19" t="s">
        <v>6</v>
      </c>
      <c r="C9" s="10">
        <v>0</v>
      </c>
      <c r="D9" s="10">
        <v>0</v>
      </c>
      <c r="E9" s="10">
        <v>0</v>
      </c>
      <c r="F9" s="10">
        <v>0</v>
      </c>
      <c r="G9" s="9">
        <v>18148</v>
      </c>
      <c r="H9" s="9">
        <v>17927</v>
      </c>
      <c r="I9" s="10">
        <v>17519</v>
      </c>
      <c r="J9" s="9">
        <v>17446</v>
      </c>
      <c r="K9" s="9" t="s">
        <v>213</v>
      </c>
      <c r="L9" s="9" t="s">
        <v>213</v>
      </c>
      <c r="M9" s="9" t="s">
        <v>213</v>
      </c>
      <c r="N9" s="10">
        <v>0</v>
      </c>
      <c r="O9" s="10">
        <v>0</v>
      </c>
      <c r="P9" s="9" t="s">
        <v>213</v>
      </c>
    </row>
    <row r="10" spans="2:16" ht="14" customHeight="1" x14ac:dyDescent="0.3">
      <c r="B10" s="19" t="s">
        <v>7</v>
      </c>
      <c r="C10" s="9">
        <v>335599</v>
      </c>
      <c r="D10" s="9">
        <v>328397</v>
      </c>
      <c r="E10" s="9">
        <v>287398</v>
      </c>
      <c r="F10" s="9">
        <v>316719</v>
      </c>
      <c r="G10" s="9">
        <v>300908</v>
      </c>
      <c r="H10" s="9">
        <v>260374</v>
      </c>
      <c r="I10" s="9">
        <v>225787</v>
      </c>
      <c r="J10" s="9">
        <v>263638</v>
      </c>
      <c r="K10" s="9" t="s">
        <v>213</v>
      </c>
      <c r="L10" s="9" t="s">
        <v>213</v>
      </c>
      <c r="M10" s="9" t="s">
        <v>213</v>
      </c>
      <c r="N10" s="9">
        <v>260623</v>
      </c>
      <c r="O10" s="9">
        <v>244427</v>
      </c>
      <c r="P10" s="9" t="s">
        <v>213</v>
      </c>
    </row>
    <row r="11" spans="2:16" ht="14" customHeight="1" x14ac:dyDescent="0.3">
      <c r="B11" s="19" t="s">
        <v>1</v>
      </c>
      <c r="C11" s="9">
        <v>391915</v>
      </c>
      <c r="D11" s="9">
        <v>334744</v>
      </c>
      <c r="E11" s="9">
        <v>326581</v>
      </c>
      <c r="F11" s="9">
        <v>241234</v>
      </c>
      <c r="G11" s="9">
        <v>230719</v>
      </c>
      <c r="H11" s="9">
        <v>239700</v>
      </c>
      <c r="I11" s="9">
        <v>200477</v>
      </c>
      <c r="J11" s="9">
        <v>160555</v>
      </c>
      <c r="K11" s="9" t="s">
        <v>213</v>
      </c>
      <c r="L11" s="9" t="s">
        <v>213</v>
      </c>
      <c r="M11" s="9" t="s">
        <v>213</v>
      </c>
      <c r="N11" s="9">
        <v>198393</v>
      </c>
      <c r="O11" s="9">
        <v>185829</v>
      </c>
      <c r="P11" s="9" t="s">
        <v>213</v>
      </c>
    </row>
    <row r="12" spans="2:16" ht="14" customHeight="1" x14ac:dyDescent="0.3">
      <c r="B12" s="19" t="s">
        <v>8</v>
      </c>
      <c r="C12" s="9">
        <v>8945</v>
      </c>
      <c r="D12" s="9">
        <v>9519</v>
      </c>
      <c r="E12" s="9">
        <v>13211</v>
      </c>
      <c r="F12" s="9">
        <v>20842</v>
      </c>
      <c r="G12" s="9">
        <v>14043</v>
      </c>
      <c r="H12" s="9"/>
      <c r="I12" s="9"/>
      <c r="J12" s="9">
        <v>3260</v>
      </c>
      <c r="K12" s="9" t="s">
        <v>213</v>
      </c>
      <c r="L12" s="9" t="s">
        <v>213</v>
      </c>
      <c r="M12" s="9" t="s">
        <v>213</v>
      </c>
      <c r="N12" s="9"/>
      <c r="O12" s="9"/>
      <c r="P12" s="9" t="s">
        <v>213</v>
      </c>
    </row>
    <row r="13" spans="2:16" ht="14" customHeight="1" x14ac:dyDescent="0.3">
      <c r="B13" s="19" t="s">
        <v>90</v>
      </c>
      <c r="C13" s="10">
        <v>0</v>
      </c>
      <c r="D13" s="10">
        <v>0</v>
      </c>
      <c r="E13" s="9"/>
      <c r="F13" s="9"/>
      <c r="G13" s="9"/>
      <c r="H13" s="9">
        <v>1782</v>
      </c>
      <c r="I13" s="9">
        <v>1782</v>
      </c>
      <c r="J13" s="9"/>
      <c r="K13" s="9" t="s">
        <v>213</v>
      </c>
      <c r="L13" s="9" t="s">
        <v>213</v>
      </c>
      <c r="M13" s="9" t="s">
        <v>213</v>
      </c>
      <c r="N13" s="9">
        <v>11189</v>
      </c>
      <c r="O13" s="9">
        <v>7665</v>
      </c>
      <c r="P13" s="9" t="s">
        <v>213</v>
      </c>
    </row>
    <row r="14" spans="2:16" ht="14" customHeight="1" x14ac:dyDescent="0.3">
      <c r="B14" s="19" t="s">
        <v>83</v>
      </c>
      <c r="C14" s="9">
        <v>30800</v>
      </c>
      <c r="D14" s="9">
        <v>34952</v>
      </c>
      <c r="E14" s="9">
        <v>39163</v>
      </c>
      <c r="F14" s="9">
        <v>33935</v>
      </c>
      <c r="G14" s="9">
        <v>9898</v>
      </c>
      <c r="H14" s="9"/>
      <c r="I14" s="9"/>
      <c r="J14" s="9">
        <v>1781</v>
      </c>
      <c r="K14" s="9" t="s">
        <v>213</v>
      </c>
      <c r="L14" s="9" t="s">
        <v>213</v>
      </c>
      <c r="M14" s="9" t="s">
        <v>213</v>
      </c>
      <c r="N14" s="9"/>
      <c r="O14" s="9"/>
      <c r="P14" s="9" t="s">
        <v>213</v>
      </c>
    </row>
    <row r="15" spans="2:16" ht="14" customHeight="1" x14ac:dyDescent="0.3">
      <c r="B15" s="19" t="s">
        <v>9</v>
      </c>
      <c r="C15" s="9">
        <v>8770</v>
      </c>
      <c r="D15" s="9">
        <v>19425</v>
      </c>
      <c r="E15" s="9">
        <v>29242</v>
      </c>
      <c r="F15" s="9">
        <v>12367</v>
      </c>
      <c r="G15" s="9">
        <v>26150</v>
      </c>
      <c r="H15" s="9">
        <v>18763</v>
      </c>
      <c r="I15" s="9">
        <v>29594</v>
      </c>
      <c r="J15" s="9">
        <v>27181</v>
      </c>
      <c r="K15" s="9" t="s">
        <v>213</v>
      </c>
      <c r="L15" s="9" t="s">
        <v>213</v>
      </c>
      <c r="M15" s="9" t="s">
        <v>213</v>
      </c>
      <c r="N15" s="9">
        <v>26610</v>
      </c>
      <c r="O15" s="9">
        <v>1837</v>
      </c>
      <c r="P15" s="9" t="s">
        <v>213</v>
      </c>
    </row>
    <row r="16" spans="2:16" ht="14" customHeight="1" x14ac:dyDescent="0.3">
      <c r="B16" s="19" t="s">
        <v>10</v>
      </c>
      <c r="C16" s="9">
        <v>5904</v>
      </c>
      <c r="D16" s="9">
        <v>6414</v>
      </c>
      <c r="E16" s="9">
        <v>6132</v>
      </c>
      <c r="F16" s="9">
        <v>5156</v>
      </c>
      <c r="G16" s="9">
        <v>3777</v>
      </c>
      <c r="H16" s="9">
        <v>3475</v>
      </c>
      <c r="I16" s="9">
        <v>3286</v>
      </c>
      <c r="J16" s="9">
        <v>4894</v>
      </c>
      <c r="K16" s="9" t="s">
        <v>213</v>
      </c>
      <c r="L16" s="9" t="s">
        <v>213</v>
      </c>
      <c r="M16" s="9" t="s">
        <v>213</v>
      </c>
      <c r="N16" s="9">
        <v>4866</v>
      </c>
      <c r="O16" s="9">
        <v>7401</v>
      </c>
      <c r="P16" s="9" t="s">
        <v>213</v>
      </c>
    </row>
    <row r="17" spans="2:17" ht="14" customHeight="1" x14ac:dyDescent="0.3">
      <c r="B17" s="20" t="s">
        <v>11</v>
      </c>
      <c r="C17" s="13">
        <f t="shared" ref="C17:N17" si="0">SUM(C8:C16)</f>
        <v>938964</v>
      </c>
      <c r="D17" s="13">
        <f t="shared" si="0"/>
        <v>873108</v>
      </c>
      <c r="E17" s="13">
        <f t="shared" si="0"/>
        <v>852999</v>
      </c>
      <c r="F17" s="13">
        <f t="shared" si="0"/>
        <v>727247</v>
      </c>
      <c r="G17" s="13">
        <f t="shared" si="0"/>
        <v>746035</v>
      </c>
      <c r="H17" s="13">
        <f t="shared" si="0"/>
        <v>684252</v>
      </c>
      <c r="I17" s="13">
        <f t="shared" si="0"/>
        <v>617210</v>
      </c>
      <c r="J17" s="13">
        <f t="shared" si="0"/>
        <v>583606</v>
      </c>
      <c r="K17" s="14" t="s">
        <v>213</v>
      </c>
      <c r="L17" s="14" t="s">
        <v>213</v>
      </c>
      <c r="M17" s="14" t="s">
        <v>213</v>
      </c>
      <c r="N17" s="13">
        <f t="shared" si="0"/>
        <v>585190</v>
      </c>
      <c r="O17" s="13">
        <f t="shared" ref="O17" si="1">SUM(O8:O16)</f>
        <v>556964</v>
      </c>
      <c r="P17" s="14" t="s">
        <v>213</v>
      </c>
      <c r="Q17" s="6"/>
    </row>
    <row r="18" spans="2:17" ht="14" customHeight="1" x14ac:dyDescent="0.3">
      <c r="B18" s="18"/>
      <c r="C18" s="1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2:17" ht="14" customHeight="1" x14ac:dyDescent="0.3">
      <c r="B19" s="19" t="s">
        <v>12</v>
      </c>
      <c r="C19" s="9">
        <v>1608</v>
      </c>
      <c r="D19" s="9">
        <v>1761</v>
      </c>
      <c r="E19" s="9">
        <v>1945</v>
      </c>
      <c r="F19" s="9">
        <v>1986</v>
      </c>
      <c r="G19" s="9">
        <v>4427</v>
      </c>
      <c r="H19" s="9">
        <v>2846</v>
      </c>
      <c r="I19" s="9">
        <v>5688</v>
      </c>
      <c r="J19" s="9">
        <v>2846</v>
      </c>
      <c r="K19" s="9" t="s">
        <v>213</v>
      </c>
      <c r="L19" s="9" t="s">
        <v>213</v>
      </c>
      <c r="M19" s="9" t="s">
        <v>213</v>
      </c>
      <c r="N19" s="9">
        <v>3059</v>
      </c>
      <c r="O19" s="9">
        <v>2959</v>
      </c>
      <c r="P19" s="9" t="s">
        <v>213</v>
      </c>
    </row>
    <row r="20" spans="2:17" ht="14" customHeight="1" x14ac:dyDescent="0.3">
      <c r="B20" s="19" t="s">
        <v>13</v>
      </c>
      <c r="C20" s="9">
        <v>67830</v>
      </c>
      <c r="D20" s="9">
        <v>67834</v>
      </c>
      <c r="E20" s="9">
        <v>65503</v>
      </c>
      <c r="F20" s="9">
        <v>90251</v>
      </c>
      <c r="G20" s="9">
        <v>66272</v>
      </c>
      <c r="H20" s="9">
        <v>89128</v>
      </c>
      <c r="I20" s="9">
        <v>22296</v>
      </c>
      <c r="J20" s="9">
        <v>29818</v>
      </c>
      <c r="K20" s="9" t="s">
        <v>213</v>
      </c>
      <c r="L20" s="9" t="s">
        <v>213</v>
      </c>
      <c r="M20" s="9" t="s">
        <v>213</v>
      </c>
      <c r="N20" s="9">
        <v>47437</v>
      </c>
      <c r="O20" s="9">
        <v>678</v>
      </c>
      <c r="P20" s="9" t="s">
        <v>213</v>
      </c>
    </row>
    <row r="21" spans="2:17" ht="14" customHeight="1" x14ac:dyDescent="0.3">
      <c r="B21" s="19" t="s">
        <v>14</v>
      </c>
      <c r="C21" s="9">
        <v>5601</v>
      </c>
      <c r="D21" s="9">
        <v>5656</v>
      </c>
      <c r="E21" s="9">
        <v>5533</v>
      </c>
      <c r="F21" s="9">
        <v>5498</v>
      </c>
      <c r="G21" s="9">
        <v>5430</v>
      </c>
      <c r="H21" s="9">
        <v>10279</v>
      </c>
      <c r="I21" s="9">
        <v>10079</v>
      </c>
      <c r="J21" s="9">
        <v>8009</v>
      </c>
      <c r="K21" s="9" t="s">
        <v>213</v>
      </c>
      <c r="L21" s="9" t="s">
        <v>213</v>
      </c>
      <c r="M21" s="9" t="s">
        <v>213</v>
      </c>
      <c r="N21" s="9">
        <v>6927</v>
      </c>
      <c r="O21" s="9">
        <v>19446</v>
      </c>
      <c r="P21" s="9" t="s">
        <v>213</v>
      </c>
    </row>
    <row r="22" spans="2:17" ht="14" customHeight="1" x14ac:dyDescent="0.3">
      <c r="B22" s="19" t="s">
        <v>15</v>
      </c>
      <c r="C22" s="9">
        <v>1145</v>
      </c>
      <c r="D22" s="9">
        <v>868</v>
      </c>
      <c r="E22" s="9">
        <v>350</v>
      </c>
      <c r="F22" s="9">
        <v>458</v>
      </c>
      <c r="G22" s="9">
        <v>373</v>
      </c>
      <c r="H22" s="9">
        <v>7920</v>
      </c>
      <c r="I22" s="9">
        <v>9074</v>
      </c>
      <c r="J22" s="9">
        <v>10227</v>
      </c>
      <c r="K22" s="9" t="s">
        <v>213</v>
      </c>
      <c r="L22" s="9" t="s">
        <v>213</v>
      </c>
      <c r="M22" s="9" t="s">
        <v>213</v>
      </c>
      <c r="N22" s="9">
        <v>56081</v>
      </c>
      <c r="O22" s="9">
        <v>53260</v>
      </c>
      <c r="P22" s="9" t="s">
        <v>213</v>
      </c>
    </row>
    <row r="23" spans="2:17" ht="14" customHeight="1" x14ac:dyDescent="0.3">
      <c r="B23" s="20" t="s">
        <v>17</v>
      </c>
      <c r="C23" s="13">
        <f t="shared" ref="C23:J23" si="2">SUM(C19:C22)</f>
        <v>76184</v>
      </c>
      <c r="D23" s="13">
        <f t="shared" si="2"/>
        <v>76119</v>
      </c>
      <c r="E23" s="13">
        <f t="shared" si="2"/>
        <v>73331</v>
      </c>
      <c r="F23" s="13">
        <f t="shared" si="2"/>
        <v>98193</v>
      </c>
      <c r="G23" s="13">
        <f t="shared" si="2"/>
        <v>76502</v>
      </c>
      <c r="H23" s="13">
        <f t="shared" si="2"/>
        <v>110173</v>
      </c>
      <c r="I23" s="13">
        <f t="shared" si="2"/>
        <v>47137</v>
      </c>
      <c r="J23" s="13">
        <f t="shared" si="2"/>
        <v>50900</v>
      </c>
      <c r="K23" s="14" t="s">
        <v>213</v>
      </c>
      <c r="L23" s="14" t="s">
        <v>213</v>
      </c>
      <c r="M23" s="14" t="s">
        <v>213</v>
      </c>
      <c r="N23" s="13">
        <f t="shared" ref="N23:O23" si="3">SUM(N19:N22)</f>
        <v>113504</v>
      </c>
      <c r="O23" s="13">
        <f t="shared" si="3"/>
        <v>76343</v>
      </c>
      <c r="P23" s="14" t="s">
        <v>213</v>
      </c>
      <c r="Q23" s="6"/>
    </row>
    <row r="24" spans="2:17" ht="14" customHeight="1" x14ac:dyDescent="0.3">
      <c r="B24" s="18"/>
      <c r="C24" s="1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7" ht="14" customHeight="1" x14ac:dyDescent="0.3">
      <c r="B25" s="19" t="s">
        <v>191</v>
      </c>
      <c r="C25" s="9">
        <v>142</v>
      </c>
      <c r="D25" s="9">
        <v>142</v>
      </c>
      <c r="E25" s="9">
        <v>142</v>
      </c>
      <c r="F25" s="9">
        <v>142</v>
      </c>
      <c r="G25" s="9">
        <v>142</v>
      </c>
      <c r="H25" s="9">
        <v>142</v>
      </c>
      <c r="I25" s="9">
        <v>142</v>
      </c>
      <c r="J25" s="9">
        <v>142</v>
      </c>
      <c r="K25" s="9" t="s">
        <v>213</v>
      </c>
      <c r="L25" s="9" t="s">
        <v>213</v>
      </c>
      <c r="M25" s="9" t="s">
        <v>213</v>
      </c>
      <c r="N25" s="9">
        <v>142</v>
      </c>
      <c r="O25" s="9">
        <v>142</v>
      </c>
      <c r="P25" s="9" t="s">
        <v>213</v>
      </c>
    </row>
    <row r="26" spans="2:17" ht="14" customHeight="1" x14ac:dyDescent="0.3">
      <c r="B26" s="19" t="s">
        <v>2</v>
      </c>
      <c r="C26" s="9">
        <v>372187</v>
      </c>
      <c r="D26" s="9">
        <v>347851</v>
      </c>
      <c r="E26" s="9">
        <v>332130</v>
      </c>
      <c r="F26" s="9">
        <v>325683</v>
      </c>
      <c r="G26" s="9">
        <v>290768</v>
      </c>
      <c r="H26" s="9">
        <v>286286</v>
      </c>
      <c r="I26" s="9">
        <v>276934</v>
      </c>
      <c r="J26" s="9">
        <v>269407</v>
      </c>
      <c r="K26" s="9" t="s">
        <v>213</v>
      </c>
      <c r="L26" s="9" t="s">
        <v>213</v>
      </c>
      <c r="M26" s="9" t="s">
        <v>213</v>
      </c>
      <c r="N26" s="9">
        <v>277251</v>
      </c>
      <c r="O26" s="9">
        <v>249206</v>
      </c>
      <c r="P26" s="9" t="s">
        <v>213</v>
      </c>
    </row>
    <row r="27" spans="2:17" ht="14" customHeight="1" x14ac:dyDescent="0.3">
      <c r="B27" s="19" t="s">
        <v>3</v>
      </c>
      <c r="C27" s="9">
        <v>96648</v>
      </c>
      <c r="D27" s="9">
        <v>97396</v>
      </c>
      <c r="E27" s="9">
        <v>65077</v>
      </c>
      <c r="F27" s="9">
        <v>65128</v>
      </c>
      <c r="G27" s="9">
        <v>65088</v>
      </c>
      <c r="H27" s="9">
        <v>65653</v>
      </c>
      <c r="I27" s="9">
        <v>65096</v>
      </c>
      <c r="J27" s="9">
        <v>65454</v>
      </c>
      <c r="K27" s="9" t="s">
        <v>213</v>
      </c>
      <c r="L27" s="9" t="s">
        <v>213</v>
      </c>
      <c r="M27" s="9" t="s">
        <v>213</v>
      </c>
      <c r="N27" s="9">
        <v>66422</v>
      </c>
      <c r="O27" s="9">
        <v>61082</v>
      </c>
      <c r="P27" s="9" t="s">
        <v>213</v>
      </c>
    </row>
    <row r="28" spans="2:17" ht="14" customHeight="1" x14ac:dyDescent="0.3">
      <c r="B28" s="20" t="s">
        <v>18</v>
      </c>
      <c r="C28" s="13">
        <f t="shared" ref="C28:J28" si="4">SUM(C25:C27,C19:C22)</f>
        <v>545161</v>
      </c>
      <c r="D28" s="13">
        <f t="shared" si="4"/>
        <v>521508</v>
      </c>
      <c r="E28" s="13">
        <f t="shared" si="4"/>
        <v>470680</v>
      </c>
      <c r="F28" s="13">
        <f t="shared" si="4"/>
        <v>489146</v>
      </c>
      <c r="G28" s="13">
        <f t="shared" si="4"/>
        <v>432500</v>
      </c>
      <c r="H28" s="13">
        <f t="shared" si="4"/>
        <v>462254</v>
      </c>
      <c r="I28" s="13">
        <f t="shared" si="4"/>
        <v>389309</v>
      </c>
      <c r="J28" s="13">
        <f t="shared" si="4"/>
        <v>385903</v>
      </c>
      <c r="K28" s="14" t="s">
        <v>213</v>
      </c>
      <c r="L28" s="14" t="s">
        <v>213</v>
      </c>
      <c r="M28" s="14" t="s">
        <v>213</v>
      </c>
      <c r="N28" s="13">
        <f>SUM(N25:N27,N19:N22)</f>
        <v>457319</v>
      </c>
      <c r="O28" s="13">
        <f>SUM(O25:O27,O19:O22)</f>
        <v>386773</v>
      </c>
      <c r="P28" s="14" t="s">
        <v>213</v>
      </c>
    </row>
    <row r="29" spans="2:17" ht="14" customHeight="1" x14ac:dyDescent="0.3">
      <c r="B29" s="18"/>
      <c r="C29" s="1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7" ht="14" customHeight="1" x14ac:dyDescent="0.3">
      <c r="B30" s="17" t="s">
        <v>19</v>
      </c>
      <c r="C30" s="13">
        <f t="shared" ref="C30:J30" si="5">SUM(C28,C17)</f>
        <v>1484125</v>
      </c>
      <c r="D30" s="13">
        <f t="shared" si="5"/>
        <v>1394616</v>
      </c>
      <c r="E30" s="13">
        <f t="shared" si="5"/>
        <v>1323679</v>
      </c>
      <c r="F30" s="13">
        <f t="shared" si="5"/>
        <v>1216393</v>
      </c>
      <c r="G30" s="13">
        <f t="shared" si="5"/>
        <v>1178535</v>
      </c>
      <c r="H30" s="13">
        <f t="shared" si="5"/>
        <v>1146506</v>
      </c>
      <c r="I30" s="13">
        <f t="shared" si="5"/>
        <v>1006519</v>
      </c>
      <c r="J30" s="13">
        <f t="shared" si="5"/>
        <v>969509</v>
      </c>
      <c r="K30" s="14" t="s">
        <v>213</v>
      </c>
      <c r="L30" s="14" t="s">
        <v>213</v>
      </c>
      <c r="M30" s="14" t="s">
        <v>213</v>
      </c>
      <c r="N30" s="13">
        <f>SUM(N28,N17)</f>
        <v>1042509</v>
      </c>
      <c r="O30" s="13">
        <f>SUM(O28,O17)</f>
        <v>943737</v>
      </c>
      <c r="P30" s="14" t="s">
        <v>213</v>
      </c>
      <c r="Q30" s="6"/>
    </row>
    <row r="31" spans="2:17" ht="14" customHeight="1" x14ac:dyDescent="0.3">
      <c r="B31" s="18"/>
      <c r="C31" s="1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7" ht="14" customHeight="1" x14ac:dyDescent="0.3">
      <c r="B32" s="21" t="s">
        <v>228</v>
      </c>
      <c r="C32" s="21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7" ht="14" customHeight="1" x14ac:dyDescent="0.3">
      <c r="B33" s="19" t="s">
        <v>0</v>
      </c>
      <c r="C33" s="9">
        <v>94568</v>
      </c>
      <c r="D33" s="9">
        <v>73432</v>
      </c>
      <c r="E33" s="9">
        <v>64298</v>
      </c>
      <c r="F33" s="9">
        <v>40545</v>
      </c>
      <c r="G33" s="9">
        <v>54724</v>
      </c>
      <c r="H33" s="9">
        <v>59551</v>
      </c>
      <c r="I33" s="9">
        <v>52590</v>
      </c>
      <c r="J33" s="9">
        <v>41795</v>
      </c>
      <c r="K33" s="9" t="s">
        <v>213</v>
      </c>
      <c r="L33" s="9" t="s">
        <v>213</v>
      </c>
      <c r="M33" s="9" t="s">
        <v>213</v>
      </c>
      <c r="N33" s="9">
        <v>39641</v>
      </c>
      <c r="O33" s="9">
        <v>23991</v>
      </c>
      <c r="P33" s="9" t="s">
        <v>213</v>
      </c>
      <c r="Q33" s="4"/>
    </row>
    <row r="34" spans="2:17" ht="14" customHeight="1" x14ac:dyDescent="0.3">
      <c r="B34" s="19" t="s">
        <v>20</v>
      </c>
      <c r="C34" s="9">
        <v>12568</v>
      </c>
      <c r="D34" s="9">
        <v>12273</v>
      </c>
      <c r="E34" s="9">
        <v>10842</v>
      </c>
      <c r="F34" s="9">
        <v>11512</v>
      </c>
      <c r="G34" s="9">
        <v>11053</v>
      </c>
      <c r="H34" s="9">
        <v>15131</v>
      </c>
      <c r="I34" s="9">
        <v>14473</v>
      </c>
      <c r="J34" s="9">
        <v>12223</v>
      </c>
      <c r="K34" s="9">
        <v>30015.662700000001</v>
      </c>
      <c r="L34" s="9">
        <v>28684.754209999999</v>
      </c>
      <c r="M34" s="9">
        <v>27148.11348</v>
      </c>
      <c r="N34" s="9">
        <v>25293</v>
      </c>
      <c r="O34" s="9">
        <v>72938</v>
      </c>
      <c r="P34" s="9">
        <v>69596</v>
      </c>
      <c r="Q34" s="4"/>
    </row>
    <row r="35" spans="2:17" ht="14" customHeight="1" x14ac:dyDescent="0.3">
      <c r="B35" s="19" t="s">
        <v>21</v>
      </c>
      <c r="C35" s="9">
        <v>52171</v>
      </c>
      <c r="D35" s="9">
        <v>45412</v>
      </c>
      <c r="E35" s="9">
        <v>32360</v>
      </c>
      <c r="F35" s="9">
        <v>27195</v>
      </c>
      <c r="G35" s="9">
        <v>34541</v>
      </c>
      <c r="H35" s="9">
        <v>28157</v>
      </c>
      <c r="I35" s="9">
        <v>19345</v>
      </c>
      <c r="J35" s="9">
        <v>16767</v>
      </c>
      <c r="K35" s="9" t="s">
        <v>213</v>
      </c>
      <c r="L35" s="9" t="s">
        <v>213</v>
      </c>
      <c r="M35" s="9" t="s">
        <v>213</v>
      </c>
      <c r="N35" s="9">
        <v>19518</v>
      </c>
      <c r="O35" s="9">
        <v>19288</v>
      </c>
      <c r="P35" s="9" t="s">
        <v>213</v>
      </c>
      <c r="Q35" s="4"/>
    </row>
    <row r="36" spans="2:17" ht="14" customHeight="1" x14ac:dyDescent="0.3">
      <c r="B36" s="19" t="s">
        <v>84</v>
      </c>
      <c r="C36" s="9">
        <v>5952</v>
      </c>
      <c r="D36" s="9">
        <v>7343</v>
      </c>
      <c r="E36" s="10">
        <v>0</v>
      </c>
      <c r="F36" s="9">
        <v>4</v>
      </c>
      <c r="G36" s="9">
        <v>8852</v>
      </c>
      <c r="H36" s="9">
        <v>9617</v>
      </c>
      <c r="I36" s="9">
        <v>7239</v>
      </c>
      <c r="J36" s="10">
        <v>0</v>
      </c>
      <c r="K36" s="9" t="s">
        <v>213</v>
      </c>
      <c r="L36" s="9" t="s">
        <v>213</v>
      </c>
      <c r="M36" s="9" t="s">
        <v>213</v>
      </c>
      <c r="N36" s="9">
        <v>1475</v>
      </c>
      <c r="O36" s="9">
        <v>1619</v>
      </c>
      <c r="P36" s="9" t="s">
        <v>213</v>
      </c>
      <c r="Q36" s="4"/>
    </row>
    <row r="37" spans="2:17" ht="14" customHeight="1" x14ac:dyDescent="0.3">
      <c r="B37" s="19" t="s">
        <v>22</v>
      </c>
      <c r="C37" s="9">
        <v>25051</v>
      </c>
      <c r="D37" s="9">
        <v>29534</v>
      </c>
      <c r="E37" s="9">
        <v>20561</v>
      </c>
      <c r="F37" s="9">
        <v>27417</v>
      </c>
      <c r="G37" s="9">
        <v>24383</v>
      </c>
      <c r="H37" s="9">
        <v>17481</v>
      </c>
      <c r="I37" s="9">
        <v>20675</v>
      </c>
      <c r="J37" s="9">
        <v>16866</v>
      </c>
      <c r="K37" s="9" t="s">
        <v>213</v>
      </c>
      <c r="L37" s="9" t="s">
        <v>213</v>
      </c>
      <c r="M37" s="9" t="s">
        <v>213</v>
      </c>
      <c r="N37" s="9">
        <v>13239</v>
      </c>
      <c r="O37" s="9">
        <v>12773</v>
      </c>
      <c r="P37" s="9" t="s">
        <v>213</v>
      </c>
      <c r="Q37" s="4"/>
    </row>
    <row r="38" spans="2:17" ht="14" customHeight="1" x14ac:dyDescent="0.3">
      <c r="B38" s="19" t="s">
        <v>23</v>
      </c>
      <c r="C38" s="9">
        <v>13994</v>
      </c>
      <c r="D38" s="9">
        <v>24494</v>
      </c>
      <c r="E38" s="9">
        <v>6750</v>
      </c>
      <c r="F38" s="9">
        <v>21250</v>
      </c>
      <c r="G38" s="9">
        <v>8340</v>
      </c>
      <c r="H38" s="9">
        <v>14940</v>
      </c>
      <c r="I38" s="9">
        <v>21540</v>
      </c>
      <c r="J38" s="9">
        <v>30440</v>
      </c>
      <c r="K38" s="9">
        <v>19628.547699999999</v>
      </c>
      <c r="L38" s="9">
        <v>27156.270799999998</v>
      </c>
      <c r="M38" s="9">
        <v>29517.868429999995</v>
      </c>
      <c r="N38" s="9">
        <v>18545</v>
      </c>
      <c r="O38" s="9">
        <v>15559</v>
      </c>
      <c r="P38" s="9">
        <v>24572</v>
      </c>
      <c r="Q38" s="4"/>
    </row>
    <row r="39" spans="2:17" ht="14" customHeight="1" x14ac:dyDescent="0.3">
      <c r="B39" s="19" t="s">
        <v>24</v>
      </c>
      <c r="C39" s="9">
        <v>4796</v>
      </c>
      <c r="D39" s="9">
        <v>4725</v>
      </c>
      <c r="E39" s="9">
        <v>3435</v>
      </c>
      <c r="F39" s="9">
        <v>3958</v>
      </c>
      <c r="G39" s="9">
        <v>3175</v>
      </c>
      <c r="H39" s="9">
        <v>4746</v>
      </c>
      <c r="I39" s="9">
        <v>4071</v>
      </c>
      <c r="J39" s="9">
        <v>4262</v>
      </c>
      <c r="K39" s="9" t="s">
        <v>213</v>
      </c>
      <c r="L39" s="9" t="s">
        <v>213</v>
      </c>
      <c r="M39" s="9" t="s">
        <v>213</v>
      </c>
      <c r="N39" s="9">
        <v>3496</v>
      </c>
      <c r="O39" s="9">
        <v>4551</v>
      </c>
      <c r="P39" s="9" t="s">
        <v>213</v>
      </c>
      <c r="Q39" s="4"/>
    </row>
    <row r="40" spans="2:17" ht="14" customHeight="1" x14ac:dyDescent="0.3">
      <c r="B40" s="19" t="s">
        <v>25</v>
      </c>
      <c r="C40" s="9">
        <v>10917</v>
      </c>
      <c r="D40" s="9">
        <v>9355</v>
      </c>
      <c r="E40" s="9">
        <v>9023</v>
      </c>
      <c r="F40" s="9">
        <v>8725</v>
      </c>
      <c r="G40" s="9">
        <v>5052</v>
      </c>
      <c r="H40" s="9">
        <v>6070</v>
      </c>
      <c r="I40" s="9">
        <v>5997</v>
      </c>
      <c r="J40" s="9">
        <v>5791</v>
      </c>
      <c r="K40" s="9" t="s">
        <v>213</v>
      </c>
      <c r="L40" s="9" t="s">
        <v>213</v>
      </c>
      <c r="M40" s="9" t="s">
        <v>213</v>
      </c>
      <c r="N40" s="9">
        <v>3955</v>
      </c>
      <c r="O40" s="9">
        <v>0</v>
      </c>
      <c r="P40" s="9" t="s">
        <v>213</v>
      </c>
      <c r="Q40" s="4"/>
    </row>
    <row r="41" spans="2:17" ht="14" customHeight="1" x14ac:dyDescent="0.3">
      <c r="B41" s="20" t="s">
        <v>26</v>
      </c>
      <c r="C41" s="13">
        <f t="shared" ref="C41:J41" si="6">SUM(C33:C40)</f>
        <v>220017</v>
      </c>
      <c r="D41" s="13">
        <f t="shared" si="6"/>
        <v>206568</v>
      </c>
      <c r="E41" s="13">
        <f t="shared" si="6"/>
        <v>147269</v>
      </c>
      <c r="F41" s="13">
        <f t="shared" si="6"/>
        <v>140606</v>
      </c>
      <c r="G41" s="13">
        <f t="shared" si="6"/>
        <v>150120</v>
      </c>
      <c r="H41" s="13">
        <f t="shared" si="6"/>
        <v>155693</v>
      </c>
      <c r="I41" s="13">
        <f t="shared" si="6"/>
        <v>145930</v>
      </c>
      <c r="J41" s="13">
        <f t="shared" si="6"/>
        <v>128144</v>
      </c>
      <c r="K41" s="14" t="s">
        <v>213</v>
      </c>
      <c r="L41" s="14" t="s">
        <v>213</v>
      </c>
      <c r="M41" s="14" t="s">
        <v>213</v>
      </c>
      <c r="N41" s="13">
        <f t="shared" ref="N41:O41" si="7">SUM(N33:N40)</f>
        <v>125162</v>
      </c>
      <c r="O41" s="13">
        <f t="shared" si="7"/>
        <v>150719</v>
      </c>
      <c r="P41" s="14" t="s">
        <v>213</v>
      </c>
    </row>
    <row r="42" spans="2:17" ht="14" customHeight="1" x14ac:dyDescent="0.3">
      <c r="B42" s="18"/>
      <c r="C42" s="1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2:17" ht="14" customHeight="1" x14ac:dyDescent="0.3">
      <c r="B43" s="19" t="s">
        <v>20</v>
      </c>
      <c r="C43" s="9">
        <v>79477</v>
      </c>
      <c r="D43" s="9">
        <v>76999</v>
      </c>
      <c r="E43" s="9">
        <v>69667</v>
      </c>
      <c r="F43" s="9">
        <v>33603</v>
      </c>
      <c r="G43" s="9">
        <v>10921</v>
      </c>
      <c r="H43" s="9">
        <v>5042</v>
      </c>
      <c r="I43" s="9">
        <v>8436</v>
      </c>
      <c r="J43" s="9">
        <v>9083</v>
      </c>
      <c r="K43" s="9">
        <v>11765.8688</v>
      </c>
      <c r="L43" s="9">
        <v>12547.400189999997</v>
      </c>
      <c r="M43" s="9">
        <v>12772.489189999997</v>
      </c>
      <c r="N43" s="9">
        <v>10895</v>
      </c>
      <c r="O43" s="9">
        <v>22356</v>
      </c>
      <c r="P43" s="9">
        <v>53483</v>
      </c>
    </row>
    <row r="44" spans="2:17" ht="14" customHeight="1" x14ac:dyDescent="0.3">
      <c r="B44" s="19" t="s">
        <v>22</v>
      </c>
      <c r="C44" s="9">
        <v>2572</v>
      </c>
      <c r="D44" s="9">
        <v>2918</v>
      </c>
      <c r="E44" s="9">
        <v>3252</v>
      </c>
      <c r="F44" s="9">
        <v>3584</v>
      </c>
      <c r="G44" s="9">
        <v>3397</v>
      </c>
      <c r="H44" s="9">
        <v>3977</v>
      </c>
      <c r="I44" s="9">
        <v>4312</v>
      </c>
      <c r="J44" s="9">
        <v>5255</v>
      </c>
      <c r="K44" s="9" t="s">
        <v>213</v>
      </c>
      <c r="L44" s="9" t="s">
        <v>213</v>
      </c>
      <c r="M44" s="9" t="s">
        <v>213</v>
      </c>
      <c r="N44" s="9">
        <v>6524</v>
      </c>
      <c r="O44" s="9">
        <v>231</v>
      </c>
      <c r="P44" s="9" t="s">
        <v>213</v>
      </c>
    </row>
    <row r="45" spans="2:17" ht="14" customHeight="1" x14ac:dyDescent="0.3">
      <c r="B45" s="19" t="s">
        <v>192</v>
      </c>
      <c r="C45" s="9">
        <v>26566</v>
      </c>
      <c r="D45" s="9">
        <v>29065</v>
      </c>
      <c r="E45" s="9">
        <v>35149</v>
      </c>
      <c r="F45" s="9">
        <v>40643</v>
      </c>
      <c r="G45" s="9">
        <v>30865</v>
      </c>
      <c r="H45" s="9">
        <v>59343</v>
      </c>
      <c r="I45" s="9">
        <v>54521</v>
      </c>
      <c r="J45" s="9">
        <v>56763</v>
      </c>
      <c r="K45" s="9" t="s">
        <v>213</v>
      </c>
      <c r="L45" s="9" t="s">
        <v>213</v>
      </c>
      <c r="M45" s="9" t="s">
        <v>213</v>
      </c>
      <c r="N45" s="9">
        <v>66103</v>
      </c>
      <c r="O45" s="9">
        <v>37801</v>
      </c>
      <c r="P45" s="9" t="s">
        <v>213</v>
      </c>
    </row>
    <row r="46" spans="2:17" ht="14" customHeight="1" x14ac:dyDescent="0.3">
      <c r="B46" s="19" t="s">
        <v>27</v>
      </c>
      <c r="C46" s="9">
        <v>13274</v>
      </c>
      <c r="D46" s="9">
        <v>12894</v>
      </c>
      <c r="E46" s="9">
        <v>13523</v>
      </c>
      <c r="F46" s="9">
        <v>14150</v>
      </c>
      <c r="G46" s="9">
        <v>13561</v>
      </c>
      <c r="H46" s="9">
        <v>17546</v>
      </c>
      <c r="I46" s="9">
        <v>3188</v>
      </c>
      <c r="J46" s="9">
        <v>3443</v>
      </c>
      <c r="K46" s="9" t="s">
        <v>213</v>
      </c>
      <c r="L46" s="9" t="s">
        <v>213</v>
      </c>
      <c r="M46" s="9" t="s">
        <v>213</v>
      </c>
      <c r="N46" s="9">
        <v>14468</v>
      </c>
      <c r="O46" s="9">
        <v>29883</v>
      </c>
      <c r="P46" s="9" t="s">
        <v>213</v>
      </c>
    </row>
    <row r="47" spans="2:17" ht="14" customHeight="1" x14ac:dyDescent="0.3">
      <c r="B47" s="19" t="s">
        <v>16</v>
      </c>
      <c r="C47" s="9">
        <v>1359</v>
      </c>
      <c r="D47" s="9">
        <v>745</v>
      </c>
      <c r="E47" s="9">
        <v>835</v>
      </c>
      <c r="F47" s="9">
        <v>925</v>
      </c>
      <c r="G47" s="9">
        <v>1016</v>
      </c>
      <c r="H47" s="9">
        <v>4612</v>
      </c>
      <c r="I47" s="9">
        <v>1194</v>
      </c>
      <c r="J47" s="9">
        <v>1285</v>
      </c>
      <c r="K47" s="9" t="s">
        <v>213</v>
      </c>
      <c r="L47" s="9" t="s">
        <v>213</v>
      </c>
      <c r="M47" s="9" t="s">
        <v>213</v>
      </c>
      <c r="N47" s="9">
        <v>0</v>
      </c>
      <c r="O47" s="9">
        <v>0</v>
      </c>
      <c r="P47" s="9" t="s">
        <v>213</v>
      </c>
    </row>
    <row r="48" spans="2:17" ht="14" customHeight="1" x14ac:dyDescent="0.3">
      <c r="B48" s="19" t="s">
        <v>28</v>
      </c>
      <c r="C48" s="9">
        <v>72647</v>
      </c>
      <c r="D48" s="9">
        <v>45788</v>
      </c>
      <c r="E48" s="9">
        <v>48265</v>
      </c>
      <c r="F48" s="9">
        <v>50627</v>
      </c>
      <c r="G48" s="9">
        <v>40456</v>
      </c>
      <c r="H48" s="9">
        <v>41537</v>
      </c>
      <c r="I48" s="9">
        <v>31199</v>
      </c>
      <c r="J48" s="9">
        <v>31199</v>
      </c>
      <c r="K48" s="9" t="s">
        <v>213</v>
      </c>
      <c r="L48" s="9" t="s">
        <v>213</v>
      </c>
      <c r="M48" s="9" t="s">
        <v>213</v>
      </c>
      <c r="N48" s="9">
        <v>34216</v>
      </c>
      <c r="O48" s="9">
        <v>0</v>
      </c>
      <c r="P48" s="9" t="s">
        <v>213</v>
      </c>
    </row>
    <row r="49" spans="2:16" ht="14" customHeight="1" x14ac:dyDescent="0.3">
      <c r="B49" s="20" t="s">
        <v>29</v>
      </c>
      <c r="C49" s="13">
        <f t="shared" ref="C49:N49" si="8">SUM(C43:C48)</f>
        <v>195895</v>
      </c>
      <c r="D49" s="13">
        <f t="shared" si="8"/>
        <v>168409</v>
      </c>
      <c r="E49" s="13">
        <f t="shared" si="8"/>
        <v>170691</v>
      </c>
      <c r="F49" s="13">
        <f t="shared" si="8"/>
        <v>143532</v>
      </c>
      <c r="G49" s="13">
        <f t="shared" si="8"/>
        <v>100216</v>
      </c>
      <c r="H49" s="13">
        <f t="shared" si="8"/>
        <v>132057</v>
      </c>
      <c r="I49" s="13">
        <f t="shared" si="8"/>
        <v>102850</v>
      </c>
      <c r="J49" s="13">
        <f t="shared" si="8"/>
        <v>107028</v>
      </c>
      <c r="K49" s="14" t="s">
        <v>213</v>
      </c>
      <c r="L49" s="14" t="s">
        <v>213</v>
      </c>
      <c r="M49" s="14" t="s">
        <v>213</v>
      </c>
      <c r="N49" s="13">
        <f t="shared" si="8"/>
        <v>132206</v>
      </c>
      <c r="O49" s="13">
        <f t="shared" ref="O49" si="9">SUM(O43:O48)</f>
        <v>90271</v>
      </c>
      <c r="P49" s="14" t="s">
        <v>213</v>
      </c>
    </row>
    <row r="50" spans="2:16" ht="14" customHeight="1" x14ac:dyDescent="0.3">
      <c r="B50" s="18"/>
      <c r="C50" s="1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16" ht="14" customHeight="1" x14ac:dyDescent="0.3">
      <c r="B51" s="21" t="s">
        <v>229</v>
      </c>
      <c r="C51" s="21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2:16" ht="14" customHeight="1" x14ac:dyDescent="0.3">
      <c r="B52" s="19" t="s">
        <v>30</v>
      </c>
      <c r="C52" s="9">
        <v>728619</v>
      </c>
      <c r="D52" s="9">
        <v>628156</v>
      </c>
      <c r="E52" s="9">
        <v>628156</v>
      </c>
      <c r="F52" s="9">
        <v>628156</v>
      </c>
      <c r="G52" s="9">
        <v>628156</v>
      </c>
      <c r="H52" s="9">
        <v>628156</v>
      </c>
      <c r="I52" s="9">
        <v>628156</v>
      </c>
      <c r="J52" s="9">
        <v>628156</v>
      </c>
      <c r="K52" s="9" t="s">
        <v>213</v>
      </c>
      <c r="L52" s="9" t="s">
        <v>213</v>
      </c>
      <c r="M52" s="9" t="s">
        <v>213</v>
      </c>
      <c r="N52" s="9">
        <v>545260</v>
      </c>
      <c r="O52" s="9">
        <v>500754</v>
      </c>
      <c r="P52" s="9" t="s">
        <v>213</v>
      </c>
    </row>
    <row r="53" spans="2:16" ht="14" customHeight="1" x14ac:dyDescent="0.3">
      <c r="B53" s="19" t="s">
        <v>31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9">
        <v>7973</v>
      </c>
      <c r="I53" s="9">
        <v>7973</v>
      </c>
      <c r="J53" s="9">
        <v>7973</v>
      </c>
      <c r="K53" s="9" t="s">
        <v>213</v>
      </c>
      <c r="L53" s="9" t="s">
        <v>213</v>
      </c>
      <c r="M53" s="9" t="s">
        <v>213</v>
      </c>
      <c r="N53" s="9">
        <v>7973</v>
      </c>
      <c r="O53" s="9">
        <v>1972</v>
      </c>
      <c r="P53" s="9" t="s">
        <v>213</v>
      </c>
    </row>
    <row r="54" spans="2:16" ht="14" customHeight="1" x14ac:dyDescent="0.3">
      <c r="B54" s="19" t="s">
        <v>32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9">
        <v>-7973</v>
      </c>
      <c r="I54" s="9">
        <v>-7973</v>
      </c>
      <c r="J54" s="9">
        <v>-7973</v>
      </c>
      <c r="K54" s="9" t="s">
        <v>213</v>
      </c>
      <c r="L54" s="9" t="s">
        <v>213</v>
      </c>
      <c r="M54" s="9" t="s">
        <v>213</v>
      </c>
      <c r="N54" s="9">
        <v>-7973</v>
      </c>
      <c r="O54" s="9">
        <v>-1972</v>
      </c>
      <c r="P54" s="9" t="s">
        <v>213</v>
      </c>
    </row>
    <row r="55" spans="2:16" ht="14" customHeight="1" x14ac:dyDescent="0.3">
      <c r="B55" s="19" t="s">
        <v>33</v>
      </c>
      <c r="C55" s="9">
        <v>105234</v>
      </c>
      <c r="D55" s="9">
        <v>107681</v>
      </c>
      <c r="E55" s="9">
        <v>115620</v>
      </c>
      <c r="F55" s="9">
        <v>108661</v>
      </c>
      <c r="G55" s="9">
        <v>107084</v>
      </c>
      <c r="H55" s="9">
        <v>107035</v>
      </c>
      <c r="I55" s="9">
        <v>105189</v>
      </c>
      <c r="J55" s="9">
        <v>106167</v>
      </c>
      <c r="K55" s="9" t="s">
        <v>213</v>
      </c>
      <c r="L55" s="9" t="s">
        <v>213</v>
      </c>
      <c r="M55" s="9" t="s">
        <v>213</v>
      </c>
      <c r="N55" s="9">
        <v>108209</v>
      </c>
      <c r="O55" s="9">
        <v>109293</v>
      </c>
      <c r="P55" s="9" t="s">
        <v>213</v>
      </c>
    </row>
    <row r="56" spans="2:16" ht="14" customHeight="1" x14ac:dyDescent="0.3">
      <c r="B56" s="19" t="s">
        <v>34</v>
      </c>
      <c r="C56" s="9">
        <v>102215</v>
      </c>
      <c r="D56" s="9">
        <v>190421</v>
      </c>
      <c r="E56" s="9">
        <v>177511</v>
      </c>
      <c r="F56" s="9">
        <v>167194</v>
      </c>
      <c r="G56" s="9">
        <v>25189</v>
      </c>
      <c r="H56" s="9">
        <v>20046</v>
      </c>
      <c r="I56" s="9">
        <v>16045</v>
      </c>
      <c r="J56" s="9">
        <v>14</v>
      </c>
      <c r="K56" s="9" t="s">
        <v>213</v>
      </c>
      <c r="L56" s="9" t="s">
        <v>213</v>
      </c>
      <c r="M56" s="9" t="s">
        <v>213</v>
      </c>
      <c r="N56" s="9">
        <v>131672</v>
      </c>
      <c r="O56" s="9">
        <v>92700</v>
      </c>
      <c r="P56" s="9" t="s">
        <v>213</v>
      </c>
    </row>
    <row r="57" spans="2:16" ht="14" customHeight="1" x14ac:dyDescent="0.3">
      <c r="B57" s="19" t="s">
        <v>35</v>
      </c>
      <c r="C57" s="10">
        <v>0</v>
      </c>
      <c r="D57" s="10">
        <v>0</v>
      </c>
      <c r="E57" s="9">
        <v>28244</v>
      </c>
      <c r="F57" s="9">
        <v>28244</v>
      </c>
      <c r="G57" s="10">
        <v>0</v>
      </c>
      <c r="H57" s="10">
        <v>0</v>
      </c>
      <c r="I57" s="10">
        <v>0</v>
      </c>
      <c r="J57" s="10">
        <v>0</v>
      </c>
      <c r="K57" s="9" t="s">
        <v>213</v>
      </c>
      <c r="L57" s="9" t="s">
        <v>213</v>
      </c>
      <c r="M57" s="9" t="s">
        <v>213</v>
      </c>
      <c r="N57" s="10">
        <v>0</v>
      </c>
      <c r="O57" s="10">
        <v>0</v>
      </c>
      <c r="P57" s="9" t="s">
        <v>213</v>
      </c>
    </row>
    <row r="58" spans="2:16" ht="14" customHeight="1" x14ac:dyDescent="0.3">
      <c r="B58" s="19" t="s">
        <v>85</v>
      </c>
      <c r="C58" s="9">
        <v>132145</v>
      </c>
      <c r="D58" s="9">
        <v>93381</v>
      </c>
      <c r="E58" s="9">
        <v>56188</v>
      </c>
      <c r="F58" s="10">
        <v>0</v>
      </c>
      <c r="G58" s="9">
        <v>167770</v>
      </c>
      <c r="H58" s="9">
        <v>103519</v>
      </c>
      <c r="I58" s="9">
        <v>8349</v>
      </c>
      <c r="J58" s="10">
        <v>0</v>
      </c>
      <c r="K58" s="9" t="s">
        <v>213</v>
      </c>
      <c r="L58" s="9" t="s">
        <v>213</v>
      </c>
      <c r="M58" s="9" t="s">
        <v>213</v>
      </c>
      <c r="N58" s="10">
        <v>0</v>
      </c>
      <c r="O58" s="10">
        <v>0</v>
      </c>
      <c r="P58" s="9" t="s">
        <v>213</v>
      </c>
    </row>
    <row r="59" spans="2:16" ht="14" customHeight="1" x14ac:dyDescent="0.3">
      <c r="B59" s="20" t="s">
        <v>36</v>
      </c>
      <c r="C59" s="13">
        <f t="shared" ref="C59:I59" si="10">SUM(C52:C58)</f>
        <v>1068213</v>
      </c>
      <c r="D59" s="13">
        <f t="shared" si="10"/>
        <v>1019639</v>
      </c>
      <c r="E59" s="13">
        <f t="shared" si="10"/>
        <v>1005719</v>
      </c>
      <c r="F59" s="13">
        <f t="shared" si="10"/>
        <v>932255</v>
      </c>
      <c r="G59" s="13">
        <f t="shared" si="10"/>
        <v>928199</v>
      </c>
      <c r="H59" s="13">
        <f t="shared" si="10"/>
        <v>858756</v>
      </c>
      <c r="I59" s="13">
        <f t="shared" si="10"/>
        <v>757739</v>
      </c>
      <c r="J59" s="13">
        <f>SUM(J52:J57)</f>
        <v>734337</v>
      </c>
      <c r="K59" s="13">
        <v>784140.39745000005</v>
      </c>
      <c r="L59" s="13">
        <v>759738.76508000004</v>
      </c>
      <c r="M59" s="13">
        <v>771590.39012999996</v>
      </c>
      <c r="N59" s="13">
        <f t="shared" ref="N59:O59" si="11">SUM(N52:N57)</f>
        <v>785141</v>
      </c>
      <c r="O59" s="13">
        <f t="shared" si="11"/>
        <v>702747</v>
      </c>
      <c r="P59" s="13">
        <v>629160</v>
      </c>
    </row>
    <row r="60" spans="2:16" ht="14" customHeight="1" x14ac:dyDescent="0.3">
      <c r="B60" s="18"/>
      <c r="C60" s="1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2:16" ht="14" customHeight="1" x14ac:dyDescent="0.3">
      <c r="B61" s="17" t="s">
        <v>195</v>
      </c>
      <c r="C61" s="13">
        <f t="shared" ref="C61:J61" si="12">SUM(C59,C49,C41)</f>
        <v>1484125</v>
      </c>
      <c r="D61" s="13">
        <f t="shared" si="12"/>
        <v>1394616</v>
      </c>
      <c r="E61" s="13">
        <f t="shared" si="12"/>
        <v>1323679</v>
      </c>
      <c r="F61" s="13">
        <f t="shared" si="12"/>
        <v>1216393</v>
      </c>
      <c r="G61" s="13">
        <f t="shared" si="12"/>
        <v>1178535</v>
      </c>
      <c r="H61" s="13">
        <f t="shared" si="12"/>
        <v>1146506</v>
      </c>
      <c r="I61" s="13">
        <f t="shared" si="12"/>
        <v>1006519</v>
      </c>
      <c r="J61" s="13">
        <f t="shared" si="12"/>
        <v>969509</v>
      </c>
      <c r="K61" s="13" t="s">
        <v>213</v>
      </c>
      <c r="L61" s="13" t="s">
        <v>213</v>
      </c>
      <c r="M61" s="13" t="s">
        <v>213</v>
      </c>
      <c r="N61" s="13">
        <f>SUM(N59,N49,N41)</f>
        <v>1042509</v>
      </c>
      <c r="O61" s="13">
        <f>SUM(O59,O49,O41)</f>
        <v>943737</v>
      </c>
      <c r="P61" s="13" t="s">
        <v>213</v>
      </c>
    </row>
    <row r="62" spans="2:16" ht="14" customHeight="1" x14ac:dyDescent="0.3">
      <c r="B62" s="18"/>
      <c r="C62" s="1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2:16" ht="14" customHeight="1" x14ac:dyDescent="0.3">
      <c r="B63" s="19" t="s">
        <v>208</v>
      </c>
      <c r="C63" s="9">
        <v>1068213</v>
      </c>
      <c r="D63" s="9">
        <f>D59</f>
        <v>1019639</v>
      </c>
      <c r="E63" s="9">
        <f>E59</f>
        <v>1005719</v>
      </c>
      <c r="F63" s="9">
        <f t="shared" ref="F63:O63" si="13">F59</f>
        <v>932255</v>
      </c>
      <c r="G63" s="9">
        <f t="shared" si="13"/>
        <v>928199</v>
      </c>
      <c r="H63" s="9">
        <f t="shared" si="13"/>
        <v>858756</v>
      </c>
      <c r="I63" s="9">
        <f t="shared" si="13"/>
        <v>757739</v>
      </c>
      <c r="J63" s="9">
        <f t="shared" si="13"/>
        <v>734337</v>
      </c>
      <c r="K63" s="9">
        <f t="shared" ref="K63:M63" si="14">K59</f>
        <v>784140.39745000005</v>
      </c>
      <c r="L63" s="9">
        <f t="shared" si="14"/>
        <v>759738.76508000004</v>
      </c>
      <c r="M63" s="9">
        <f t="shared" si="14"/>
        <v>771590.39012999996</v>
      </c>
      <c r="N63" s="9">
        <f t="shared" si="13"/>
        <v>785141</v>
      </c>
      <c r="O63" s="9">
        <f t="shared" si="13"/>
        <v>702747</v>
      </c>
      <c r="P63" s="9">
        <f t="shared" ref="P63" si="15">P59</f>
        <v>629160</v>
      </c>
    </row>
    <row r="64" spans="2:16" ht="14" customHeight="1" x14ac:dyDescent="0.3">
      <c r="B64" s="19" t="s">
        <v>209</v>
      </c>
      <c r="C64" s="9">
        <f t="shared" ref="C64:P64" si="16">SUM(C34,C43)</f>
        <v>92045</v>
      </c>
      <c r="D64" s="9">
        <f t="shared" si="16"/>
        <v>89272</v>
      </c>
      <c r="E64" s="9">
        <f t="shared" si="16"/>
        <v>80509</v>
      </c>
      <c r="F64" s="9">
        <f t="shared" si="16"/>
        <v>45115</v>
      </c>
      <c r="G64" s="9">
        <f t="shared" si="16"/>
        <v>21974</v>
      </c>
      <c r="H64" s="9">
        <f t="shared" si="16"/>
        <v>20173</v>
      </c>
      <c r="I64" s="9">
        <f t="shared" si="16"/>
        <v>22909</v>
      </c>
      <c r="J64" s="9">
        <f t="shared" si="16"/>
        <v>21306</v>
      </c>
      <c r="K64" s="9">
        <f t="shared" si="16"/>
        <v>41781.531499999997</v>
      </c>
      <c r="L64" s="9">
        <f t="shared" si="16"/>
        <v>41232.154399999999</v>
      </c>
      <c r="M64" s="9">
        <f t="shared" si="16"/>
        <v>39920.602669999993</v>
      </c>
      <c r="N64" s="9">
        <f t="shared" si="16"/>
        <v>36188</v>
      </c>
      <c r="O64" s="9">
        <f t="shared" si="16"/>
        <v>95294</v>
      </c>
      <c r="P64" s="9">
        <f t="shared" si="16"/>
        <v>123079</v>
      </c>
    </row>
    <row r="65" spans="2:16" ht="14" customHeight="1" x14ac:dyDescent="0.3">
      <c r="B65" s="19" t="s">
        <v>210</v>
      </c>
      <c r="C65" s="9">
        <f t="shared" ref="C65:P65" si="17">C38</f>
        <v>13994</v>
      </c>
      <c r="D65" s="9">
        <f t="shared" si="17"/>
        <v>24494</v>
      </c>
      <c r="E65" s="9">
        <f t="shared" si="17"/>
        <v>6750</v>
      </c>
      <c r="F65" s="9">
        <f t="shared" si="17"/>
        <v>21250</v>
      </c>
      <c r="G65" s="9">
        <f t="shared" si="17"/>
        <v>8340</v>
      </c>
      <c r="H65" s="9">
        <f t="shared" si="17"/>
        <v>14940</v>
      </c>
      <c r="I65" s="9">
        <f t="shared" si="17"/>
        <v>21540</v>
      </c>
      <c r="J65" s="9">
        <f t="shared" si="17"/>
        <v>30440</v>
      </c>
      <c r="K65" s="9">
        <f t="shared" si="17"/>
        <v>19628.547699999999</v>
      </c>
      <c r="L65" s="9">
        <f t="shared" si="17"/>
        <v>27156.270799999998</v>
      </c>
      <c r="M65" s="9">
        <f t="shared" si="17"/>
        <v>29517.868429999995</v>
      </c>
      <c r="N65" s="9">
        <f t="shared" si="17"/>
        <v>18545</v>
      </c>
      <c r="O65" s="9">
        <f t="shared" si="17"/>
        <v>15559</v>
      </c>
      <c r="P65" s="9">
        <f t="shared" si="17"/>
        <v>24572</v>
      </c>
    </row>
    <row r="66" spans="2:16" ht="14" customHeight="1" x14ac:dyDescent="0.3">
      <c r="B66" s="19" t="s">
        <v>211</v>
      </c>
      <c r="C66" s="9">
        <f t="shared" ref="C66:P66" si="18">-SUM(C8,C9)</f>
        <v>-157031</v>
      </c>
      <c r="D66" s="9">
        <f t="shared" si="18"/>
        <v>-139657</v>
      </c>
      <c r="E66" s="9">
        <f t="shared" si="18"/>
        <v>-151272</v>
      </c>
      <c r="F66" s="9">
        <f t="shared" si="18"/>
        <v>-96994</v>
      </c>
      <c r="G66" s="9">
        <f t="shared" si="18"/>
        <v>-160540</v>
      </c>
      <c r="H66" s="9">
        <f t="shared" si="18"/>
        <v>-160158</v>
      </c>
      <c r="I66" s="9">
        <f t="shared" si="18"/>
        <v>-156284</v>
      </c>
      <c r="J66" s="9">
        <f t="shared" si="18"/>
        <v>-122297</v>
      </c>
      <c r="K66" s="9">
        <f t="shared" si="18"/>
        <v>-129735.27082000003</v>
      </c>
      <c r="L66" s="9">
        <f t="shared" si="18"/>
        <v>-127448.96810999999</v>
      </c>
      <c r="M66" s="9">
        <f t="shared" si="18"/>
        <v>-102764.63817000001</v>
      </c>
      <c r="N66" s="9">
        <f t="shared" si="18"/>
        <v>-83509</v>
      </c>
      <c r="O66" s="9">
        <f t="shared" si="18"/>
        <v>-109805</v>
      </c>
      <c r="P66" s="9">
        <f t="shared" si="18"/>
        <v>-71037</v>
      </c>
    </row>
    <row r="67" spans="2:16" ht="14" customHeight="1" x14ac:dyDescent="0.3">
      <c r="B67" s="19" t="s">
        <v>207</v>
      </c>
      <c r="C67" s="9">
        <f>SUM(C63:C66)</f>
        <v>1017221</v>
      </c>
      <c r="D67" s="9">
        <f>SUM(D63:D66)</f>
        <v>993748</v>
      </c>
      <c r="E67" s="9">
        <f>SUM(E63:E66)</f>
        <v>941706</v>
      </c>
      <c r="F67" s="9">
        <f t="shared" ref="F67:O67" si="19">SUM(F63:F66)</f>
        <v>901626</v>
      </c>
      <c r="G67" s="9">
        <f t="shared" si="19"/>
        <v>797973</v>
      </c>
      <c r="H67" s="9">
        <f t="shared" si="19"/>
        <v>733711</v>
      </c>
      <c r="I67" s="9">
        <f t="shared" si="19"/>
        <v>645904</v>
      </c>
      <c r="J67" s="9">
        <f t="shared" si="19"/>
        <v>663786</v>
      </c>
      <c r="K67" s="9">
        <f t="shared" si="19"/>
        <v>715815.20583000011</v>
      </c>
      <c r="L67" s="9">
        <f t="shared" si="19"/>
        <v>700678.22216999996</v>
      </c>
      <c r="M67" s="9">
        <f t="shared" si="19"/>
        <v>738264.22305999987</v>
      </c>
      <c r="N67" s="9">
        <f t="shared" si="19"/>
        <v>756365</v>
      </c>
      <c r="O67" s="9">
        <f t="shared" si="19"/>
        <v>703795</v>
      </c>
      <c r="P67" s="9">
        <f t="shared" ref="P67" si="20">SUM(P63:P66)</f>
        <v>705774</v>
      </c>
    </row>
    <row r="68" spans="2:16" s="3" customFormat="1" ht="14" customHeight="1" x14ac:dyDescent="0.3">
      <c r="B68" s="20" t="s">
        <v>212</v>
      </c>
      <c r="C68" s="13">
        <f>AVERAGE(C67,$F$67)</f>
        <v>959423.5</v>
      </c>
      <c r="D68" s="13">
        <f>AVERAGE(D67,$F$67)</f>
        <v>947687</v>
      </c>
      <c r="E68" s="13">
        <f>AVERAGE(E67,$F$67)</f>
        <v>921666</v>
      </c>
      <c r="F68" s="13">
        <f t="shared" ref="F68:I68" si="21">AVERAGE(F67,$J$67)</f>
        <v>782706</v>
      </c>
      <c r="G68" s="13">
        <f t="shared" si="21"/>
        <v>730879.5</v>
      </c>
      <c r="H68" s="13">
        <f t="shared" si="21"/>
        <v>698748.5</v>
      </c>
      <c r="I68" s="13">
        <f t="shared" si="21"/>
        <v>654845</v>
      </c>
      <c r="J68" s="13">
        <f>AVERAGE(J67,$N$67)</f>
        <v>710075.5</v>
      </c>
      <c r="K68" s="13">
        <f t="shared" ref="K68:M68" si="22">AVERAGE(K67,$N$67)</f>
        <v>736090.10291500005</v>
      </c>
      <c r="L68" s="13">
        <f t="shared" si="22"/>
        <v>728521.61108499998</v>
      </c>
      <c r="M68" s="13">
        <f t="shared" si="22"/>
        <v>747314.61152999988</v>
      </c>
      <c r="N68" s="13">
        <f>AVERAGE(N67,$O$67)</f>
        <v>730080</v>
      </c>
      <c r="O68" s="13">
        <f>AVERAGE(O67,$P$67)</f>
        <v>704784.5</v>
      </c>
      <c r="P68" s="13" t="s">
        <v>213</v>
      </c>
    </row>
  </sheetData>
  <hyperlinks>
    <hyperlink ref="E3" location="'2| DRE'!A1" display="&gt;"/>
  </hyperlink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49" formula="1"/>
    <ignoredError sqref="J59 N59:O5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496C8"/>
  </sheetPr>
  <dimension ref="B1:P33"/>
  <sheetViews>
    <sheetView showGridLines="0" showRowColHeaders="0"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4" customHeight="1" x14ac:dyDescent="0.3"/>
  <cols>
    <col min="1" max="1" width="0.90625" style="2" customWidth="1"/>
    <col min="2" max="2" width="49.90625" style="2" customWidth="1"/>
    <col min="3" max="3" width="28.26953125" style="2" customWidth="1"/>
    <col min="4" max="16" width="10.08984375" style="2" customWidth="1"/>
    <col min="17" max="17" width="8.7265625" style="2"/>
    <col min="18" max="18" width="12.453125" style="2" bestFit="1" customWidth="1"/>
    <col min="19" max="16384" width="8.7265625" style="2"/>
  </cols>
  <sheetData>
    <row r="1" spans="2:16" ht="5" customHeight="1" x14ac:dyDescent="0.3"/>
    <row r="3" spans="2:16" ht="14" customHeight="1" x14ac:dyDescent="0.35">
      <c r="C3" s="100"/>
      <c r="D3" s="108"/>
      <c r="E3" s="100"/>
    </row>
    <row r="4" spans="2:16" ht="14" customHeight="1" x14ac:dyDescent="0.3">
      <c r="C4" s="116"/>
    </row>
    <row r="6" spans="2:16" s="103" customFormat="1" ht="26.5" customHeight="1" thickBot="1" x14ac:dyDescent="0.35">
      <c r="B6" s="130" t="s">
        <v>231</v>
      </c>
      <c r="C6" s="131" t="s">
        <v>230</v>
      </c>
      <c r="D6" s="131" t="s">
        <v>279</v>
      </c>
      <c r="E6" s="124" t="s">
        <v>193</v>
      </c>
      <c r="F6" s="124" t="s">
        <v>170</v>
      </c>
      <c r="G6" s="132" t="s">
        <v>86</v>
      </c>
      <c r="H6" s="131" t="s">
        <v>88</v>
      </c>
      <c r="I6" s="131" t="s">
        <v>91</v>
      </c>
      <c r="J6" s="124" t="s">
        <v>94</v>
      </c>
      <c r="K6" s="132" t="s">
        <v>87</v>
      </c>
      <c r="L6" s="131" t="s">
        <v>89</v>
      </c>
      <c r="M6" s="131" t="s">
        <v>92</v>
      </c>
      <c r="N6" s="124" t="s">
        <v>95</v>
      </c>
      <c r="O6" s="132" t="s">
        <v>98</v>
      </c>
      <c r="P6" s="132" t="s">
        <v>99</v>
      </c>
    </row>
    <row r="7" spans="2:16" ht="14" customHeight="1" thickTop="1" x14ac:dyDescent="0.3">
      <c r="H7" s="25"/>
      <c r="I7" s="5"/>
      <c r="L7" s="25"/>
      <c r="M7" s="25"/>
    </row>
    <row r="8" spans="2:16" ht="14" customHeight="1" x14ac:dyDescent="0.3">
      <c r="B8" s="16" t="s">
        <v>39</v>
      </c>
      <c r="C8" s="126" t="s">
        <v>284</v>
      </c>
      <c r="D8" s="34">
        <v>1356546</v>
      </c>
      <c r="E8" s="34">
        <v>868353</v>
      </c>
      <c r="F8" s="9">
        <v>398724</v>
      </c>
      <c r="G8" s="9">
        <v>1637117</v>
      </c>
      <c r="H8" s="9">
        <v>1151622</v>
      </c>
      <c r="I8" s="9">
        <v>679824</v>
      </c>
      <c r="J8" s="9">
        <v>288709</v>
      </c>
      <c r="K8" s="9">
        <v>912796</v>
      </c>
      <c r="L8" s="9">
        <v>556070</v>
      </c>
      <c r="M8" s="9">
        <v>308547</v>
      </c>
      <c r="N8" s="9">
        <v>206938</v>
      </c>
      <c r="O8" s="9">
        <v>1094903</v>
      </c>
      <c r="P8" s="9">
        <v>1059186</v>
      </c>
    </row>
    <row r="9" spans="2:16" ht="14" customHeight="1" x14ac:dyDescent="0.3">
      <c r="B9" s="16" t="s">
        <v>37</v>
      </c>
      <c r="C9" s="126" t="s">
        <v>280</v>
      </c>
      <c r="D9" s="34">
        <v>-245630</v>
      </c>
      <c r="E9" s="34">
        <v>-157994</v>
      </c>
      <c r="F9" s="9">
        <v>-73750</v>
      </c>
      <c r="G9" s="9">
        <f t="shared" ref="G9:M9" si="0">G10-G8</f>
        <v>-308861</v>
      </c>
      <c r="H9" s="9">
        <f t="shared" si="0"/>
        <v>-243741</v>
      </c>
      <c r="I9" s="9">
        <f t="shared" si="0"/>
        <v>-143402</v>
      </c>
      <c r="J9" s="9">
        <f t="shared" si="0"/>
        <v>-65341</v>
      </c>
      <c r="K9" s="9">
        <f t="shared" si="0"/>
        <v>-180606</v>
      </c>
      <c r="L9" s="9">
        <f t="shared" si="0"/>
        <v>-112858</v>
      </c>
      <c r="M9" s="9">
        <f t="shared" si="0"/>
        <v>-66562</v>
      </c>
      <c r="N9" s="9">
        <f t="shared" ref="N9" si="1">N10-N8</f>
        <v>-41117</v>
      </c>
      <c r="O9" s="9">
        <f>O10-O8</f>
        <v>-203577</v>
      </c>
      <c r="P9" s="9">
        <f>P10-P8</f>
        <v>-199100</v>
      </c>
    </row>
    <row r="10" spans="2:16" ht="14" customHeight="1" x14ac:dyDescent="0.3">
      <c r="B10" s="17" t="s">
        <v>38</v>
      </c>
      <c r="C10" s="127"/>
      <c r="D10" s="13">
        <v>1110916</v>
      </c>
      <c r="E10" s="13">
        <v>710359</v>
      </c>
      <c r="F10" s="13">
        <v>324974</v>
      </c>
      <c r="G10" s="13">
        <v>1328256</v>
      </c>
      <c r="H10" s="13">
        <v>907881</v>
      </c>
      <c r="I10" s="13">
        <v>536422</v>
      </c>
      <c r="J10" s="13">
        <v>223368</v>
      </c>
      <c r="K10" s="13">
        <v>732190</v>
      </c>
      <c r="L10" s="13">
        <v>443212</v>
      </c>
      <c r="M10" s="13">
        <v>241985</v>
      </c>
      <c r="N10" s="13">
        <v>165821</v>
      </c>
      <c r="O10" s="13">
        <v>891326</v>
      </c>
      <c r="P10" s="13">
        <v>860086</v>
      </c>
    </row>
    <row r="11" spans="2:16" ht="14" customHeight="1" x14ac:dyDescent="0.3">
      <c r="B11" s="16" t="s">
        <v>108</v>
      </c>
      <c r="C11" s="126" t="s">
        <v>281</v>
      </c>
      <c r="D11" s="34">
        <v>-706786</v>
      </c>
      <c r="E11" s="34">
        <v>-445651</v>
      </c>
      <c r="F11" s="9">
        <v>-196520</v>
      </c>
      <c r="G11" s="9">
        <v>-815580</v>
      </c>
      <c r="H11" s="9">
        <v>-551040</v>
      </c>
      <c r="I11" s="31">
        <v>-306483</v>
      </c>
      <c r="J11" s="9">
        <v>-131456</v>
      </c>
      <c r="K11" s="9">
        <v>-550297</v>
      </c>
      <c r="L11" s="9">
        <v>-339256</v>
      </c>
      <c r="M11" s="9">
        <v>-204239</v>
      </c>
      <c r="N11" s="9">
        <v>-135006</v>
      </c>
      <c r="O11" s="9">
        <v>-616922</v>
      </c>
      <c r="P11" s="9">
        <v>-591609</v>
      </c>
    </row>
    <row r="12" spans="2:16" ht="14" customHeight="1" x14ac:dyDescent="0.3">
      <c r="B12" s="17" t="s">
        <v>40</v>
      </c>
      <c r="C12" s="127"/>
      <c r="D12" s="13">
        <f t="shared" ref="D12:E12" si="2">SUM(D10:D11)</f>
        <v>404130</v>
      </c>
      <c r="E12" s="13">
        <f t="shared" si="2"/>
        <v>264708</v>
      </c>
      <c r="F12" s="13">
        <f t="shared" ref="F12:M12" si="3">SUM(F10:F11)</f>
        <v>128454</v>
      </c>
      <c r="G12" s="13">
        <f t="shared" si="3"/>
        <v>512676</v>
      </c>
      <c r="H12" s="13">
        <f t="shared" si="3"/>
        <v>356841</v>
      </c>
      <c r="I12" s="13">
        <f t="shared" si="3"/>
        <v>229939</v>
      </c>
      <c r="J12" s="13">
        <f t="shared" si="3"/>
        <v>91912</v>
      </c>
      <c r="K12" s="13">
        <f t="shared" si="3"/>
        <v>181893</v>
      </c>
      <c r="L12" s="13">
        <f t="shared" si="3"/>
        <v>103956</v>
      </c>
      <c r="M12" s="13">
        <f t="shared" si="3"/>
        <v>37746</v>
      </c>
      <c r="N12" s="13">
        <f t="shared" ref="N12" si="4">SUM(N10:N11)</f>
        <v>30815</v>
      </c>
      <c r="O12" s="13">
        <f>SUM(O10:O11)</f>
        <v>274404</v>
      </c>
      <c r="P12" s="13">
        <f>SUM(P10:P11)</f>
        <v>268477</v>
      </c>
    </row>
    <row r="13" spans="2:16" ht="14" customHeight="1" x14ac:dyDescent="0.3">
      <c r="B13" s="16" t="s">
        <v>41</v>
      </c>
      <c r="C13" s="126" t="s">
        <v>282</v>
      </c>
      <c r="D13" s="34">
        <v>-148883</v>
      </c>
      <c r="E13" s="34">
        <v>-95730</v>
      </c>
      <c r="F13" s="9">
        <v>-43729</v>
      </c>
      <c r="G13" s="9">
        <v>-164834</v>
      </c>
      <c r="H13" s="9">
        <v>-117250</v>
      </c>
      <c r="I13" s="9">
        <v>-70306</v>
      </c>
      <c r="J13" s="9">
        <v>-32655</v>
      </c>
      <c r="K13" s="9">
        <v>-108806</v>
      </c>
      <c r="L13" s="9">
        <v>-74932</v>
      </c>
      <c r="M13" s="9">
        <v>-44522</v>
      </c>
      <c r="N13" s="9">
        <v>-28362</v>
      </c>
      <c r="O13" s="9">
        <v>-144295</v>
      </c>
      <c r="P13" s="9">
        <v>-142709</v>
      </c>
    </row>
    <row r="14" spans="2:16" ht="14" customHeight="1" x14ac:dyDescent="0.3">
      <c r="B14" s="16" t="s">
        <v>42</v>
      </c>
      <c r="C14" s="126" t="s">
        <v>282</v>
      </c>
      <c r="D14" s="9">
        <v>-62195</v>
      </c>
      <c r="E14" s="9">
        <v>-43129</v>
      </c>
      <c r="F14" s="9">
        <v>-20558</v>
      </c>
      <c r="G14" s="9">
        <v>-71213</v>
      </c>
      <c r="H14" s="9">
        <v>-46203</v>
      </c>
      <c r="I14" s="9">
        <v>-26689</v>
      </c>
      <c r="J14" s="9">
        <v>-12510</v>
      </c>
      <c r="K14" s="9">
        <v>-48875</v>
      </c>
      <c r="L14" s="9">
        <v>-37509</v>
      </c>
      <c r="M14" s="9">
        <v>-24396</v>
      </c>
      <c r="N14" s="9">
        <v>-11934</v>
      </c>
      <c r="O14" s="9">
        <v>-64609</v>
      </c>
      <c r="P14" s="9">
        <v>-62091</v>
      </c>
    </row>
    <row r="15" spans="2:16" ht="14" customHeight="1" x14ac:dyDescent="0.3">
      <c r="B15" s="16" t="s">
        <v>43</v>
      </c>
      <c r="C15" s="126" t="s">
        <v>282</v>
      </c>
      <c r="D15" s="34">
        <v>1092</v>
      </c>
      <c r="E15" s="34">
        <v>909</v>
      </c>
      <c r="F15" s="9">
        <v>616</v>
      </c>
      <c r="G15" s="9">
        <v>-1126</v>
      </c>
      <c r="H15" s="9">
        <v>34</v>
      </c>
      <c r="I15" s="9">
        <v>-4068</v>
      </c>
      <c r="J15" s="9">
        <v>-3144</v>
      </c>
      <c r="K15" s="9">
        <v>-3051</v>
      </c>
      <c r="L15" s="9">
        <v>-7312</v>
      </c>
      <c r="M15" s="9">
        <v>-1730</v>
      </c>
      <c r="N15" s="9">
        <v>-3478</v>
      </c>
      <c r="O15" s="9">
        <v>-6940</v>
      </c>
      <c r="P15" s="9">
        <v>-6621</v>
      </c>
    </row>
    <row r="16" spans="2:16" ht="14" customHeight="1" x14ac:dyDescent="0.3">
      <c r="B16" s="16" t="s">
        <v>44</v>
      </c>
      <c r="C16" s="126" t="s">
        <v>282</v>
      </c>
      <c r="D16" s="34">
        <v>4573</v>
      </c>
      <c r="E16" s="34">
        <v>3841</v>
      </c>
      <c r="F16" s="9">
        <v>1088</v>
      </c>
      <c r="G16" s="9">
        <v>116382</v>
      </c>
      <c r="H16" s="9">
        <v>90472</v>
      </c>
      <c r="I16" s="9">
        <v>67671</v>
      </c>
      <c r="J16" s="9">
        <v>258</v>
      </c>
      <c r="K16" s="9">
        <v>22463</v>
      </c>
      <c r="L16" s="9">
        <v>3941</v>
      </c>
      <c r="M16" s="9">
        <v>2487</v>
      </c>
      <c r="N16" s="9">
        <v>2166</v>
      </c>
      <c r="O16" s="9">
        <v>111251</v>
      </c>
      <c r="P16" s="9">
        <v>33275</v>
      </c>
    </row>
    <row r="17" spans="2:16" ht="14" customHeight="1" x14ac:dyDescent="0.3">
      <c r="B17" s="16" t="s">
        <v>45</v>
      </c>
      <c r="C17" s="126" t="s">
        <v>282</v>
      </c>
      <c r="D17" s="34">
        <v>-7181</v>
      </c>
      <c r="E17" s="34">
        <v>-5792</v>
      </c>
      <c r="F17" s="9">
        <v>-2371</v>
      </c>
      <c r="G17" s="9">
        <v>-39727</v>
      </c>
      <c r="H17" s="9">
        <v>-40617</v>
      </c>
      <c r="I17" s="9">
        <v>-21707</v>
      </c>
      <c r="J17" s="9">
        <v>-3245</v>
      </c>
      <c r="K17" s="9">
        <v>-10197</v>
      </c>
      <c r="L17" s="9">
        <v>-6076</v>
      </c>
      <c r="M17" s="9">
        <v>-5877</v>
      </c>
      <c r="N17" s="9">
        <v>-1477</v>
      </c>
      <c r="O17" s="9">
        <v>-21292</v>
      </c>
      <c r="P17" s="9">
        <v>-9391</v>
      </c>
    </row>
    <row r="18" spans="2:16" ht="14" customHeight="1" x14ac:dyDescent="0.3">
      <c r="B18" s="16" t="s">
        <v>46</v>
      </c>
      <c r="C18" s="128"/>
      <c r="D18" s="34">
        <v>18904</v>
      </c>
      <c r="E18" s="34">
        <v>11591</v>
      </c>
      <c r="F18" s="9">
        <v>4262</v>
      </c>
      <c r="G18" s="9">
        <v>13099</v>
      </c>
      <c r="H18" s="9">
        <v>8497</v>
      </c>
      <c r="I18" s="9">
        <v>4151</v>
      </c>
      <c r="J18" s="9">
        <v>1823</v>
      </c>
      <c r="K18" s="9">
        <v>9036</v>
      </c>
      <c r="L18" s="9">
        <v>7111</v>
      </c>
      <c r="M18" s="9">
        <v>5548</v>
      </c>
      <c r="N18" s="9">
        <v>3828</v>
      </c>
      <c r="O18" s="9">
        <v>20613</v>
      </c>
      <c r="P18" s="9">
        <v>19255</v>
      </c>
    </row>
    <row r="19" spans="2:16" ht="14" customHeight="1" x14ac:dyDescent="0.3">
      <c r="B19" s="16" t="s">
        <v>47</v>
      </c>
      <c r="C19" s="128"/>
      <c r="D19" s="34">
        <v>-18609</v>
      </c>
      <c r="E19" s="34">
        <v>-12334</v>
      </c>
      <c r="F19" s="9">
        <v>-5711</v>
      </c>
      <c r="G19" s="9">
        <v>-18368</v>
      </c>
      <c r="H19" s="9">
        <v>-11364</v>
      </c>
      <c r="I19" s="9">
        <v>-8395</v>
      </c>
      <c r="J19" s="9">
        <v>-4296</v>
      </c>
      <c r="K19" s="9">
        <v>-15565</v>
      </c>
      <c r="L19" s="9">
        <v>-12798</v>
      </c>
      <c r="M19" s="9">
        <v>-6842</v>
      </c>
      <c r="N19" s="9">
        <v>-5079</v>
      </c>
      <c r="O19" s="9">
        <v>-26180</v>
      </c>
      <c r="P19" s="9">
        <v>-22515</v>
      </c>
    </row>
    <row r="20" spans="2:16" ht="14" customHeight="1" x14ac:dyDescent="0.3">
      <c r="B20" s="16" t="s">
        <v>48</v>
      </c>
      <c r="C20" s="128"/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</row>
    <row r="21" spans="2:16" ht="14" customHeight="1" x14ac:dyDescent="0.3">
      <c r="B21" s="17" t="s">
        <v>49</v>
      </c>
      <c r="C21" s="127"/>
      <c r="D21" s="13">
        <f t="shared" ref="D21:P21" si="5">SUM(D12:D20)</f>
        <v>191831</v>
      </c>
      <c r="E21" s="13">
        <f t="shared" si="5"/>
        <v>124064</v>
      </c>
      <c r="F21" s="13">
        <f t="shared" si="5"/>
        <v>62051</v>
      </c>
      <c r="G21" s="13">
        <f t="shared" si="5"/>
        <v>346889</v>
      </c>
      <c r="H21" s="13">
        <f t="shared" si="5"/>
        <v>240410</v>
      </c>
      <c r="I21" s="13">
        <f t="shared" si="5"/>
        <v>170596</v>
      </c>
      <c r="J21" s="13">
        <f t="shared" si="5"/>
        <v>38143</v>
      </c>
      <c r="K21" s="13">
        <f t="shared" si="5"/>
        <v>26898</v>
      </c>
      <c r="L21" s="13">
        <f t="shared" si="5"/>
        <v>-23619</v>
      </c>
      <c r="M21" s="13">
        <f t="shared" si="5"/>
        <v>-37586</v>
      </c>
      <c r="N21" s="13">
        <f t="shared" si="5"/>
        <v>-13521</v>
      </c>
      <c r="O21" s="13">
        <f t="shared" si="5"/>
        <v>142952</v>
      </c>
      <c r="P21" s="13">
        <f t="shared" si="5"/>
        <v>77680</v>
      </c>
    </row>
    <row r="22" spans="2:16" ht="14" customHeight="1" x14ac:dyDescent="0.3">
      <c r="B22" s="16" t="s">
        <v>50</v>
      </c>
      <c r="C22" s="126" t="s">
        <v>280</v>
      </c>
      <c r="D22" s="34">
        <v>-35933</v>
      </c>
      <c r="E22" s="34">
        <v>-17223</v>
      </c>
      <c r="F22" s="9">
        <v>-3</v>
      </c>
      <c r="G22" s="9">
        <v>-56251</v>
      </c>
      <c r="H22" s="9">
        <v>-64270</v>
      </c>
      <c r="I22" s="9">
        <v>-42667</v>
      </c>
      <c r="J22" s="9">
        <v>-15109</v>
      </c>
      <c r="K22" s="9">
        <v>-7351</v>
      </c>
      <c r="L22" s="9">
        <v>-977</v>
      </c>
      <c r="M22" s="9">
        <v>-977</v>
      </c>
      <c r="N22" s="9">
        <v>-744</v>
      </c>
      <c r="O22" s="9">
        <v>-4928</v>
      </c>
      <c r="P22" s="9">
        <v>-4640</v>
      </c>
    </row>
    <row r="23" spans="2:16" ht="14" customHeight="1" x14ac:dyDescent="0.3">
      <c r="B23" s="16" t="s">
        <v>51</v>
      </c>
      <c r="C23" s="128"/>
      <c r="D23" s="34">
        <v>11018</v>
      </c>
      <c r="E23" s="34">
        <v>9266</v>
      </c>
      <c r="F23" s="9">
        <v>4215</v>
      </c>
      <c r="G23" s="9">
        <v>6636</v>
      </c>
      <c r="H23" s="9">
        <v>16043</v>
      </c>
      <c r="I23" s="9">
        <v>-4888</v>
      </c>
      <c r="J23" s="9">
        <v>1088</v>
      </c>
      <c r="K23" s="9">
        <v>-36514</v>
      </c>
      <c r="L23" s="9">
        <v>-43042</v>
      </c>
      <c r="M23" s="9">
        <v>-47025</v>
      </c>
      <c r="N23" s="9">
        <v>5593</v>
      </c>
      <c r="O23" s="9">
        <v>-25481</v>
      </c>
      <c r="P23" s="9">
        <v>19723</v>
      </c>
    </row>
    <row r="24" spans="2:16" ht="14" customHeight="1" x14ac:dyDescent="0.3">
      <c r="B24" s="17" t="s">
        <v>52</v>
      </c>
      <c r="C24" s="129" t="s">
        <v>283</v>
      </c>
      <c r="D24" s="13">
        <f t="shared" ref="D24:P24" si="6">SUM(D21:D23)</f>
        <v>166916</v>
      </c>
      <c r="E24" s="13">
        <f t="shared" si="6"/>
        <v>116107</v>
      </c>
      <c r="F24" s="13">
        <f t="shared" si="6"/>
        <v>66263</v>
      </c>
      <c r="G24" s="13">
        <f t="shared" si="6"/>
        <v>297274</v>
      </c>
      <c r="H24" s="13">
        <f t="shared" si="6"/>
        <v>192183</v>
      </c>
      <c r="I24" s="13">
        <f t="shared" si="6"/>
        <v>123041</v>
      </c>
      <c r="J24" s="13">
        <f t="shared" si="6"/>
        <v>24122</v>
      </c>
      <c r="K24" s="13">
        <f t="shared" si="6"/>
        <v>-16967</v>
      </c>
      <c r="L24" s="13">
        <f t="shared" si="6"/>
        <v>-67638</v>
      </c>
      <c r="M24" s="13">
        <f t="shared" si="6"/>
        <v>-85588</v>
      </c>
      <c r="N24" s="13">
        <f t="shared" si="6"/>
        <v>-8672</v>
      </c>
      <c r="O24" s="13">
        <f t="shared" si="6"/>
        <v>112543</v>
      </c>
      <c r="P24" s="13">
        <f t="shared" si="6"/>
        <v>92763</v>
      </c>
    </row>
    <row r="25" spans="2:16" ht="14" customHeight="1" x14ac:dyDescent="0.3">
      <c r="B25" s="16"/>
      <c r="E25" s="36"/>
      <c r="F25" s="37"/>
      <c r="G25" s="9"/>
      <c r="H25" s="37"/>
      <c r="I25" s="37"/>
      <c r="J25" s="37"/>
      <c r="K25" s="9"/>
      <c r="L25" s="37"/>
      <c r="M25" s="37"/>
      <c r="N25" s="37"/>
      <c r="O25" s="9"/>
      <c r="P25" s="9"/>
    </row>
    <row r="26" spans="2:16" ht="14" customHeight="1" x14ac:dyDescent="0.3">
      <c r="B26" s="32" t="s">
        <v>54</v>
      </c>
      <c r="C26" s="1"/>
      <c r="D26" s="15">
        <f>D24</f>
        <v>166916</v>
      </c>
      <c r="E26" s="15">
        <f>E24</f>
        <v>116107</v>
      </c>
      <c r="F26" s="15">
        <v>66263</v>
      </c>
      <c r="G26" s="15">
        <f>G24</f>
        <v>297274</v>
      </c>
      <c r="H26" s="15">
        <f>H24</f>
        <v>192183</v>
      </c>
      <c r="I26" s="15">
        <f>I24</f>
        <v>123041</v>
      </c>
      <c r="J26" s="15">
        <f>J24-J27</f>
        <v>24122</v>
      </c>
      <c r="K26" s="15">
        <f>K24-K27</f>
        <v>-16973</v>
      </c>
      <c r="L26" s="15">
        <f>L24-L27</f>
        <v>-67644</v>
      </c>
      <c r="M26" s="15">
        <f>M24-M27</f>
        <v>-85594</v>
      </c>
      <c r="N26" s="15">
        <f t="shared" ref="N26:P26" si="7">N24-N27</f>
        <v>-8677</v>
      </c>
      <c r="O26" s="15">
        <f t="shared" si="7"/>
        <v>112531</v>
      </c>
      <c r="P26" s="15">
        <f t="shared" si="7"/>
        <v>92729</v>
      </c>
    </row>
    <row r="27" spans="2:16" ht="14" customHeight="1" x14ac:dyDescent="0.3">
      <c r="B27" s="32" t="s">
        <v>55</v>
      </c>
      <c r="C27" s="1"/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6</v>
      </c>
      <c r="L27" s="28">
        <v>6</v>
      </c>
      <c r="M27" s="28">
        <v>6</v>
      </c>
      <c r="N27" s="28">
        <v>5</v>
      </c>
      <c r="O27" s="15">
        <v>12</v>
      </c>
      <c r="P27" s="15">
        <v>34</v>
      </c>
    </row>
    <row r="28" spans="2:16" ht="14" customHeight="1" x14ac:dyDescent="0.3">
      <c r="B28" s="32" t="s">
        <v>56</v>
      </c>
      <c r="C28" s="1"/>
      <c r="D28" s="15">
        <v>197594</v>
      </c>
      <c r="E28" s="15">
        <v>197594</v>
      </c>
      <c r="F28" s="15">
        <v>197594</v>
      </c>
      <c r="G28" s="15">
        <v>197594</v>
      </c>
      <c r="H28" s="15">
        <v>197594</v>
      </c>
      <c r="I28" s="15">
        <v>197594</v>
      </c>
      <c r="J28" s="15">
        <v>197594</v>
      </c>
      <c r="K28" s="15">
        <v>200000</v>
      </c>
      <c r="L28" s="15">
        <v>200000</v>
      </c>
      <c r="M28" s="15">
        <v>200000</v>
      </c>
      <c r="N28" s="15">
        <v>200000</v>
      </c>
      <c r="O28" s="15">
        <v>200000</v>
      </c>
      <c r="P28" s="15">
        <v>200000</v>
      </c>
    </row>
    <row r="29" spans="2:16" ht="14" customHeight="1" x14ac:dyDescent="0.3">
      <c r="B29" s="32" t="s">
        <v>57</v>
      </c>
      <c r="C29" s="1"/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-2406</v>
      </c>
      <c r="L29" s="15">
        <v>-2406</v>
      </c>
      <c r="M29" s="15">
        <v>-2406</v>
      </c>
      <c r="N29" s="15">
        <v>-2406</v>
      </c>
      <c r="O29" s="15">
        <v>-2406.3139999999999</v>
      </c>
      <c r="P29" s="15">
        <v>-1190.3040000000001</v>
      </c>
    </row>
    <row r="30" spans="2:16" ht="14" customHeight="1" x14ac:dyDescent="0.3">
      <c r="B30" s="33" t="s">
        <v>53</v>
      </c>
      <c r="C30" s="1"/>
      <c r="D30" s="29">
        <f t="shared" ref="D30:P30" si="8">D26/SUM(D28:D29)</f>
        <v>0.84474224925858077</v>
      </c>
      <c r="E30" s="29">
        <f t="shared" si="8"/>
        <v>0.58760387461157726</v>
      </c>
      <c r="F30" s="29">
        <f t="shared" si="8"/>
        <v>0.33534925149549077</v>
      </c>
      <c r="G30" s="29">
        <f t="shared" si="8"/>
        <v>1.5044687591728494</v>
      </c>
      <c r="H30" s="30">
        <f t="shared" si="8"/>
        <v>0.97261556524995696</v>
      </c>
      <c r="I30" s="30">
        <f t="shared" si="8"/>
        <v>0.62269603328036272</v>
      </c>
      <c r="J30" s="30">
        <f t="shared" si="8"/>
        <v>0.12207860562567689</v>
      </c>
      <c r="K30" s="30">
        <f t="shared" si="8"/>
        <v>-8.5898357237567946E-2</v>
      </c>
      <c r="L30" s="30">
        <f t="shared" si="8"/>
        <v>-0.34233833011123821</v>
      </c>
      <c r="M30" s="30">
        <f t="shared" si="8"/>
        <v>-0.43318116946870855</v>
      </c>
      <c r="N30" s="30">
        <f t="shared" si="8"/>
        <v>-4.3913276718928709E-2</v>
      </c>
      <c r="O30" s="30">
        <f t="shared" si="8"/>
        <v>0.56950706410730156</v>
      </c>
      <c r="P30" s="30">
        <f t="shared" si="8"/>
        <v>0.46642091339448555</v>
      </c>
    </row>
    <row r="31" spans="2:16" ht="14" customHeight="1" x14ac:dyDescent="0.3">
      <c r="E31" s="26"/>
      <c r="G31" s="4"/>
      <c r="K31" s="4"/>
    </row>
    <row r="32" spans="2:16" ht="14" customHeight="1" x14ac:dyDescent="0.3">
      <c r="E32" s="26"/>
      <c r="F32" s="4"/>
      <c r="G32" s="4"/>
      <c r="J32" s="4"/>
      <c r="K32" s="27"/>
    </row>
    <row r="33" spans="6:10" ht="14" customHeight="1" x14ac:dyDescent="0.3">
      <c r="F33" s="4"/>
      <c r="J33" s="4"/>
    </row>
  </sheetData>
  <hyperlinks>
    <hyperlink ref="C8" location="'13| Receita por Marca e Canal'!A1" display="Receita por Marca e Canal"/>
    <hyperlink ref="C9" location="'7| Impostos'!A1" display="Impostos"/>
    <hyperlink ref="C11" location="'8| CPV'!A1" display="CPV"/>
    <hyperlink ref="C24" location="'6| Lucro Líquido'!A1" display="Lucro Líquido"/>
    <hyperlink ref="C13" location="'9| SG&amp;A'!A1" display="SG&amp;A"/>
    <hyperlink ref="C14" location="'9| SG&amp;A'!A1" display="SG&amp;A"/>
    <hyperlink ref="C15" location="'9| SG&amp;A'!A1" display="SG&amp;A"/>
    <hyperlink ref="C16" location="'9| SG&amp;A'!A1" display="SG&amp;A"/>
    <hyperlink ref="C17" location="'9| SG&amp;A'!A1" display="SG&amp;A"/>
    <hyperlink ref="C22" location="'7| Impostos'!A1" display="Impostos"/>
  </hyperlink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12:F12 D30:E30 G30:P30" formulaRange="1"/>
    <ignoredError sqref="G6:P6" numberStoredAsText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496C8"/>
  </sheetPr>
  <dimension ref="B1:O60"/>
  <sheetViews>
    <sheetView showGridLines="0" showRowColHeaders="0"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4" customHeight="1" x14ac:dyDescent="0.3"/>
  <cols>
    <col min="1" max="1" width="0.90625" style="2" customWidth="1"/>
    <col min="2" max="2" width="42.6328125" style="2" customWidth="1"/>
    <col min="3" max="15" width="10.08984375" style="2" customWidth="1"/>
    <col min="16" max="16384" width="8.7265625" style="2"/>
  </cols>
  <sheetData>
    <row r="1" spans="2:15" ht="5" customHeight="1" x14ac:dyDescent="0.3"/>
    <row r="3" spans="2:15" ht="14" customHeight="1" x14ac:dyDescent="0.35">
      <c r="C3" s="102"/>
      <c r="D3" s="102"/>
      <c r="E3" s="108"/>
      <c r="F3" s="107"/>
    </row>
    <row r="6" spans="2:15" s="103" customFormat="1" ht="26.5" customHeight="1" thickBot="1" x14ac:dyDescent="0.35">
      <c r="B6" s="130" t="s">
        <v>232</v>
      </c>
      <c r="C6" s="133" t="s">
        <v>279</v>
      </c>
      <c r="D6" s="124" t="s">
        <v>193</v>
      </c>
      <c r="E6" s="124" t="s">
        <v>170</v>
      </c>
      <c r="F6" s="124" t="s">
        <v>96</v>
      </c>
      <c r="G6" s="124" t="s">
        <v>88</v>
      </c>
      <c r="H6" s="124" t="s">
        <v>91</v>
      </c>
      <c r="I6" s="124" t="s">
        <v>94</v>
      </c>
      <c r="J6" s="124" t="s">
        <v>97</v>
      </c>
      <c r="K6" s="124" t="s">
        <v>89</v>
      </c>
      <c r="L6" s="124" t="s">
        <v>92</v>
      </c>
      <c r="M6" s="124" t="s">
        <v>95</v>
      </c>
      <c r="N6" s="124" t="s">
        <v>100</v>
      </c>
      <c r="O6" s="124" t="s">
        <v>101</v>
      </c>
    </row>
    <row r="7" spans="2:15" ht="14" customHeight="1" thickTop="1" x14ac:dyDescent="0.3"/>
    <row r="8" spans="2:15" ht="14" customHeight="1" x14ac:dyDescent="0.3">
      <c r="B8" s="40" t="s">
        <v>81</v>
      </c>
      <c r="C8" s="9">
        <f>F12</f>
        <v>96994</v>
      </c>
      <c r="D8" s="9">
        <f>F12</f>
        <v>96994</v>
      </c>
      <c r="E8" s="9">
        <f>F12</f>
        <v>96994</v>
      </c>
      <c r="F8" s="9">
        <f>J12</f>
        <v>104851</v>
      </c>
      <c r="G8" s="9">
        <v>104851</v>
      </c>
      <c r="H8" s="9">
        <v>104851</v>
      </c>
      <c r="I8" s="9">
        <v>104851</v>
      </c>
      <c r="J8" s="9">
        <v>83509</v>
      </c>
      <c r="K8" s="9">
        <v>83509</v>
      </c>
      <c r="L8" s="9">
        <v>83509</v>
      </c>
      <c r="M8" s="9">
        <v>83509</v>
      </c>
      <c r="N8" s="9">
        <v>109805</v>
      </c>
      <c r="O8" s="9">
        <v>71037</v>
      </c>
    </row>
    <row r="9" spans="2:15" ht="14" customHeight="1" x14ac:dyDescent="0.3">
      <c r="B9" s="40" t="s">
        <v>77</v>
      </c>
      <c r="C9" s="9">
        <f t="shared" ref="C9:E9" si="0">C40</f>
        <v>142102</v>
      </c>
      <c r="D9" s="9">
        <f t="shared" si="0"/>
        <v>106940</v>
      </c>
      <c r="E9" s="9">
        <f t="shared" si="0"/>
        <v>43719</v>
      </c>
      <c r="F9" s="9">
        <f t="shared" ref="F9:O9" si="1">F40</f>
        <v>126127</v>
      </c>
      <c r="G9" s="9">
        <f t="shared" si="1"/>
        <v>99067</v>
      </c>
      <c r="H9" s="9">
        <f t="shared" si="1"/>
        <v>74317</v>
      </c>
      <c r="I9" s="9">
        <f t="shared" si="1"/>
        <v>58749</v>
      </c>
      <c r="J9" s="9">
        <f t="shared" si="1"/>
        <v>105272</v>
      </c>
      <c r="K9" s="9">
        <f t="shared" si="1"/>
        <v>85376</v>
      </c>
      <c r="L9" s="9">
        <f t="shared" si="1"/>
        <v>75718</v>
      </c>
      <c r="M9" s="9">
        <f t="shared" si="1"/>
        <v>33107</v>
      </c>
      <c r="N9" s="9">
        <f t="shared" si="1"/>
        <v>83574</v>
      </c>
      <c r="O9" s="9">
        <f t="shared" si="1"/>
        <v>110120</v>
      </c>
    </row>
    <row r="10" spans="2:15" ht="14" customHeight="1" x14ac:dyDescent="0.3">
      <c r="B10" s="40" t="s">
        <v>78</v>
      </c>
      <c r="C10" s="9">
        <f t="shared" ref="C10:E10" si="2">C45</f>
        <v>-81720</v>
      </c>
      <c r="D10" s="9">
        <f t="shared" si="2"/>
        <v>-77423</v>
      </c>
      <c r="E10" s="9">
        <f t="shared" si="2"/>
        <v>-16106</v>
      </c>
      <c r="F10" s="9">
        <f t="shared" ref="F10:O10" si="3">F45</f>
        <v>-41399</v>
      </c>
      <c r="G10" s="9">
        <f t="shared" si="3"/>
        <v>-35573</v>
      </c>
      <c r="H10" s="9">
        <f t="shared" si="3"/>
        <v>-19763</v>
      </c>
      <c r="I10" s="9">
        <f t="shared" si="3"/>
        <v>-14915</v>
      </c>
      <c r="J10" s="9">
        <f t="shared" si="3"/>
        <v>-37179</v>
      </c>
      <c r="K10" s="9">
        <f t="shared" si="3"/>
        <v>-45592</v>
      </c>
      <c r="L10" s="9">
        <f t="shared" si="3"/>
        <v>-42071</v>
      </c>
      <c r="M10" s="9">
        <f t="shared" si="3"/>
        <v>-43526</v>
      </c>
      <c r="N10" s="9">
        <f t="shared" si="3"/>
        <v>-17087</v>
      </c>
      <c r="O10" s="9">
        <f t="shared" si="3"/>
        <v>-17769</v>
      </c>
    </row>
    <row r="11" spans="2:15" ht="14" customHeight="1" x14ac:dyDescent="0.3">
      <c r="B11" s="40" t="s">
        <v>80</v>
      </c>
      <c r="C11" s="9">
        <f>C52</f>
        <v>-345</v>
      </c>
      <c r="D11" s="9">
        <f>D52</f>
        <v>13146</v>
      </c>
      <c r="E11" s="9">
        <f t="shared" ref="E11" si="4">E52</f>
        <v>26665</v>
      </c>
      <c r="F11" s="9">
        <f t="shared" ref="F11:O11" si="5">F52</f>
        <v>-92585</v>
      </c>
      <c r="G11" s="9">
        <f t="shared" si="5"/>
        <v>-25953</v>
      </c>
      <c r="H11" s="9">
        <f t="shared" si="5"/>
        <v>-17174</v>
      </c>
      <c r="I11" s="9">
        <f t="shared" si="5"/>
        <v>-9920</v>
      </c>
      <c r="J11" s="9">
        <f t="shared" si="5"/>
        <v>-46751</v>
      </c>
      <c r="K11" s="9">
        <f t="shared" si="5"/>
        <v>-20577</v>
      </c>
      <c r="L11" s="9">
        <f t="shared" si="5"/>
        <v>-15374</v>
      </c>
      <c r="M11" s="9">
        <f t="shared" si="5"/>
        <v>-8339</v>
      </c>
      <c r="N11" s="9">
        <f t="shared" si="5"/>
        <v>-92783</v>
      </c>
      <c r="O11" s="9">
        <f t="shared" si="5"/>
        <v>-53583</v>
      </c>
    </row>
    <row r="12" spans="2:15" ht="14" customHeight="1" x14ac:dyDescent="0.3">
      <c r="B12" s="42" t="s">
        <v>82</v>
      </c>
      <c r="C12" s="43">
        <f t="shared" ref="C12:O12" si="6">SUM(C8:C11)</f>
        <v>157031</v>
      </c>
      <c r="D12" s="43">
        <f t="shared" si="6"/>
        <v>139657</v>
      </c>
      <c r="E12" s="43">
        <f t="shared" si="6"/>
        <v>151272</v>
      </c>
      <c r="F12" s="43">
        <f t="shared" si="6"/>
        <v>96994</v>
      </c>
      <c r="G12" s="43">
        <f t="shared" si="6"/>
        <v>142392</v>
      </c>
      <c r="H12" s="43">
        <f t="shared" si="6"/>
        <v>142231</v>
      </c>
      <c r="I12" s="43">
        <f t="shared" si="6"/>
        <v>138765</v>
      </c>
      <c r="J12" s="43">
        <f t="shared" si="6"/>
        <v>104851</v>
      </c>
      <c r="K12" s="43">
        <f t="shared" si="6"/>
        <v>102716</v>
      </c>
      <c r="L12" s="43">
        <f t="shared" si="6"/>
        <v>101782</v>
      </c>
      <c r="M12" s="43">
        <f t="shared" si="6"/>
        <v>64751</v>
      </c>
      <c r="N12" s="43">
        <f t="shared" si="6"/>
        <v>83509</v>
      </c>
      <c r="O12" s="43">
        <f t="shared" si="6"/>
        <v>109805</v>
      </c>
    </row>
    <row r="14" spans="2:15" ht="14" customHeight="1" x14ac:dyDescent="0.3">
      <c r="B14" s="42" t="s">
        <v>52</v>
      </c>
      <c r="C14" s="13">
        <f>'2| DRE'!D24</f>
        <v>166916</v>
      </c>
      <c r="D14" s="13">
        <f>'2| DRE'!E24</f>
        <v>116107</v>
      </c>
      <c r="E14" s="13">
        <f>'2| DRE'!F24</f>
        <v>66263</v>
      </c>
      <c r="F14" s="13">
        <f>'2| DRE'!G24</f>
        <v>297274</v>
      </c>
      <c r="G14" s="13">
        <f>'2| DRE'!H24</f>
        <v>192183</v>
      </c>
      <c r="H14" s="13">
        <f>'2| DRE'!I24</f>
        <v>123041</v>
      </c>
      <c r="I14" s="13">
        <f>'2| DRE'!J24</f>
        <v>24122</v>
      </c>
      <c r="J14" s="13">
        <f>'2| DRE'!K24</f>
        <v>-16967</v>
      </c>
      <c r="K14" s="13">
        <f>'2| DRE'!L24</f>
        <v>-67638</v>
      </c>
      <c r="L14" s="13">
        <f>'2| DRE'!M24</f>
        <v>-85588</v>
      </c>
      <c r="M14" s="13">
        <f>'2| DRE'!N24</f>
        <v>-8672</v>
      </c>
      <c r="N14" s="13">
        <f>'2| DRE'!O24</f>
        <v>112543</v>
      </c>
      <c r="O14" s="13">
        <f>'2| DRE'!P24</f>
        <v>92763</v>
      </c>
    </row>
    <row r="15" spans="2:15" ht="14" customHeight="1" x14ac:dyDescent="0.3">
      <c r="B15" s="41"/>
      <c r="C15" s="4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2:15" ht="14" customHeight="1" x14ac:dyDescent="0.3">
      <c r="B16" s="21" t="s">
        <v>63</v>
      </c>
      <c r="C16" s="21"/>
      <c r="D16" s="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2:15" ht="14" customHeight="1" x14ac:dyDescent="0.3">
      <c r="B17" s="40" t="s">
        <v>58</v>
      </c>
      <c r="C17" s="9">
        <v>29664</v>
      </c>
      <c r="D17" s="9">
        <v>19448</v>
      </c>
      <c r="E17" s="9">
        <v>9711</v>
      </c>
      <c r="F17" s="9">
        <v>27093</v>
      </c>
      <c r="G17" s="9">
        <v>20967</v>
      </c>
      <c r="H17" s="9">
        <v>11185</v>
      </c>
      <c r="I17" s="9">
        <v>5541</v>
      </c>
      <c r="J17" s="9">
        <v>30789</v>
      </c>
      <c r="K17" s="9">
        <v>14640</v>
      </c>
      <c r="L17" s="9">
        <v>7751</v>
      </c>
      <c r="M17" s="9">
        <v>4974</v>
      </c>
      <c r="N17" s="9">
        <v>27581</v>
      </c>
      <c r="O17" s="9">
        <v>19212</v>
      </c>
    </row>
    <row r="18" spans="2:15" ht="14" customHeight="1" x14ac:dyDescent="0.3">
      <c r="B18" s="40" t="s">
        <v>27</v>
      </c>
      <c r="C18" s="9">
        <v>-876</v>
      </c>
      <c r="D18" s="9">
        <v>-1256</v>
      </c>
      <c r="E18" s="9">
        <v>-627</v>
      </c>
      <c r="F18" s="9">
        <v>10707</v>
      </c>
      <c r="G18" s="9">
        <v>10118</v>
      </c>
      <c r="H18" s="9">
        <v>14103</v>
      </c>
      <c r="I18" s="9">
        <v>-255</v>
      </c>
      <c r="J18" s="9">
        <v>-11025</v>
      </c>
      <c r="K18" s="9">
        <v>-727</v>
      </c>
      <c r="L18" s="9">
        <v>-766</v>
      </c>
      <c r="M18" s="9">
        <v>265</v>
      </c>
      <c r="N18" s="9">
        <v>-16859</v>
      </c>
      <c r="O18" s="9">
        <v>-16745</v>
      </c>
    </row>
    <row r="19" spans="2:15" ht="14" customHeight="1" x14ac:dyDescent="0.3">
      <c r="B19" s="40" t="s">
        <v>59</v>
      </c>
      <c r="C19" s="9">
        <v>24915</v>
      </c>
      <c r="D19" s="9">
        <v>-9266</v>
      </c>
      <c r="E19" s="9">
        <v>-4212</v>
      </c>
      <c r="F19" s="9">
        <v>49615</v>
      </c>
      <c r="G19" s="9">
        <v>48227</v>
      </c>
      <c r="H19" s="9">
        <v>4888</v>
      </c>
      <c r="I19" s="9">
        <v>-1088</v>
      </c>
      <c r="J19" s="9">
        <v>43865</v>
      </c>
      <c r="K19" s="9">
        <v>43042</v>
      </c>
      <c r="L19" s="9">
        <v>47025</v>
      </c>
      <c r="M19" s="9">
        <v>-5593</v>
      </c>
      <c r="N19" s="9">
        <v>30409</v>
      </c>
      <c r="O19" s="9">
        <v>-10294</v>
      </c>
    </row>
    <row r="20" spans="2:15" ht="14" customHeight="1" x14ac:dyDescent="0.3">
      <c r="B20" s="40" t="s">
        <v>60</v>
      </c>
      <c r="C20" s="9">
        <v>12009</v>
      </c>
      <c r="D20" s="9">
        <v>6673</v>
      </c>
      <c r="E20" s="9">
        <v>1463</v>
      </c>
      <c r="F20" s="9">
        <v>10022</v>
      </c>
      <c r="G20" s="9">
        <v>6372</v>
      </c>
      <c r="H20" s="9">
        <v>2083</v>
      </c>
      <c r="I20" s="9">
        <v>1994</v>
      </c>
      <c r="J20" s="9">
        <v>6323</v>
      </c>
      <c r="K20" s="9">
        <v>25733</v>
      </c>
      <c r="L20" s="9">
        <v>8796</v>
      </c>
      <c r="M20" s="9">
        <v>15341</v>
      </c>
      <c r="N20" s="9">
        <v>1665</v>
      </c>
      <c r="O20" s="9">
        <v>1800</v>
      </c>
    </row>
    <row r="21" spans="2:15" ht="14" customHeight="1" x14ac:dyDescent="0.3">
      <c r="B21" s="40" t="s">
        <v>93</v>
      </c>
      <c r="C21" s="9">
        <v>-1084</v>
      </c>
      <c r="D21" s="37">
        <v>-904</v>
      </c>
      <c r="E21" s="9">
        <v>-616</v>
      </c>
      <c r="F21" s="9">
        <v>1126</v>
      </c>
      <c r="G21" s="9">
        <v>-7561</v>
      </c>
      <c r="H21" s="9">
        <v>-3243</v>
      </c>
      <c r="I21" s="9">
        <v>-794</v>
      </c>
      <c r="J21" s="9">
        <v>3051</v>
      </c>
      <c r="K21" s="9">
        <v>6922</v>
      </c>
      <c r="L21" s="9">
        <v>1722</v>
      </c>
      <c r="M21" s="9">
        <v>817</v>
      </c>
      <c r="N21" s="9">
        <v>6940</v>
      </c>
      <c r="O21" s="9">
        <v>6621</v>
      </c>
    </row>
    <row r="22" spans="2:15" ht="14" customHeight="1" x14ac:dyDescent="0.3">
      <c r="B22" s="40" t="s">
        <v>61</v>
      </c>
      <c r="C22" s="9">
        <v>10013</v>
      </c>
      <c r="D22" s="9">
        <v>6252</v>
      </c>
      <c r="E22" s="9">
        <v>544</v>
      </c>
      <c r="F22" s="9">
        <v>-1648</v>
      </c>
      <c r="G22" s="9">
        <v>22711</v>
      </c>
      <c r="H22" s="9">
        <v>3841</v>
      </c>
      <c r="I22" s="9">
        <v>1233</v>
      </c>
      <c r="J22" s="9">
        <v>5784</v>
      </c>
      <c r="K22" s="9">
        <v>5382</v>
      </c>
      <c r="L22" s="9">
        <v>4001</v>
      </c>
      <c r="M22" s="9">
        <v>1933</v>
      </c>
      <c r="N22" s="9">
        <v>-11406</v>
      </c>
      <c r="O22" s="9">
        <v>-6700</v>
      </c>
    </row>
    <row r="23" spans="2:15" ht="14" customHeight="1" x14ac:dyDescent="0.3">
      <c r="B23" s="40" t="s">
        <v>62</v>
      </c>
      <c r="C23" s="9">
        <v>4662</v>
      </c>
      <c r="D23" s="9">
        <v>3539</v>
      </c>
      <c r="E23" s="35">
        <v>0</v>
      </c>
      <c r="F23" s="9">
        <v>4457</v>
      </c>
      <c r="G23" s="9">
        <v>5282</v>
      </c>
      <c r="H23" s="9">
        <v>2188</v>
      </c>
      <c r="I23" s="9">
        <v>2132</v>
      </c>
      <c r="J23" s="9">
        <v>318</v>
      </c>
      <c r="K23" s="9">
        <v>-7849</v>
      </c>
      <c r="L23" s="9">
        <v>151</v>
      </c>
      <c r="M23" s="9">
        <v>1833</v>
      </c>
      <c r="N23" s="9">
        <v>-2402</v>
      </c>
      <c r="O23" s="9">
        <v>1265</v>
      </c>
    </row>
    <row r="24" spans="2:15" ht="14" customHeight="1" x14ac:dyDescent="0.3">
      <c r="D24" s="37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ht="14" customHeight="1" x14ac:dyDescent="0.3">
      <c r="B25" s="21" t="s">
        <v>64</v>
      </c>
      <c r="C25" s="21"/>
      <c r="D25" s="44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ht="14" customHeight="1" x14ac:dyDescent="0.3">
      <c r="B26" s="40" t="s">
        <v>7</v>
      </c>
      <c r="C26" s="9">
        <v>-17418</v>
      </c>
      <c r="D26" s="9">
        <v>-10549</v>
      </c>
      <c r="E26" s="9">
        <v>29978</v>
      </c>
      <c r="F26" s="9">
        <v>-53347</v>
      </c>
      <c r="G26" s="9">
        <v>-29709</v>
      </c>
      <c r="H26" s="9">
        <v>6507</v>
      </c>
      <c r="I26" s="9">
        <v>38646</v>
      </c>
      <c r="J26" s="9">
        <v>-608</v>
      </c>
      <c r="K26" s="9">
        <v>37301</v>
      </c>
      <c r="L26" s="9">
        <v>109627</v>
      </c>
      <c r="M26" s="9">
        <v>50296</v>
      </c>
      <c r="N26" s="9">
        <v>-16891</v>
      </c>
      <c r="O26" s="9">
        <v>13092</v>
      </c>
    </row>
    <row r="27" spans="2:15" ht="14" customHeight="1" x14ac:dyDescent="0.3">
      <c r="B27" s="40" t="s">
        <v>1</v>
      </c>
      <c r="C27" s="9">
        <v>-160694</v>
      </c>
      <c r="D27" s="9">
        <v>-99762</v>
      </c>
      <c r="E27" s="9">
        <v>-85891</v>
      </c>
      <c r="F27" s="9">
        <v>-79031</v>
      </c>
      <c r="G27" s="9">
        <v>-92875</v>
      </c>
      <c r="H27" s="9">
        <v>-79726</v>
      </c>
      <c r="I27" s="9">
        <v>-37895</v>
      </c>
      <c r="J27" s="9">
        <v>28794</v>
      </c>
      <c r="K27" s="9">
        <v>7930</v>
      </c>
      <c r="L27" s="9">
        <v>-6935</v>
      </c>
      <c r="M27" s="9">
        <v>-25059</v>
      </c>
      <c r="N27" s="9">
        <v>-1158</v>
      </c>
      <c r="O27" s="9">
        <v>12608</v>
      </c>
    </row>
    <row r="28" spans="2:15" ht="14" customHeight="1" x14ac:dyDescent="0.3">
      <c r="B28" s="40" t="s">
        <v>8</v>
      </c>
      <c r="C28" s="9">
        <v>11897</v>
      </c>
      <c r="D28" s="9">
        <v>11323</v>
      </c>
      <c r="E28" s="9">
        <v>7631</v>
      </c>
      <c r="F28" s="9">
        <v>-17582</v>
      </c>
      <c r="G28" s="9">
        <v>-11987</v>
      </c>
      <c r="H28" s="35">
        <v>0</v>
      </c>
      <c r="I28" s="37"/>
      <c r="J28" s="35">
        <v>0</v>
      </c>
      <c r="K28" s="9">
        <v>1082</v>
      </c>
      <c r="L28" s="37"/>
      <c r="M28" s="37"/>
      <c r="N28" s="37"/>
      <c r="O28" s="35"/>
    </row>
    <row r="29" spans="2:15" ht="14" customHeight="1" x14ac:dyDescent="0.3">
      <c r="B29" s="40" t="s">
        <v>9</v>
      </c>
      <c r="C29" s="9">
        <v>26018</v>
      </c>
      <c r="D29" s="9">
        <v>15359</v>
      </c>
      <c r="E29" s="9">
        <v>7873</v>
      </c>
      <c r="F29" s="9">
        <v>-83782</v>
      </c>
      <c r="G29" s="9">
        <v>-35423</v>
      </c>
      <c r="H29" s="9">
        <v>-50892</v>
      </c>
      <c r="I29" s="9">
        <v>5109</v>
      </c>
      <c r="J29" s="9">
        <v>17048</v>
      </c>
      <c r="K29" s="9">
        <v>12183</v>
      </c>
      <c r="L29" s="9">
        <v>6712</v>
      </c>
      <c r="M29" s="9">
        <v>3055</v>
      </c>
      <c r="N29" s="9">
        <v>-75056</v>
      </c>
      <c r="O29" s="9">
        <v>9225</v>
      </c>
    </row>
    <row r="30" spans="2:15" ht="14" customHeight="1" x14ac:dyDescent="0.3">
      <c r="B30" s="40" t="s">
        <v>10</v>
      </c>
      <c r="C30" s="9">
        <v>-748</v>
      </c>
      <c r="D30" s="9">
        <v>-1258</v>
      </c>
      <c r="E30" s="9">
        <v>-976</v>
      </c>
      <c r="F30" s="9">
        <v>-262</v>
      </c>
      <c r="G30" s="9">
        <v>1115</v>
      </c>
      <c r="H30" s="9">
        <v>1419</v>
      </c>
      <c r="I30" s="9">
        <v>1608</v>
      </c>
      <c r="J30" s="9">
        <v>-28</v>
      </c>
      <c r="K30" s="9">
        <v>1208</v>
      </c>
      <c r="L30" s="9">
        <v>1042</v>
      </c>
      <c r="M30" s="9">
        <v>830</v>
      </c>
      <c r="N30" s="9">
        <v>2536</v>
      </c>
      <c r="O30" s="9">
        <v>4664</v>
      </c>
    </row>
    <row r="31" spans="2:15" ht="14" customHeight="1" x14ac:dyDescent="0.3">
      <c r="B31" s="40" t="s">
        <v>65</v>
      </c>
      <c r="C31" s="9">
        <v>-103</v>
      </c>
      <c r="D31" s="9">
        <v>-158</v>
      </c>
      <c r="E31" s="9">
        <v>-35</v>
      </c>
      <c r="F31" s="9">
        <v>2511</v>
      </c>
      <c r="G31" s="9">
        <v>2579</v>
      </c>
      <c r="H31" s="9">
        <v>-2270</v>
      </c>
      <c r="I31" s="9">
        <v>-2070</v>
      </c>
      <c r="J31" s="9">
        <v>-1083</v>
      </c>
      <c r="K31" s="9">
        <v>-134</v>
      </c>
      <c r="L31" s="9">
        <v>47</v>
      </c>
      <c r="M31" s="9">
        <v>-8</v>
      </c>
      <c r="N31" s="9">
        <v>13965</v>
      </c>
      <c r="O31" s="9">
        <v>3379</v>
      </c>
    </row>
    <row r="32" spans="2:15" ht="14" customHeight="1" x14ac:dyDescent="0.3">
      <c r="B32" s="40" t="s">
        <v>0</v>
      </c>
      <c r="C32" s="9">
        <v>54023</v>
      </c>
      <c r="D32" s="9">
        <v>32887</v>
      </c>
      <c r="E32" s="9">
        <v>23753</v>
      </c>
      <c r="F32" s="9">
        <v>-1250</v>
      </c>
      <c r="G32" s="9">
        <v>12929</v>
      </c>
      <c r="H32" s="9">
        <v>17756</v>
      </c>
      <c r="I32" s="9">
        <v>10795</v>
      </c>
      <c r="J32" s="9">
        <v>2154</v>
      </c>
      <c r="K32" s="9">
        <v>-1575</v>
      </c>
      <c r="L32" s="9">
        <v>-15513</v>
      </c>
      <c r="M32" s="9">
        <v>-5628</v>
      </c>
      <c r="N32" s="9">
        <v>15650</v>
      </c>
      <c r="O32" s="9">
        <v>3964</v>
      </c>
    </row>
    <row r="33" spans="2:15" ht="14" customHeight="1" x14ac:dyDescent="0.3">
      <c r="B33" s="40" t="s">
        <v>21</v>
      </c>
      <c r="C33" s="9">
        <v>24976</v>
      </c>
      <c r="D33" s="9">
        <v>18217</v>
      </c>
      <c r="E33" s="9">
        <v>5165</v>
      </c>
      <c r="F33" s="9">
        <v>10428</v>
      </c>
      <c r="G33" s="9">
        <v>17774</v>
      </c>
      <c r="H33" s="9">
        <v>11390</v>
      </c>
      <c r="I33" s="9">
        <v>2578</v>
      </c>
      <c r="J33" s="9">
        <v>-2751</v>
      </c>
      <c r="K33" s="9">
        <v>5448</v>
      </c>
      <c r="L33" s="9">
        <v>-3710</v>
      </c>
      <c r="M33" s="9">
        <v>3938</v>
      </c>
      <c r="N33" s="9">
        <v>230</v>
      </c>
      <c r="O33" s="9">
        <v>-2339</v>
      </c>
    </row>
    <row r="34" spans="2:15" ht="14" customHeight="1" x14ac:dyDescent="0.3">
      <c r="B34" s="40" t="s">
        <v>22</v>
      </c>
      <c r="C34" s="9">
        <v>-5745</v>
      </c>
      <c r="D34" s="9">
        <v>14095</v>
      </c>
      <c r="E34" s="9">
        <v>-7188</v>
      </c>
      <c r="F34" s="9">
        <v>8887</v>
      </c>
      <c r="G34" s="9">
        <v>-2458</v>
      </c>
      <c r="H34" s="9">
        <v>37485</v>
      </c>
      <c r="I34" s="9">
        <v>26190</v>
      </c>
      <c r="J34" s="9">
        <v>1162</v>
      </c>
      <c r="K34" s="9">
        <v>3796</v>
      </c>
      <c r="L34" s="9">
        <v>2440</v>
      </c>
      <c r="M34" s="9">
        <v>-3396</v>
      </c>
      <c r="N34" s="9">
        <v>6615</v>
      </c>
      <c r="O34" s="9">
        <v>732</v>
      </c>
    </row>
    <row r="35" spans="2:15" ht="14" customHeight="1" x14ac:dyDescent="0.3">
      <c r="B35" s="40" t="s">
        <v>24</v>
      </c>
      <c r="C35" s="9">
        <v>1272</v>
      </c>
      <c r="D35" s="9">
        <v>586</v>
      </c>
      <c r="E35" s="9">
        <v>-625</v>
      </c>
      <c r="F35" s="9">
        <v>-674</v>
      </c>
      <c r="G35" s="9">
        <v>-2947</v>
      </c>
      <c r="H35" s="9">
        <v>3798</v>
      </c>
      <c r="I35" s="9">
        <v>-2376</v>
      </c>
      <c r="J35" s="9">
        <v>2053</v>
      </c>
      <c r="K35" s="9">
        <v>480</v>
      </c>
      <c r="L35" s="9">
        <v>554</v>
      </c>
      <c r="M35" s="9">
        <v>-412</v>
      </c>
      <c r="N35" s="9">
        <v>86</v>
      </c>
      <c r="O35" s="9">
        <v>-3298</v>
      </c>
    </row>
    <row r="36" spans="2:15" ht="14" customHeight="1" x14ac:dyDescent="0.3">
      <c r="C36" s="37"/>
      <c r="D36" s="37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2:15" ht="14" customHeight="1" x14ac:dyDescent="0.3">
      <c r="B37" s="40" t="s">
        <v>66</v>
      </c>
      <c r="C37" s="9">
        <v>-28229</v>
      </c>
      <c r="D37" s="9">
        <v>-9044</v>
      </c>
      <c r="E37" s="9">
        <v>-6406</v>
      </c>
      <c r="F37" s="9">
        <v>-54847</v>
      </c>
      <c r="G37" s="9">
        <v>-55418</v>
      </c>
      <c r="H37" s="9">
        <v>-28531</v>
      </c>
      <c r="I37" s="9">
        <v>-16086</v>
      </c>
      <c r="J37" s="9">
        <v>-977</v>
      </c>
      <c r="K37" s="9">
        <v>-744</v>
      </c>
      <c r="L37" s="9">
        <v>-744</v>
      </c>
      <c r="M37" s="9">
        <v>-744</v>
      </c>
      <c r="N37" s="9">
        <v>-4928</v>
      </c>
      <c r="O37" s="9">
        <v>-10263</v>
      </c>
    </row>
    <row r="38" spans="2:15" ht="14" customHeight="1" x14ac:dyDescent="0.3">
      <c r="B38" s="40" t="s">
        <v>67</v>
      </c>
      <c r="C38" s="9">
        <v>-9366</v>
      </c>
      <c r="D38" s="9">
        <v>-5349</v>
      </c>
      <c r="E38" s="9">
        <v>-2086</v>
      </c>
      <c r="F38" s="9">
        <v>-3570</v>
      </c>
      <c r="G38" s="9">
        <v>-2812</v>
      </c>
      <c r="H38" s="9">
        <v>-705</v>
      </c>
      <c r="I38" s="9">
        <v>-635</v>
      </c>
      <c r="J38" s="9">
        <v>-2630</v>
      </c>
      <c r="K38" s="9">
        <v>-1104</v>
      </c>
      <c r="L38" s="9">
        <v>-894</v>
      </c>
      <c r="M38" s="9">
        <v>-663</v>
      </c>
      <c r="N38" s="9">
        <v>-5946</v>
      </c>
      <c r="O38" s="9">
        <v>-9566</v>
      </c>
    </row>
    <row r="39" spans="2:15" ht="14" customHeight="1" x14ac:dyDescent="0.3">
      <c r="D39" s="37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2:15" ht="14" customHeight="1" x14ac:dyDescent="0.3">
      <c r="B40" s="42" t="s">
        <v>68</v>
      </c>
      <c r="C40" s="43">
        <f t="shared" ref="C40:O40" si="7">SUM(C14:C38)</f>
        <v>142102</v>
      </c>
      <c r="D40" s="43">
        <f t="shared" si="7"/>
        <v>106940</v>
      </c>
      <c r="E40" s="43">
        <f t="shared" si="7"/>
        <v>43719</v>
      </c>
      <c r="F40" s="43">
        <f t="shared" si="7"/>
        <v>126127</v>
      </c>
      <c r="G40" s="43">
        <f t="shared" si="7"/>
        <v>99067</v>
      </c>
      <c r="H40" s="43">
        <f t="shared" si="7"/>
        <v>74317</v>
      </c>
      <c r="I40" s="43">
        <f t="shared" si="7"/>
        <v>58749</v>
      </c>
      <c r="J40" s="43">
        <f t="shared" si="7"/>
        <v>105272</v>
      </c>
      <c r="K40" s="43">
        <f t="shared" si="7"/>
        <v>85376</v>
      </c>
      <c r="L40" s="43">
        <f t="shared" si="7"/>
        <v>75718</v>
      </c>
      <c r="M40" s="43">
        <f t="shared" si="7"/>
        <v>33107</v>
      </c>
      <c r="N40" s="43">
        <f t="shared" si="7"/>
        <v>83574</v>
      </c>
      <c r="O40" s="43">
        <f t="shared" si="7"/>
        <v>110120</v>
      </c>
    </row>
    <row r="41" spans="2:15" ht="14" customHeight="1" x14ac:dyDescent="0.3"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</row>
    <row r="42" spans="2:15" ht="14" customHeight="1" x14ac:dyDescent="0.3">
      <c r="B42" s="40" t="s">
        <v>69</v>
      </c>
      <c r="C42" s="39">
        <v>-47312</v>
      </c>
      <c r="D42" s="39">
        <v>-43268</v>
      </c>
      <c r="E42" s="39">
        <v>-15240</v>
      </c>
      <c r="F42" s="39">
        <v>-55357</v>
      </c>
      <c r="G42" s="39">
        <v>-33340</v>
      </c>
      <c r="H42" s="39">
        <v>-18018</v>
      </c>
      <c r="I42" s="39">
        <v>-14613</v>
      </c>
      <c r="J42" s="39">
        <v>-18234</v>
      </c>
      <c r="K42" s="39">
        <v>-5680</v>
      </c>
      <c r="L42" s="39">
        <v>-1803</v>
      </c>
      <c r="M42" s="39">
        <v>-3771</v>
      </c>
      <c r="N42" s="39">
        <v>-15916</v>
      </c>
      <c r="O42" s="39">
        <v>-16354</v>
      </c>
    </row>
    <row r="43" spans="2:15" ht="14" customHeight="1" x14ac:dyDescent="0.3">
      <c r="B43" s="40" t="s">
        <v>70</v>
      </c>
      <c r="C43" s="39">
        <v>-34408</v>
      </c>
      <c r="D43" s="39">
        <v>-34155</v>
      </c>
      <c r="E43" s="39">
        <v>-866</v>
      </c>
      <c r="F43" s="39">
        <v>-3488</v>
      </c>
      <c r="G43" s="39">
        <v>-1531</v>
      </c>
      <c r="H43" s="39">
        <v>-1264</v>
      </c>
      <c r="I43" s="39">
        <v>-229</v>
      </c>
      <c r="J43" s="39">
        <v>-1499</v>
      </c>
      <c r="K43" s="39">
        <v>-700</v>
      </c>
      <c r="L43" s="39">
        <v>-927</v>
      </c>
      <c r="M43" s="39">
        <v>-701</v>
      </c>
      <c r="N43" s="39">
        <v>-1171</v>
      </c>
      <c r="O43" s="39">
        <v>-1415</v>
      </c>
    </row>
    <row r="44" spans="2:15" ht="14" customHeight="1" x14ac:dyDescent="0.3">
      <c r="B44" s="40" t="s">
        <v>71</v>
      </c>
      <c r="C44" s="39">
        <v>0</v>
      </c>
      <c r="D44" s="39">
        <v>0</v>
      </c>
      <c r="E44" s="39">
        <v>0</v>
      </c>
      <c r="F44" s="39">
        <v>17446</v>
      </c>
      <c r="G44" s="39">
        <v>-702</v>
      </c>
      <c r="H44" s="39">
        <v>-481</v>
      </c>
      <c r="I44" s="39">
        <v>-73</v>
      </c>
      <c r="J44" s="39">
        <v>-17446</v>
      </c>
      <c r="K44" s="39">
        <v>-39212</v>
      </c>
      <c r="L44" s="39">
        <v>-39341</v>
      </c>
      <c r="M44" s="39">
        <v>-39054</v>
      </c>
      <c r="N44" s="39"/>
      <c r="O44" s="39"/>
    </row>
    <row r="45" spans="2:15" ht="14" customHeight="1" x14ac:dyDescent="0.3">
      <c r="B45" s="42" t="s">
        <v>72</v>
      </c>
      <c r="C45" s="43">
        <f t="shared" ref="C45:O45" si="8">SUM(C42:C44)</f>
        <v>-81720</v>
      </c>
      <c r="D45" s="43">
        <f t="shared" si="8"/>
        <v>-77423</v>
      </c>
      <c r="E45" s="43">
        <f t="shared" si="8"/>
        <v>-16106</v>
      </c>
      <c r="F45" s="43">
        <f t="shared" si="8"/>
        <v>-41399</v>
      </c>
      <c r="G45" s="43">
        <f t="shared" si="8"/>
        <v>-35573</v>
      </c>
      <c r="H45" s="43">
        <f t="shared" si="8"/>
        <v>-19763</v>
      </c>
      <c r="I45" s="43">
        <f t="shared" si="8"/>
        <v>-14915</v>
      </c>
      <c r="J45" s="43">
        <f t="shared" si="8"/>
        <v>-37179</v>
      </c>
      <c r="K45" s="43">
        <f t="shared" si="8"/>
        <v>-45592</v>
      </c>
      <c r="L45" s="43">
        <f t="shared" si="8"/>
        <v>-42071</v>
      </c>
      <c r="M45" s="43">
        <f t="shared" si="8"/>
        <v>-43526</v>
      </c>
      <c r="N45" s="43">
        <f t="shared" si="8"/>
        <v>-17087</v>
      </c>
      <c r="O45" s="43">
        <f t="shared" si="8"/>
        <v>-17769</v>
      </c>
    </row>
    <row r="46" spans="2:15" ht="14" customHeight="1" x14ac:dyDescent="0.3"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</row>
    <row r="47" spans="2:15" ht="14" customHeight="1" x14ac:dyDescent="0.3">
      <c r="B47" s="40" t="s">
        <v>73</v>
      </c>
      <c r="C47" s="39">
        <v>-9041</v>
      </c>
      <c r="D47" s="39">
        <v>-6051</v>
      </c>
      <c r="E47" s="39">
        <v>-3031</v>
      </c>
      <c r="F47" s="39">
        <v>-6720</v>
      </c>
      <c r="G47" s="39">
        <v>-3416</v>
      </c>
      <c r="H47" s="39">
        <v>-1243</v>
      </c>
      <c r="I47" s="39">
        <v>-594</v>
      </c>
      <c r="J47" s="39">
        <v>-4219</v>
      </c>
      <c r="K47" s="39">
        <v>-2951</v>
      </c>
      <c r="L47" s="39">
        <v>-2176</v>
      </c>
      <c r="M47" s="39">
        <v>-1078</v>
      </c>
      <c r="N47" s="39">
        <v>-6168</v>
      </c>
      <c r="O47" s="39"/>
    </row>
    <row r="48" spans="2:15" ht="14" customHeight="1" x14ac:dyDescent="0.3">
      <c r="B48" s="40" t="s">
        <v>74</v>
      </c>
      <c r="C48" s="39">
        <v>-3750</v>
      </c>
      <c r="D48" s="39">
        <v>-3750</v>
      </c>
      <c r="E48" s="39">
        <v>-14500</v>
      </c>
      <c r="F48" s="39">
        <v>-93990</v>
      </c>
      <c r="G48" s="39">
        <v>-11618</v>
      </c>
      <c r="H48" s="39">
        <v>-8148</v>
      </c>
      <c r="I48" s="39">
        <v>-4679</v>
      </c>
      <c r="J48" s="39">
        <v>-5788</v>
      </c>
      <c r="K48" s="39">
        <v>-2150</v>
      </c>
      <c r="L48" s="39">
        <v>0</v>
      </c>
      <c r="M48" s="39"/>
      <c r="N48" s="39">
        <v>-22692</v>
      </c>
      <c r="O48" s="39">
        <v>-34</v>
      </c>
    </row>
    <row r="49" spans="2:15" ht="14" customHeight="1" x14ac:dyDescent="0.3">
      <c r="B49" s="40" t="s">
        <v>75</v>
      </c>
      <c r="C49" s="39">
        <v>-31750</v>
      </c>
      <c r="D49" s="39">
        <v>-21250</v>
      </c>
      <c r="E49" s="39">
        <v>0</v>
      </c>
      <c r="F49" s="39">
        <v>-14450</v>
      </c>
      <c r="G49" s="39">
        <v>-10482</v>
      </c>
      <c r="H49" s="39">
        <v>-7352</v>
      </c>
      <c r="I49" s="39">
        <v>-4221</v>
      </c>
      <c r="J49" s="39">
        <v>-12750</v>
      </c>
      <c r="K49" s="39">
        <v>-12750</v>
      </c>
      <c r="L49" s="39">
        <v>-10472</v>
      </c>
      <c r="M49" s="39">
        <v>-5900</v>
      </c>
      <c r="N49" s="39">
        <v>-5610</v>
      </c>
      <c r="O49" s="39">
        <v>-24565</v>
      </c>
    </row>
    <row r="50" spans="2:15" ht="14" customHeight="1" x14ac:dyDescent="0.3">
      <c r="B50" s="40" t="s">
        <v>76</v>
      </c>
      <c r="C50" s="39">
        <v>44196</v>
      </c>
      <c r="D50" s="39">
        <v>44197</v>
      </c>
      <c r="E50" s="39">
        <v>44196</v>
      </c>
      <c r="F50" s="39">
        <v>34217</v>
      </c>
      <c r="G50" s="39">
        <v>-437</v>
      </c>
      <c r="H50" s="45">
        <v>0</v>
      </c>
      <c r="I50" s="39"/>
      <c r="J50" s="46">
        <v>0</v>
      </c>
      <c r="K50" s="39">
        <v>-2726</v>
      </c>
      <c r="L50" s="39"/>
      <c r="M50" s="39"/>
      <c r="N50" s="39">
        <v>16760</v>
      </c>
      <c r="O50" s="39">
        <v>65900</v>
      </c>
    </row>
    <row r="51" spans="2:15" ht="14" customHeight="1" x14ac:dyDescent="0.3">
      <c r="B51" s="40" t="s">
        <v>290</v>
      </c>
      <c r="C51" s="39">
        <v>0</v>
      </c>
      <c r="D51" s="39">
        <v>0</v>
      </c>
      <c r="E51" s="39">
        <v>0</v>
      </c>
      <c r="F51" s="39">
        <v>-11642</v>
      </c>
      <c r="G51" s="39">
        <v>0</v>
      </c>
      <c r="H51" s="39">
        <v>-431</v>
      </c>
      <c r="I51" s="39">
        <v>-426</v>
      </c>
      <c r="J51" s="39">
        <v>-23994</v>
      </c>
      <c r="K51" s="39"/>
      <c r="L51" s="39">
        <v>-2726</v>
      </c>
      <c r="M51" s="39">
        <v>-1361</v>
      </c>
      <c r="N51" s="39">
        <v>-75073</v>
      </c>
      <c r="O51" s="39">
        <v>-94884</v>
      </c>
    </row>
    <row r="52" spans="2:15" ht="14" customHeight="1" x14ac:dyDescent="0.3">
      <c r="B52" s="42" t="s">
        <v>79</v>
      </c>
      <c r="C52" s="43">
        <f t="shared" ref="C52:O52" si="9">SUM(C47:C51)</f>
        <v>-345</v>
      </c>
      <c r="D52" s="43">
        <f t="shared" si="9"/>
        <v>13146</v>
      </c>
      <c r="E52" s="43">
        <f t="shared" si="9"/>
        <v>26665</v>
      </c>
      <c r="F52" s="43">
        <f t="shared" si="9"/>
        <v>-92585</v>
      </c>
      <c r="G52" s="43">
        <f t="shared" si="9"/>
        <v>-25953</v>
      </c>
      <c r="H52" s="43">
        <f t="shared" si="9"/>
        <v>-17174</v>
      </c>
      <c r="I52" s="43">
        <f t="shared" si="9"/>
        <v>-9920</v>
      </c>
      <c r="J52" s="43">
        <f t="shared" si="9"/>
        <v>-46751</v>
      </c>
      <c r="K52" s="43">
        <f t="shared" si="9"/>
        <v>-20577</v>
      </c>
      <c r="L52" s="43">
        <f t="shared" si="9"/>
        <v>-15374</v>
      </c>
      <c r="M52" s="43">
        <f t="shared" si="9"/>
        <v>-8339</v>
      </c>
      <c r="N52" s="43">
        <f t="shared" si="9"/>
        <v>-92783</v>
      </c>
      <c r="O52" s="43">
        <f t="shared" si="9"/>
        <v>-53583</v>
      </c>
    </row>
    <row r="53" spans="2:15" ht="14" customHeight="1" x14ac:dyDescent="0.3"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</row>
    <row r="54" spans="2:15" ht="14" customHeight="1" x14ac:dyDescent="0.3"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</row>
    <row r="57" spans="2:15" ht="14" customHeight="1" x14ac:dyDescent="0.3"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2:15" ht="14" customHeight="1" x14ac:dyDescent="0.3"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2:15" ht="14" customHeight="1" x14ac:dyDescent="0.3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2:15" ht="14" customHeight="1" x14ac:dyDescent="0.3"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496C8"/>
  </sheetPr>
  <dimension ref="B1:L21"/>
  <sheetViews>
    <sheetView showGridLines="0" showRowColHeaders="0" zoomScaleNormal="100" workbookViewId="0"/>
  </sheetViews>
  <sheetFormatPr defaultColWidth="10.08984375" defaultRowHeight="14" customHeight="1" x14ac:dyDescent="0.3"/>
  <cols>
    <col min="1" max="1" width="0.90625" style="38" customWidth="1"/>
    <col min="2" max="2" width="32.7265625" style="38" customWidth="1"/>
    <col min="3" max="4" width="10.1796875" style="38" customWidth="1"/>
    <col min="5" max="16384" width="10.08984375" style="38"/>
  </cols>
  <sheetData>
    <row r="1" spans="2:12" ht="5" customHeight="1" x14ac:dyDescent="0.3"/>
    <row r="6" spans="2:12" s="106" customFormat="1" ht="26.5" customHeight="1" thickBot="1" x14ac:dyDescent="0.35">
      <c r="B6" s="123" t="s">
        <v>105</v>
      </c>
      <c r="C6" s="124">
        <v>44834</v>
      </c>
      <c r="D6" s="124">
        <v>44742</v>
      </c>
      <c r="E6" s="124">
        <v>44651</v>
      </c>
      <c r="F6" s="124">
        <v>44561</v>
      </c>
      <c r="G6" s="124">
        <v>44469</v>
      </c>
      <c r="H6" s="124">
        <v>44377</v>
      </c>
      <c r="I6" s="124">
        <v>44286</v>
      </c>
      <c r="J6" s="124">
        <v>44196</v>
      </c>
      <c r="K6" s="124">
        <v>43830</v>
      </c>
      <c r="L6" s="124">
        <v>43465</v>
      </c>
    </row>
    <row r="7" spans="2:12" ht="14" customHeight="1" thickTop="1" x14ac:dyDescent="0.3">
      <c r="B7" s="47"/>
      <c r="C7" s="47"/>
      <c r="D7" s="47"/>
    </row>
    <row r="8" spans="2:12" ht="14" customHeight="1" x14ac:dyDescent="0.3">
      <c r="B8" s="53" t="s">
        <v>5</v>
      </c>
      <c r="C8" s="39">
        <f>'1| Balanço Patrimonial'!C8</f>
        <v>157031</v>
      </c>
      <c r="D8" s="39">
        <f>'1| Balanço Patrimonial'!D8</f>
        <v>139657</v>
      </c>
      <c r="E8" s="39">
        <f>'1| Balanço Patrimonial'!E8</f>
        <v>151272</v>
      </c>
      <c r="F8" s="39">
        <f>'1| Balanço Patrimonial'!F8</f>
        <v>96994</v>
      </c>
      <c r="G8" s="39">
        <f>'1| Balanço Patrimonial'!G8</f>
        <v>142392</v>
      </c>
      <c r="H8" s="39">
        <f>'1| Balanço Patrimonial'!H8</f>
        <v>142231</v>
      </c>
      <c r="I8" s="39">
        <f>'1| Balanço Patrimonial'!I8</f>
        <v>138765</v>
      </c>
      <c r="J8" s="39">
        <f>'1| Balanço Patrimonial'!J8</f>
        <v>104851</v>
      </c>
      <c r="K8" s="39">
        <f>'1| Balanço Patrimonial'!N8</f>
        <v>83509</v>
      </c>
      <c r="L8" s="39">
        <f>'1| Balanço Patrimonial'!O8</f>
        <v>109805</v>
      </c>
    </row>
    <row r="9" spans="2:12" ht="14" customHeight="1" x14ac:dyDescent="0.3">
      <c r="B9" s="53" t="s">
        <v>6</v>
      </c>
      <c r="C9" s="54">
        <f>'1| Balanço Patrimonial'!C9</f>
        <v>0</v>
      </c>
      <c r="D9" s="54">
        <f>'1| Balanço Patrimonial'!D9</f>
        <v>0</v>
      </c>
      <c r="E9" s="54">
        <f>'1| Balanço Patrimonial'!E9</f>
        <v>0</v>
      </c>
      <c r="F9" s="54">
        <f>'1| Balanço Patrimonial'!F9</f>
        <v>0</v>
      </c>
      <c r="G9" s="39">
        <f>'1| Balanço Patrimonial'!G9</f>
        <v>18148</v>
      </c>
      <c r="H9" s="39">
        <f>'1| Balanço Patrimonial'!H9</f>
        <v>17927</v>
      </c>
      <c r="I9" s="39">
        <f>'1| Balanço Patrimonial'!I9</f>
        <v>17519</v>
      </c>
      <c r="J9" s="39">
        <f>'1| Balanço Patrimonial'!J9</f>
        <v>17446</v>
      </c>
      <c r="K9" s="54">
        <f>'1| Balanço Patrimonial'!N9</f>
        <v>0</v>
      </c>
      <c r="L9" s="54">
        <f>'1| Balanço Patrimonial'!O9</f>
        <v>0</v>
      </c>
    </row>
    <row r="10" spans="2:12" ht="14" customHeight="1" x14ac:dyDescent="0.3">
      <c r="B10" s="53" t="s">
        <v>102</v>
      </c>
      <c r="C10" s="39">
        <f>-'1| Balanço Patrimonial'!C34</f>
        <v>-12568</v>
      </c>
      <c r="D10" s="39">
        <f>-'1| Balanço Patrimonial'!D34</f>
        <v>-12273</v>
      </c>
      <c r="E10" s="39">
        <f>-'1| Balanço Patrimonial'!E34</f>
        <v>-10842</v>
      </c>
      <c r="F10" s="39">
        <f>-'1| Balanço Patrimonial'!F34</f>
        <v>-11512</v>
      </c>
      <c r="G10" s="39">
        <f>-'1| Balanço Patrimonial'!G34</f>
        <v>-11053</v>
      </c>
      <c r="H10" s="39">
        <f>-'1| Balanço Patrimonial'!H34</f>
        <v>-15131</v>
      </c>
      <c r="I10" s="39">
        <f>-'1| Balanço Patrimonial'!I34</f>
        <v>-14473</v>
      </c>
      <c r="J10" s="39">
        <f>-'1| Balanço Patrimonial'!J34</f>
        <v>-12223</v>
      </c>
      <c r="K10" s="39">
        <f>-'1| Balanço Patrimonial'!N34</f>
        <v>-25293</v>
      </c>
      <c r="L10" s="39">
        <f>-'1| Balanço Patrimonial'!O34</f>
        <v>-72938</v>
      </c>
    </row>
    <row r="11" spans="2:12" ht="14" customHeight="1" x14ac:dyDescent="0.3">
      <c r="B11" s="53" t="s">
        <v>103</v>
      </c>
      <c r="C11" s="39">
        <f>-'1| Balanço Patrimonial'!C43</f>
        <v>-79477</v>
      </c>
      <c r="D11" s="39">
        <f>-'1| Balanço Patrimonial'!D43</f>
        <v>-76999</v>
      </c>
      <c r="E11" s="39">
        <f>-'1| Balanço Patrimonial'!E43</f>
        <v>-69667</v>
      </c>
      <c r="F11" s="39">
        <f>-'1| Balanço Patrimonial'!F43</f>
        <v>-33603</v>
      </c>
      <c r="G11" s="39">
        <f>-'1| Balanço Patrimonial'!G43</f>
        <v>-10921</v>
      </c>
      <c r="H11" s="39">
        <f>-'1| Balanço Patrimonial'!H43</f>
        <v>-5042</v>
      </c>
      <c r="I11" s="39">
        <f>-'1| Balanço Patrimonial'!I43</f>
        <v>-8436</v>
      </c>
      <c r="J11" s="39">
        <f>-'1| Balanço Patrimonial'!J43</f>
        <v>-9083</v>
      </c>
      <c r="K11" s="39">
        <f>-'1| Balanço Patrimonial'!N43</f>
        <v>-10895</v>
      </c>
      <c r="L11" s="39">
        <f>-'1| Balanço Patrimonial'!O43</f>
        <v>-22356</v>
      </c>
    </row>
    <row r="12" spans="2:12" ht="14" customHeight="1" x14ac:dyDescent="0.3">
      <c r="B12" s="42" t="s">
        <v>104</v>
      </c>
      <c r="C12" s="43">
        <f t="shared" ref="C12:E12" si="0">SUM(C8:C11)</f>
        <v>64986</v>
      </c>
      <c r="D12" s="43">
        <f t="shared" si="0"/>
        <v>50385</v>
      </c>
      <c r="E12" s="43">
        <f t="shared" si="0"/>
        <v>70763</v>
      </c>
      <c r="F12" s="43">
        <f>SUM(F8:F11)</f>
        <v>51879</v>
      </c>
      <c r="G12" s="43">
        <f t="shared" ref="G12:L12" si="1">SUM(G8:G11)</f>
        <v>138566</v>
      </c>
      <c r="H12" s="43">
        <f t="shared" si="1"/>
        <v>139985</v>
      </c>
      <c r="I12" s="43">
        <f t="shared" si="1"/>
        <v>133375</v>
      </c>
      <c r="J12" s="43">
        <f t="shared" si="1"/>
        <v>100991</v>
      </c>
      <c r="K12" s="43">
        <f t="shared" si="1"/>
        <v>47321</v>
      </c>
      <c r="L12" s="43">
        <f t="shared" si="1"/>
        <v>14511</v>
      </c>
    </row>
    <row r="14" spans="2:12" ht="14" customHeight="1" x14ac:dyDescent="0.3">
      <c r="B14" s="48"/>
      <c r="C14" s="48"/>
      <c r="D14" s="48"/>
      <c r="E14" s="49"/>
      <c r="F14" s="49"/>
      <c r="G14" s="49"/>
      <c r="H14" s="49"/>
      <c r="I14" s="49"/>
      <c r="J14" s="49"/>
      <c r="K14" s="49"/>
      <c r="L14" s="49"/>
    </row>
    <row r="15" spans="2:12" ht="14" customHeight="1" x14ac:dyDescent="0.3">
      <c r="B15" s="48"/>
      <c r="C15" s="48"/>
      <c r="D15" s="48"/>
      <c r="E15" s="49"/>
      <c r="F15" s="49"/>
      <c r="G15" s="49"/>
      <c r="H15" s="49"/>
      <c r="I15" s="49"/>
      <c r="J15" s="49"/>
      <c r="K15" s="49"/>
      <c r="L15" s="49"/>
    </row>
    <row r="16" spans="2:12" ht="14" customHeight="1" x14ac:dyDescent="0.3"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</row>
    <row r="17" spans="2:12" ht="14" customHeight="1" x14ac:dyDescent="0.3">
      <c r="E17" s="50"/>
      <c r="F17" s="50"/>
      <c r="G17" s="50"/>
      <c r="H17" s="50"/>
      <c r="I17" s="50"/>
      <c r="J17" s="50"/>
      <c r="K17" s="50"/>
      <c r="L17" s="50"/>
    </row>
    <row r="18" spans="2:12" ht="14" customHeight="1" x14ac:dyDescent="0.3"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</row>
    <row r="19" spans="2:12" ht="14" customHeight="1" x14ac:dyDescent="0.3">
      <c r="E19" s="51"/>
      <c r="F19" s="51"/>
      <c r="G19" s="51"/>
      <c r="H19" s="51"/>
      <c r="I19" s="51"/>
      <c r="J19" s="51"/>
      <c r="K19" s="51"/>
      <c r="L19" s="51"/>
    </row>
    <row r="20" spans="2:12" ht="14" customHeight="1" x14ac:dyDescent="0.3">
      <c r="E20" s="52"/>
    </row>
    <row r="21" spans="2:12" ht="14" customHeight="1" x14ac:dyDescent="0.3">
      <c r="K21" s="52"/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496C8"/>
  </sheetPr>
  <dimension ref="B1:W42"/>
  <sheetViews>
    <sheetView showGridLines="0" showRowColHeaders="0"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08984375" defaultRowHeight="14" customHeight="1" x14ac:dyDescent="0.3"/>
  <cols>
    <col min="1" max="1" width="0.90625" style="2" customWidth="1"/>
    <col min="2" max="2" width="47.36328125" style="2" customWidth="1"/>
    <col min="3" max="3" width="10.08984375" style="2" customWidth="1"/>
    <col min="4" max="16384" width="10.08984375" style="2"/>
  </cols>
  <sheetData>
    <row r="1" spans="2:22" ht="5" customHeight="1" x14ac:dyDescent="0.3"/>
    <row r="4" spans="2:22" ht="14.5" customHeight="1" x14ac:dyDescent="0.3"/>
    <row r="6" spans="2:22" s="103" customFormat="1" ht="26.5" customHeight="1" thickBot="1" x14ac:dyDescent="0.35">
      <c r="B6" s="130" t="s">
        <v>233</v>
      </c>
      <c r="C6" s="124" t="s">
        <v>279</v>
      </c>
      <c r="D6" s="124" t="s">
        <v>193</v>
      </c>
      <c r="E6" s="124" t="s">
        <v>170</v>
      </c>
      <c r="F6" s="132" t="s">
        <v>86</v>
      </c>
      <c r="G6" s="131" t="s">
        <v>88</v>
      </c>
      <c r="H6" s="131" t="s">
        <v>91</v>
      </c>
      <c r="I6" s="124" t="s">
        <v>94</v>
      </c>
      <c r="J6" s="132" t="s">
        <v>87</v>
      </c>
      <c r="K6" s="131" t="s">
        <v>89</v>
      </c>
      <c r="L6" s="131" t="s">
        <v>92</v>
      </c>
      <c r="M6" s="124" t="s">
        <v>95</v>
      </c>
      <c r="N6" s="132" t="s">
        <v>98</v>
      </c>
      <c r="O6" s="131" t="s">
        <v>188</v>
      </c>
      <c r="P6" s="131" t="s">
        <v>189</v>
      </c>
      <c r="Q6" s="124" t="s">
        <v>190</v>
      </c>
      <c r="R6" s="132" t="s">
        <v>99</v>
      </c>
    </row>
    <row r="7" spans="2:22" ht="14" customHeight="1" thickTop="1" x14ac:dyDescent="0.3">
      <c r="G7" s="25"/>
      <c r="H7" s="25"/>
      <c r="K7" s="25"/>
      <c r="L7" s="25"/>
    </row>
    <row r="8" spans="2:22" ht="14" customHeight="1" x14ac:dyDescent="0.3">
      <c r="B8" s="40" t="s">
        <v>52</v>
      </c>
      <c r="C8" s="9">
        <f>'2| DRE'!D24</f>
        <v>166916</v>
      </c>
      <c r="D8" s="9">
        <f>'2| DRE'!E24</f>
        <v>116107</v>
      </c>
      <c r="E8" s="9">
        <f>'2| DRE'!F24</f>
        <v>66263</v>
      </c>
      <c r="F8" s="9">
        <f>'2| DRE'!G24</f>
        <v>297274</v>
      </c>
      <c r="G8" s="9">
        <f>'2| DRE'!H24</f>
        <v>192183</v>
      </c>
      <c r="H8" s="9">
        <f>'2| DRE'!I24</f>
        <v>123041</v>
      </c>
      <c r="I8" s="9">
        <f>'2| DRE'!J24</f>
        <v>24122</v>
      </c>
      <c r="J8" s="9">
        <f>'2| DRE'!K24</f>
        <v>-16967</v>
      </c>
      <c r="K8" s="9">
        <f>'2| DRE'!L24</f>
        <v>-67638</v>
      </c>
      <c r="L8" s="9">
        <f>'2| DRE'!M24</f>
        <v>-85588</v>
      </c>
      <c r="M8" s="9">
        <f>'2| DRE'!N24</f>
        <v>-8672</v>
      </c>
      <c r="N8" s="9">
        <f>'2| DRE'!O24</f>
        <v>112543</v>
      </c>
      <c r="O8" s="9">
        <f>113386779.53/1000</f>
        <v>113386.77953</v>
      </c>
      <c r="P8" s="9">
        <f>36688881.98/1000</f>
        <v>36688.881979999998</v>
      </c>
      <c r="Q8" s="9">
        <f>14947316.81/1000</f>
        <v>14947.31681</v>
      </c>
      <c r="R8" s="9">
        <f>'2| DRE'!P24</f>
        <v>92763</v>
      </c>
      <c r="U8" s="4"/>
      <c r="V8" s="4"/>
    </row>
    <row r="9" spans="2:22" ht="14" customHeight="1" x14ac:dyDescent="0.3">
      <c r="B9" s="40" t="s">
        <v>106</v>
      </c>
      <c r="C9" s="9">
        <f>-SUM('2| DRE'!D22:D23)</f>
        <v>24915</v>
      </c>
      <c r="D9" s="9">
        <f>-SUM('2| DRE'!E22:E23)</f>
        <v>7957</v>
      </c>
      <c r="E9" s="9">
        <f>-SUM('2| DRE'!F22:F23)</f>
        <v>-4212</v>
      </c>
      <c r="F9" s="9">
        <f>-SUM('2| DRE'!G22:G23)</f>
        <v>49615</v>
      </c>
      <c r="G9" s="9">
        <f>-SUM('2| DRE'!H22:H23)</f>
        <v>48227</v>
      </c>
      <c r="H9" s="9">
        <f>-SUM('2| DRE'!I22:I23)</f>
        <v>47555</v>
      </c>
      <c r="I9" s="9">
        <f>-SUM('2| DRE'!J22:J23)</f>
        <v>14021</v>
      </c>
      <c r="J9" s="9">
        <f>-SUM('2| DRE'!K22:K23)</f>
        <v>43865</v>
      </c>
      <c r="K9" s="9">
        <f>-SUM('2| DRE'!L22:L23)</f>
        <v>44019</v>
      </c>
      <c r="L9" s="9">
        <f>-SUM('2| DRE'!M22:M23)</f>
        <v>48002</v>
      </c>
      <c r="M9" s="9">
        <f>-SUM('2| DRE'!N22:N23)</f>
        <v>-4849</v>
      </c>
      <c r="N9" s="9">
        <f>-SUM('2| DRE'!O22:O23)</f>
        <v>30409</v>
      </c>
      <c r="O9" s="9">
        <f>30791642.11/1000</f>
        <v>30791.642110000001</v>
      </c>
      <c r="P9" s="9">
        <f>2310718.97/1000</f>
        <v>2310.7189700000004</v>
      </c>
      <c r="Q9" s="9">
        <f>1097697/1000</f>
        <v>1097.6969999999999</v>
      </c>
      <c r="R9" s="9">
        <f>-SUM('2| DRE'!P22:P23)</f>
        <v>-15083</v>
      </c>
      <c r="U9" s="4"/>
      <c r="V9" s="4"/>
    </row>
    <row r="10" spans="2:22" ht="14" customHeight="1" x14ac:dyDescent="0.3">
      <c r="B10" s="40" t="s">
        <v>107</v>
      </c>
      <c r="C10" s="9">
        <f>-SUM('2| DRE'!D18:D19)</f>
        <v>-295</v>
      </c>
      <c r="D10" s="9">
        <f>-SUM('2| DRE'!E18:E19)</f>
        <v>743</v>
      </c>
      <c r="E10" s="9">
        <f>-SUM('2| DRE'!F18:F19)</f>
        <v>1449</v>
      </c>
      <c r="F10" s="9">
        <f>-SUM('2| DRE'!G18:G19)</f>
        <v>5269</v>
      </c>
      <c r="G10" s="9">
        <f>-SUM('2| DRE'!H18:H19)</f>
        <v>2867</v>
      </c>
      <c r="H10" s="9">
        <f>-SUM('2| DRE'!I18:I19)</f>
        <v>4244</v>
      </c>
      <c r="I10" s="9">
        <f>-SUM('2| DRE'!J18:J19)</f>
        <v>2473</v>
      </c>
      <c r="J10" s="9">
        <f>-SUM('2| DRE'!K18:K19)</f>
        <v>6529</v>
      </c>
      <c r="K10" s="9">
        <f>-SUM('2| DRE'!L18:L19)</f>
        <v>5687</v>
      </c>
      <c r="L10" s="9">
        <f>-SUM('2| DRE'!M18:M19)</f>
        <v>1294</v>
      </c>
      <c r="M10" s="9">
        <f>-SUM('2| DRE'!N18:N19)</f>
        <v>1251</v>
      </c>
      <c r="N10" s="9">
        <f>-SUM('2| DRE'!O18:O19)</f>
        <v>5567</v>
      </c>
      <c r="O10" s="9">
        <f>5571291.21/1000</f>
        <v>5571.2912100000003</v>
      </c>
      <c r="P10" s="9">
        <f>4969375.9/1000</f>
        <v>4969.3759</v>
      </c>
      <c r="Q10" s="9">
        <f>5646744.21/1000</f>
        <v>5646.7442099999998</v>
      </c>
      <c r="R10" s="9">
        <f>-SUM('2| DRE'!P18:P19)</f>
        <v>3260</v>
      </c>
      <c r="U10" s="4"/>
      <c r="V10" s="4"/>
    </row>
    <row r="11" spans="2:22" ht="14" customHeight="1" x14ac:dyDescent="0.3">
      <c r="B11" s="40" t="s">
        <v>173</v>
      </c>
      <c r="C11" s="9">
        <f>'3| Fluxo de Caixa'!C17</f>
        <v>29664</v>
      </c>
      <c r="D11" s="9">
        <f>'3| Fluxo de Caixa'!D17</f>
        <v>19448</v>
      </c>
      <c r="E11" s="9">
        <f>'3| Fluxo de Caixa'!E17</f>
        <v>9711</v>
      </c>
      <c r="F11" s="9">
        <f>'3| Fluxo de Caixa'!F17</f>
        <v>27093</v>
      </c>
      <c r="G11" s="9">
        <f>'3| Fluxo de Caixa'!G17</f>
        <v>20967</v>
      </c>
      <c r="H11" s="9">
        <f>'3| Fluxo de Caixa'!H17</f>
        <v>11185</v>
      </c>
      <c r="I11" s="9">
        <f>'3| Fluxo de Caixa'!I17</f>
        <v>5541</v>
      </c>
      <c r="J11" s="9">
        <f>'3| Fluxo de Caixa'!J17</f>
        <v>30789</v>
      </c>
      <c r="K11" s="9">
        <f>'3| Fluxo de Caixa'!K17</f>
        <v>14640</v>
      </c>
      <c r="L11" s="9">
        <f>'3| Fluxo de Caixa'!L17</f>
        <v>7751</v>
      </c>
      <c r="M11" s="9">
        <f>'3| Fluxo de Caixa'!M17</f>
        <v>4974</v>
      </c>
      <c r="N11" s="9">
        <f>'3| Fluxo de Caixa'!N17</f>
        <v>27581</v>
      </c>
      <c r="O11" s="9"/>
      <c r="P11" s="9"/>
      <c r="Q11" s="9"/>
      <c r="R11" s="9">
        <f>'3| Fluxo de Caixa'!O17</f>
        <v>19212</v>
      </c>
      <c r="U11" s="4"/>
      <c r="V11" s="4"/>
    </row>
    <row r="12" spans="2:22" ht="14" customHeight="1" x14ac:dyDescent="0.3">
      <c r="B12" s="17" t="s">
        <v>113</v>
      </c>
      <c r="C12" s="13">
        <f t="shared" ref="C12:D12" si="0">SUM(C8:C11)</f>
        <v>221200</v>
      </c>
      <c r="D12" s="13">
        <f t="shared" si="0"/>
        <v>144255</v>
      </c>
      <c r="E12" s="13">
        <f t="shared" ref="E12:R12" si="1">SUM(E8:E11)</f>
        <v>73211</v>
      </c>
      <c r="F12" s="13">
        <f t="shared" si="1"/>
        <v>379251</v>
      </c>
      <c r="G12" s="13">
        <f t="shared" si="1"/>
        <v>264244</v>
      </c>
      <c r="H12" s="13">
        <f t="shared" si="1"/>
        <v>186025</v>
      </c>
      <c r="I12" s="13">
        <f t="shared" si="1"/>
        <v>46157</v>
      </c>
      <c r="J12" s="13">
        <f t="shared" si="1"/>
        <v>64216</v>
      </c>
      <c r="K12" s="13">
        <f t="shared" si="1"/>
        <v>-3292</v>
      </c>
      <c r="L12" s="13">
        <f t="shared" si="1"/>
        <v>-28541</v>
      </c>
      <c r="M12" s="13">
        <f t="shared" si="1"/>
        <v>-7296</v>
      </c>
      <c r="N12" s="13">
        <f t="shared" si="1"/>
        <v>176100</v>
      </c>
      <c r="O12" s="13">
        <f t="shared" si="1"/>
        <v>149749.71285000001</v>
      </c>
      <c r="P12" s="13">
        <f t="shared" si="1"/>
        <v>43968.976849999999</v>
      </c>
      <c r="Q12" s="13">
        <f t="shared" si="1"/>
        <v>21691.758020000001</v>
      </c>
      <c r="R12" s="13">
        <f t="shared" si="1"/>
        <v>100152</v>
      </c>
    </row>
    <row r="13" spans="2:22" ht="14" customHeight="1" x14ac:dyDescent="0.3">
      <c r="B13" s="21"/>
      <c r="C13" s="2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2:22" ht="14" customHeight="1" x14ac:dyDescent="0.3">
      <c r="B14" s="40" t="s">
        <v>109</v>
      </c>
      <c r="C14" s="40"/>
      <c r="D14" s="37"/>
      <c r="E14" s="37"/>
      <c r="F14" s="9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2:22" ht="26.5" customHeight="1" x14ac:dyDescent="0.3">
      <c r="B15" s="61" t="s">
        <v>110</v>
      </c>
      <c r="C15" s="9">
        <v>0</v>
      </c>
      <c r="D15" s="9">
        <v>0</v>
      </c>
      <c r="E15" s="9">
        <v>0</v>
      </c>
      <c r="F15" s="9">
        <v>-85100</v>
      </c>
      <c r="G15" s="9">
        <v>-61133</v>
      </c>
      <c r="H15" s="9">
        <v>-61133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-76700</v>
      </c>
      <c r="O15" s="9">
        <v>-76700</v>
      </c>
      <c r="P15" s="9">
        <v>0</v>
      </c>
      <c r="Q15" s="9">
        <v>0</v>
      </c>
      <c r="R15" s="9">
        <v>0</v>
      </c>
    </row>
    <row r="16" spans="2:22" ht="26.5" customHeight="1" x14ac:dyDescent="0.3">
      <c r="B16" s="61" t="s">
        <v>111</v>
      </c>
      <c r="C16" s="9">
        <v>0</v>
      </c>
      <c r="D16" s="9">
        <v>0</v>
      </c>
      <c r="E16" s="9">
        <v>0</v>
      </c>
      <c r="F16" s="9">
        <v>6768</v>
      </c>
      <c r="G16" s="9">
        <v>6768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T16" s="4"/>
    </row>
    <row r="17" spans="2:18" ht="26.5" customHeight="1" x14ac:dyDescent="0.3">
      <c r="B17" s="61" t="s">
        <v>112</v>
      </c>
      <c r="C17" s="9">
        <v>0</v>
      </c>
      <c r="D17" s="9">
        <v>0</v>
      </c>
      <c r="E17" s="9">
        <v>0</v>
      </c>
      <c r="F17" s="9">
        <v>-8944</v>
      </c>
      <c r="G17" s="9">
        <v>-8944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</row>
    <row r="18" spans="2:18" ht="14" customHeight="1" x14ac:dyDescent="0.3">
      <c r="B18" s="61" t="s">
        <v>291</v>
      </c>
      <c r="C18" s="9">
        <v>8781.652</v>
      </c>
      <c r="D18" s="9">
        <v>5187.7822399999995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</row>
    <row r="19" spans="2:18" ht="14" customHeight="1" x14ac:dyDescent="0.3">
      <c r="B19" s="17" t="s">
        <v>114</v>
      </c>
      <c r="C19" s="43">
        <f t="shared" ref="C19:E19" si="2">SUM(C12:C18)</f>
        <v>229981.652</v>
      </c>
      <c r="D19" s="43">
        <f t="shared" si="2"/>
        <v>149442.78224</v>
      </c>
      <c r="E19" s="43">
        <f t="shared" si="2"/>
        <v>73211</v>
      </c>
      <c r="F19" s="43">
        <f>SUM(F12:F18)</f>
        <v>291975</v>
      </c>
      <c r="G19" s="43">
        <f t="shared" ref="G19:I19" si="3">SUM(G12:G18)</f>
        <v>200935</v>
      </c>
      <c r="H19" s="43">
        <f t="shared" si="3"/>
        <v>124892</v>
      </c>
      <c r="I19" s="43">
        <f t="shared" si="3"/>
        <v>46157</v>
      </c>
      <c r="J19" s="43">
        <f>SUM(J12:J18)</f>
        <v>64216</v>
      </c>
      <c r="K19" s="43">
        <f t="shared" ref="K19:M19" si="4">SUM(K12:K18)</f>
        <v>-3292</v>
      </c>
      <c r="L19" s="43">
        <f t="shared" si="4"/>
        <v>-28541</v>
      </c>
      <c r="M19" s="43">
        <f t="shared" si="4"/>
        <v>-7296</v>
      </c>
      <c r="N19" s="43">
        <f>SUM(N12:N18)</f>
        <v>99400</v>
      </c>
      <c r="O19" s="43">
        <f>SUM(O12:O18)</f>
        <v>73049.712850000011</v>
      </c>
      <c r="P19" s="43">
        <f>SUM(P12:P18)</f>
        <v>43968.976849999999</v>
      </c>
      <c r="Q19" s="43">
        <f>SUM(Q12:Q18)</f>
        <v>21691.758020000001</v>
      </c>
      <c r="R19" s="43">
        <f>SUM(R12:R18)</f>
        <v>100152</v>
      </c>
    </row>
    <row r="20" spans="2:18" ht="14" customHeight="1" x14ac:dyDescent="0.3">
      <c r="B20" s="17" t="s">
        <v>115</v>
      </c>
      <c r="C20" s="62">
        <f>C19/'2| DRE'!D10</f>
        <v>0.20701983948381336</v>
      </c>
      <c r="D20" s="62">
        <f>D19/'2| DRE'!E10</f>
        <v>0.21037641845883559</v>
      </c>
      <c r="E20" s="62">
        <f>E19/'2| DRE'!F10</f>
        <v>0.22528263799565504</v>
      </c>
      <c r="F20" s="62">
        <f>F19/'2| DRE'!G10</f>
        <v>0.21981831815553629</v>
      </c>
      <c r="G20" s="62">
        <f>G19/'2| DRE'!H10</f>
        <v>0.2213230588590355</v>
      </c>
      <c r="H20" s="62">
        <f>H19/'2| DRE'!I10</f>
        <v>0.2328241571001935</v>
      </c>
      <c r="I20" s="62">
        <f>I19/'2| DRE'!J10</f>
        <v>0.20664105870133592</v>
      </c>
      <c r="J20" s="62">
        <f>J19/'2| DRE'!K10</f>
        <v>8.7704011253909503E-2</v>
      </c>
      <c r="K20" s="62">
        <f>K19/'2| DRE'!L10</f>
        <v>-7.4275967257204228E-3</v>
      </c>
      <c r="L20" s="62">
        <f>L19/'2| DRE'!M10</f>
        <v>-0.11794532718970184</v>
      </c>
      <c r="M20" s="62">
        <f>M19/'2| DRE'!N10</f>
        <v>-4.3999252205691682E-2</v>
      </c>
      <c r="N20" s="62">
        <f>N19/'2| DRE'!O10</f>
        <v>0.11151924211792319</v>
      </c>
      <c r="O20" s="62"/>
      <c r="P20" s="62"/>
      <c r="Q20" s="62"/>
      <c r="R20" s="62">
        <f>R19/'2| DRE'!P10</f>
        <v>0.11644416953653472</v>
      </c>
    </row>
    <row r="21" spans="2:18" ht="14" customHeight="1" x14ac:dyDescent="0.3">
      <c r="D21" s="4"/>
      <c r="H21" s="4"/>
      <c r="L21" s="4"/>
    </row>
    <row r="22" spans="2:18" ht="14" customHeight="1" x14ac:dyDescent="0.3">
      <c r="F22" s="4"/>
      <c r="G22" s="57"/>
      <c r="H22" s="57"/>
      <c r="I22" s="4"/>
      <c r="J22" s="4"/>
      <c r="L22" s="57"/>
    </row>
    <row r="23" spans="2:18" ht="14" customHeight="1" x14ac:dyDescent="0.3">
      <c r="B23" s="28" t="s">
        <v>180</v>
      </c>
      <c r="C23" s="15">
        <f>C12-C11</f>
        <v>191536</v>
      </c>
      <c r="D23" s="15">
        <f>D12-D11</f>
        <v>124807</v>
      </c>
      <c r="E23" s="15">
        <f>E12-E11</f>
        <v>63500</v>
      </c>
      <c r="F23" s="15">
        <f t="shared" ref="F23:R23" si="5">F12-F11</f>
        <v>352158</v>
      </c>
      <c r="G23" s="15">
        <f t="shared" si="5"/>
        <v>243277</v>
      </c>
      <c r="H23" s="15">
        <f t="shared" si="5"/>
        <v>174840</v>
      </c>
      <c r="I23" s="15">
        <f t="shared" si="5"/>
        <v>40616</v>
      </c>
      <c r="J23" s="15">
        <f t="shared" si="5"/>
        <v>33427</v>
      </c>
      <c r="K23" s="15">
        <f t="shared" si="5"/>
        <v>-17932</v>
      </c>
      <c r="L23" s="15">
        <f t="shared" si="5"/>
        <v>-36292</v>
      </c>
      <c r="M23" s="15">
        <f t="shared" si="5"/>
        <v>-12270</v>
      </c>
      <c r="N23" s="15">
        <f t="shared" si="5"/>
        <v>148519</v>
      </c>
      <c r="O23" s="15">
        <f t="shared" si="5"/>
        <v>149749.71285000001</v>
      </c>
      <c r="P23" s="15">
        <f t="shared" si="5"/>
        <v>43968.976849999999</v>
      </c>
      <c r="Q23" s="15">
        <f t="shared" si="5"/>
        <v>21691.758020000001</v>
      </c>
      <c r="R23" s="15">
        <f t="shared" si="5"/>
        <v>80940</v>
      </c>
    </row>
    <row r="24" spans="2:18" ht="14" customHeight="1" x14ac:dyDescent="0.3">
      <c r="B24" s="28" t="s">
        <v>181</v>
      </c>
      <c r="C24" s="15">
        <f>C23+SUM(C15:C18)</f>
        <v>200317.652</v>
      </c>
      <c r="D24" s="15">
        <f>D23+SUM(D15:D18)</f>
        <v>129994.78224</v>
      </c>
      <c r="E24" s="15">
        <f>E23+SUM(E15:E18)</f>
        <v>63500</v>
      </c>
      <c r="F24" s="15">
        <f t="shared" ref="F24:R24" si="6">F23+SUM(F15:F18)</f>
        <v>264882</v>
      </c>
      <c r="G24" s="15">
        <f t="shared" si="6"/>
        <v>179968</v>
      </c>
      <c r="H24" s="15">
        <f t="shared" si="6"/>
        <v>113707</v>
      </c>
      <c r="I24" s="15">
        <f t="shared" si="6"/>
        <v>40616</v>
      </c>
      <c r="J24" s="15">
        <f t="shared" si="6"/>
        <v>33427</v>
      </c>
      <c r="K24" s="15">
        <f t="shared" si="6"/>
        <v>-17932</v>
      </c>
      <c r="L24" s="15">
        <f t="shared" si="6"/>
        <v>-36292</v>
      </c>
      <c r="M24" s="15">
        <f t="shared" si="6"/>
        <v>-12270</v>
      </c>
      <c r="N24" s="15">
        <f t="shared" si="6"/>
        <v>71819</v>
      </c>
      <c r="O24" s="15">
        <f t="shared" si="6"/>
        <v>73049.712850000011</v>
      </c>
      <c r="P24" s="15">
        <f t="shared" si="6"/>
        <v>43968.976849999999</v>
      </c>
      <c r="Q24" s="15">
        <f t="shared" si="6"/>
        <v>21691.758020000001</v>
      </c>
      <c r="R24" s="15">
        <f t="shared" si="6"/>
        <v>80940</v>
      </c>
    </row>
    <row r="25" spans="2:18" ht="14" customHeight="1" x14ac:dyDescent="0.3">
      <c r="B25" s="28"/>
      <c r="C25" s="28"/>
      <c r="D25" s="28"/>
      <c r="E25" s="28"/>
      <c r="F25" s="28"/>
      <c r="G25" s="15"/>
      <c r="H25" s="15"/>
      <c r="I25" s="28"/>
      <c r="J25" s="28"/>
      <c r="K25" s="15"/>
      <c r="L25" s="28"/>
      <c r="M25" s="28"/>
      <c r="N25" s="28"/>
      <c r="O25" s="28"/>
      <c r="P25" s="28"/>
      <c r="Q25" s="28"/>
      <c r="R25" s="28"/>
    </row>
    <row r="26" spans="2:18" ht="14" customHeight="1" x14ac:dyDescent="0.3">
      <c r="B26" s="28" t="s">
        <v>186</v>
      </c>
      <c r="C26" s="15">
        <f t="shared" ref="C26:H27" si="7">C23-D23</f>
        <v>66729</v>
      </c>
      <c r="D26" s="15">
        <f t="shared" si="7"/>
        <v>61307</v>
      </c>
      <c r="E26" s="15">
        <f>E23</f>
        <v>63500</v>
      </c>
      <c r="F26" s="15">
        <f t="shared" si="7"/>
        <v>108881</v>
      </c>
      <c r="G26" s="15">
        <f t="shared" si="7"/>
        <v>68437</v>
      </c>
      <c r="H26" s="15">
        <f t="shared" si="7"/>
        <v>134224</v>
      </c>
      <c r="I26" s="15">
        <f>I23</f>
        <v>40616</v>
      </c>
      <c r="J26" s="15">
        <f t="shared" ref="J26:L27" si="8">J23-K23</f>
        <v>51359</v>
      </c>
      <c r="K26" s="15">
        <f t="shared" si="8"/>
        <v>18360</v>
      </c>
      <c r="L26" s="15">
        <f t="shared" si="8"/>
        <v>-24022</v>
      </c>
      <c r="M26" s="15">
        <f>M23</f>
        <v>-12270</v>
      </c>
      <c r="N26" s="15">
        <f t="shared" ref="N26:P26" si="9">N23-O23</f>
        <v>-1230.7128500000108</v>
      </c>
      <c r="O26" s="15">
        <f t="shared" si="9"/>
        <v>105780.736</v>
      </c>
      <c r="P26" s="15">
        <f t="shared" si="9"/>
        <v>22277.218829999998</v>
      </c>
      <c r="Q26" s="15">
        <f>Q23</f>
        <v>21691.758020000001</v>
      </c>
      <c r="R26" s="28"/>
    </row>
    <row r="27" spans="2:18" ht="14" customHeight="1" x14ac:dyDescent="0.3">
      <c r="B27" s="28" t="s">
        <v>185</v>
      </c>
      <c r="C27" s="15">
        <f>C24-D24</f>
        <v>70322.869760000001</v>
      </c>
      <c r="D27" s="15">
        <f>D24-E24</f>
        <v>66494.78224</v>
      </c>
      <c r="E27" s="15">
        <f>E24</f>
        <v>63500</v>
      </c>
      <c r="F27" s="15">
        <f>F24-G24</f>
        <v>84914</v>
      </c>
      <c r="G27" s="15">
        <f>G24-H24</f>
        <v>66261</v>
      </c>
      <c r="H27" s="15">
        <f t="shared" si="7"/>
        <v>73091</v>
      </c>
      <c r="I27" s="15">
        <f>I24</f>
        <v>40616</v>
      </c>
      <c r="J27" s="15">
        <f t="shared" si="8"/>
        <v>51359</v>
      </c>
      <c r="K27" s="15">
        <f t="shared" si="8"/>
        <v>18360</v>
      </c>
      <c r="L27" s="15">
        <f t="shared" si="8"/>
        <v>-24022</v>
      </c>
      <c r="M27" s="15">
        <f>M24</f>
        <v>-12270</v>
      </c>
      <c r="N27" s="15">
        <f t="shared" ref="N27:P27" si="10">N24-O24</f>
        <v>-1230.7128500000108</v>
      </c>
      <c r="O27" s="15">
        <f t="shared" si="10"/>
        <v>29080.736000000012</v>
      </c>
      <c r="P27" s="15">
        <f t="shared" si="10"/>
        <v>22277.218829999998</v>
      </c>
      <c r="Q27" s="15">
        <f>Q24</f>
        <v>21691.758020000001</v>
      </c>
      <c r="R27" s="28"/>
    </row>
    <row r="28" spans="2:18" ht="14" customHeight="1" x14ac:dyDescent="0.3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29" spans="2:18" ht="14" customHeight="1" x14ac:dyDescent="0.3">
      <c r="B29" s="28" t="s">
        <v>182</v>
      </c>
      <c r="C29" s="15">
        <f t="shared" ref="C29:M30" si="11">SUM(C26:F26)</f>
        <v>300417</v>
      </c>
      <c r="D29" s="15">
        <f t="shared" si="11"/>
        <v>302125</v>
      </c>
      <c r="E29" s="15">
        <f t="shared" si="11"/>
        <v>375042</v>
      </c>
      <c r="F29" s="15">
        <f t="shared" si="11"/>
        <v>352158</v>
      </c>
      <c r="G29" s="15">
        <f t="shared" si="11"/>
        <v>294636</v>
      </c>
      <c r="H29" s="15">
        <f t="shared" si="11"/>
        <v>244559</v>
      </c>
      <c r="I29" s="15">
        <f t="shared" si="11"/>
        <v>86313</v>
      </c>
      <c r="J29" s="15">
        <f t="shared" si="11"/>
        <v>33427</v>
      </c>
      <c r="K29" s="15">
        <f t="shared" si="11"/>
        <v>-19162.712850000011</v>
      </c>
      <c r="L29" s="15">
        <f t="shared" si="11"/>
        <v>68258.023149999994</v>
      </c>
      <c r="M29" s="15">
        <f t="shared" si="11"/>
        <v>114557.24197999999</v>
      </c>
      <c r="N29" s="15">
        <f>N23</f>
        <v>148519</v>
      </c>
      <c r="O29" s="15"/>
      <c r="P29" s="15"/>
      <c r="Q29" s="15"/>
      <c r="R29" s="15">
        <f>R23</f>
        <v>80940</v>
      </c>
    </row>
    <row r="30" spans="2:18" ht="14" customHeight="1" x14ac:dyDescent="0.3">
      <c r="B30" s="28" t="s">
        <v>183</v>
      </c>
      <c r="C30" s="15">
        <f t="shared" si="11"/>
        <v>285231.652</v>
      </c>
      <c r="D30" s="15">
        <f t="shared" si="11"/>
        <v>281169.78223999997</v>
      </c>
      <c r="E30" s="15">
        <f t="shared" si="11"/>
        <v>287766</v>
      </c>
      <c r="F30" s="15">
        <f t="shared" si="11"/>
        <v>264882</v>
      </c>
      <c r="G30" s="15">
        <f t="shared" si="11"/>
        <v>231327</v>
      </c>
      <c r="H30" s="15">
        <f t="shared" si="11"/>
        <v>183426</v>
      </c>
      <c r="I30" s="15">
        <f t="shared" si="11"/>
        <v>86313</v>
      </c>
      <c r="J30" s="15">
        <f t="shared" si="11"/>
        <v>33427</v>
      </c>
      <c r="K30" s="15">
        <f t="shared" si="11"/>
        <v>-19162.712850000011</v>
      </c>
      <c r="L30" s="15">
        <f t="shared" si="11"/>
        <v>-8441.9768499999991</v>
      </c>
      <c r="M30" s="15">
        <f t="shared" si="11"/>
        <v>37857.241979999999</v>
      </c>
      <c r="N30" s="15">
        <f>N24</f>
        <v>71819</v>
      </c>
      <c r="O30" s="15"/>
      <c r="P30" s="15"/>
      <c r="Q30" s="15"/>
      <c r="R30" s="15">
        <f>R24</f>
        <v>80940</v>
      </c>
    </row>
    <row r="31" spans="2:18" ht="14" customHeight="1" x14ac:dyDescent="0.3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2:18" ht="14" customHeight="1" x14ac:dyDescent="0.3">
      <c r="B32" s="28" t="s">
        <v>161</v>
      </c>
      <c r="C32" s="15">
        <f>'2| DRE'!D22</f>
        <v>-35933</v>
      </c>
      <c r="D32" s="15">
        <f>'2| DRE'!E22</f>
        <v>-17223</v>
      </c>
      <c r="E32" s="15">
        <f>'2| DRE'!F22</f>
        <v>-3</v>
      </c>
      <c r="F32" s="15">
        <f>'2| DRE'!G22</f>
        <v>-56251</v>
      </c>
      <c r="G32" s="15">
        <f>'2| DRE'!H22</f>
        <v>-64270</v>
      </c>
      <c r="H32" s="15">
        <f>'2| DRE'!I22</f>
        <v>-42667</v>
      </c>
      <c r="I32" s="15">
        <f>'2| DRE'!J22</f>
        <v>-15109</v>
      </c>
      <c r="J32" s="15">
        <f>'2| DRE'!K22</f>
        <v>-7351</v>
      </c>
      <c r="K32" s="15">
        <f>'2| DRE'!L22</f>
        <v>-977</v>
      </c>
      <c r="L32" s="15">
        <f>'2| DRE'!M22</f>
        <v>-977</v>
      </c>
      <c r="M32" s="15">
        <f>'2| DRE'!N22</f>
        <v>-744</v>
      </c>
      <c r="N32" s="15">
        <f>'2| DRE'!O22</f>
        <v>-4928</v>
      </c>
      <c r="O32" s="15">
        <v>-8171.3511099999996</v>
      </c>
      <c r="P32" s="15">
        <v>-2135.7389699999999</v>
      </c>
      <c r="Q32" s="15">
        <v>-879.34100000000001</v>
      </c>
      <c r="R32" s="15">
        <f>'2| DRE'!P22</f>
        <v>-4640</v>
      </c>
    </row>
    <row r="33" spans="2:23" ht="14" customHeight="1" x14ac:dyDescent="0.3">
      <c r="B33" s="28" t="s">
        <v>184</v>
      </c>
      <c r="C33" s="15">
        <f>C32-D32</f>
        <v>-18710</v>
      </c>
      <c r="D33" s="15">
        <f>D32-E32</f>
        <v>-17220</v>
      </c>
      <c r="E33" s="15">
        <f>E32</f>
        <v>-3</v>
      </c>
      <c r="F33" s="15">
        <f>F32-G32</f>
        <v>8019</v>
      </c>
      <c r="G33" s="15">
        <f>G32-H32</f>
        <v>-21603</v>
      </c>
      <c r="H33" s="15">
        <f>H32-I32</f>
        <v>-27558</v>
      </c>
      <c r="I33" s="15">
        <f>I32</f>
        <v>-15109</v>
      </c>
      <c r="J33" s="15">
        <f>J32-K32</f>
        <v>-6374</v>
      </c>
      <c r="K33" s="15">
        <f>K32-L32</f>
        <v>0</v>
      </c>
      <c r="L33" s="15">
        <f>L32-M32</f>
        <v>-233</v>
      </c>
      <c r="M33" s="15">
        <f>M32</f>
        <v>-744</v>
      </c>
      <c r="N33" s="15">
        <f>N32</f>
        <v>-4928</v>
      </c>
      <c r="O33" s="15">
        <f>O32</f>
        <v>-8171.3511099999996</v>
      </c>
      <c r="P33" s="15">
        <f>P32</f>
        <v>-2135.7389699999999</v>
      </c>
      <c r="Q33" s="15">
        <f>Q32</f>
        <v>-879.34100000000001</v>
      </c>
      <c r="R33" s="28"/>
    </row>
    <row r="34" spans="2:23" ht="14" customHeight="1" x14ac:dyDescent="0.3">
      <c r="B34" s="28" t="s">
        <v>187</v>
      </c>
      <c r="C34" s="15">
        <f t="shared" ref="C34:M34" si="12">SUM(C33:F33)</f>
        <v>-27914</v>
      </c>
      <c r="D34" s="15">
        <f t="shared" si="12"/>
        <v>-30807</v>
      </c>
      <c r="E34" s="15">
        <f t="shared" si="12"/>
        <v>-41145</v>
      </c>
      <c r="F34" s="15">
        <f t="shared" si="12"/>
        <v>-56251</v>
      </c>
      <c r="G34" s="15">
        <f t="shared" si="12"/>
        <v>-70644</v>
      </c>
      <c r="H34" s="15">
        <f t="shared" si="12"/>
        <v>-49041</v>
      </c>
      <c r="I34" s="15">
        <f t="shared" si="12"/>
        <v>-21716</v>
      </c>
      <c r="J34" s="15">
        <f t="shared" si="12"/>
        <v>-7351</v>
      </c>
      <c r="K34" s="15">
        <f t="shared" si="12"/>
        <v>-5905</v>
      </c>
      <c r="L34" s="15">
        <f t="shared" si="12"/>
        <v>-14076.35111</v>
      </c>
      <c r="M34" s="15">
        <f t="shared" si="12"/>
        <v>-15979.09008</v>
      </c>
      <c r="N34" s="15">
        <f>N32</f>
        <v>-4928</v>
      </c>
      <c r="O34" s="15"/>
      <c r="P34" s="15"/>
      <c r="Q34" s="15"/>
      <c r="R34" s="15">
        <f>R32</f>
        <v>-4640</v>
      </c>
    </row>
    <row r="35" spans="2:23" ht="14" customHeight="1" x14ac:dyDescent="0.3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</row>
    <row r="36" spans="2:23" ht="14" customHeight="1" x14ac:dyDescent="0.3">
      <c r="B36" s="28" t="s">
        <v>214</v>
      </c>
      <c r="C36" s="15">
        <f>C30+C34</f>
        <v>257317.652</v>
      </c>
      <c r="D36" s="15">
        <f>D30+D34</f>
        <v>250362.78223999997</v>
      </c>
      <c r="E36" s="15">
        <f t="shared" ref="E36:M36" si="13">E30+E34</f>
        <v>246621</v>
      </c>
      <c r="F36" s="15">
        <f t="shared" si="13"/>
        <v>208631</v>
      </c>
      <c r="G36" s="15">
        <f t="shared" si="13"/>
        <v>160683</v>
      </c>
      <c r="H36" s="15">
        <f t="shared" si="13"/>
        <v>134385</v>
      </c>
      <c r="I36" s="15">
        <f t="shared" si="13"/>
        <v>64597</v>
      </c>
      <c r="J36" s="15">
        <f t="shared" si="13"/>
        <v>26076</v>
      </c>
      <c r="K36" s="15">
        <f t="shared" si="13"/>
        <v>-25067.712850000011</v>
      </c>
      <c r="L36" s="15">
        <f t="shared" si="13"/>
        <v>-22518.327959999999</v>
      </c>
      <c r="M36" s="15">
        <f t="shared" si="13"/>
        <v>21878.151899999997</v>
      </c>
      <c r="N36" s="15">
        <f>N30+N34</f>
        <v>66891</v>
      </c>
      <c r="O36" s="15"/>
      <c r="P36" s="15"/>
      <c r="Q36" s="15"/>
      <c r="R36" s="15">
        <f>R30+R34</f>
        <v>76300</v>
      </c>
    </row>
    <row r="38" spans="2:23" ht="14" customHeight="1" x14ac:dyDescent="0.3">
      <c r="T38" s="26"/>
      <c r="U38" s="26"/>
      <c r="V38" s="26"/>
      <c r="W38" s="26"/>
    </row>
    <row r="39" spans="2:23" ht="14" customHeight="1" x14ac:dyDescent="0.3">
      <c r="U39" s="58"/>
      <c r="V39" s="58"/>
      <c r="W39" s="58"/>
    </row>
    <row r="40" spans="2:23" ht="14" customHeight="1" x14ac:dyDescent="0.3">
      <c r="T40" s="58"/>
      <c r="U40" s="58"/>
      <c r="V40" s="58"/>
      <c r="W40" s="58"/>
    </row>
    <row r="41" spans="2:23" ht="14" customHeight="1" x14ac:dyDescent="0.3">
      <c r="U41" s="58"/>
    </row>
    <row r="42" spans="2:23" ht="14" customHeight="1" x14ac:dyDescent="0.3">
      <c r="T42" s="58"/>
      <c r="U42" s="58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C10:N10 R10" formulaRange="1"/>
    <ignoredError sqref="I26:M27 I33 E26:E27 E33" formula="1"/>
    <ignoredError sqref="F6:N6 R6" numberStoredAsText="1"/>
  </ignoredError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496C8"/>
  </sheetPr>
  <dimension ref="B1:S18"/>
  <sheetViews>
    <sheetView showGridLines="0" showRowColHeaders="0"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453125" defaultRowHeight="14" customHeight="1" x14ac:dyDescent="0.3"/>
  <cols>
    <col min="1" max="1" width="0.90625" style="2" customWidth="1"/>
    <col min="2" max="2" width="48.08984375" style="2" customWidth="1"/>
    <col min="3" max="3" width="9.453125" style="2" customWidth="1"/>
    <col min="4" max="16384" width="9.453125" style="2"/>
  </cols>
  <sheetData>
    <row r="1" spans="2:19" ht="5" customHeight="1" x14ac:dyDescent="0.3"/>
    <row r="6" spans="2:19" s="103" customFormat="1" ht="26.5" customHeight="1" thickBot="1" x14ac:dyDescent="0.35">
      <c r="B6" s="130" t="s">
        <v>234</v>
      </c>
      <c r="C6" s="133" t="s">
        <v>279</v>
      </c>
      <c r="D6" s="124" t="s">
        <v>193</v>
      </c>
      <c r="E6" s="124" t="s">
        <v>170</v>
      </c>
      <c r="F6" s="132" t="s">
        <v>86</v>
      </c>
      <c r="G6" s="131" t="s">
        <v>88</v>
      </c>
      <c r="H6" s="131" t="s">
        <v>91</v>
      </c>
      <c r="I6" s="124" t="s">
        <v>94</v>
      </c>
      <c r="J6" s="132" t="s">
        <v>87</v>
      </c>
      <c r="K6" s="131" t="s">
        <v>89</v>
      </c>
      <c r="L6" s="131" t="s">
        <v>92</v>
      </c>
      <c r="M6" s="124" t="s">
        <v>95</v>
      </c>
      <c r="N6" s="132" t="s">
        <v>98</v>
      </c>
      <c r="O6" s="132" t="s">
        <v>99</v>
      </c>
    </row>
    <row r="7" spans="2:19" ht="14" customHeight="1" thickTop="1" x14ac:dyDescent="0.3">
      <c r="B7" s="65"/>
      <c r="C7" s="65"/>
      <c r="D7" s="56"/>
      <c r="E7" s="56"/>
      <c r="F7" s="66"/>
      <c r="G7" s="67"/>
      <c r="H7" s="67"/>
      <c r="I7" s="56"/>
      <c r="J7" s="66"/>
      <c r="K7" s="67"/>
      <c r="L7" s="67"/>
      <c r="M7" s="56"/>
      <c r="N7" s="66"/>
      <c r="O7" s="66"/>
    </row>
    <row r="8" spans="2:19" ht="14" customHeight="1" x14ac:dyDescent="0.3">
      <c r="B8" s="40" t="s">
        <v>52</v>
      </c>
      <c r="C8" s="9">
        <f>'2| DRE'!D24</f>
        <v>166916</v>
      </c>
      <c r="D8" s="9">
        <f>'2| DRE'!E24</f>
        <v>116107</v>
      </c>
      <c r="E8" s="9">
        <f>'2| DRE'!F24</f>
        <v>66263</v>
      </c>
      <c r="F8" s="9">
        <f>'2| DRE'!G24</f>
        <v>297274</v>
      </c>
      <c r="G8" s="9">
        <f>'2| DRE'!H24</f>
        <v>192183</v>
      </c>
      <c r="H8" s="9">
        <f>'2| DRE'!I24</f>
        <v>123041</v>
      </c>
      <c r="I8" s="9">
        <f>'2| DRE'!J24</f>
        <v>24122</v>
      </c>
      <c r="J8" s="9">
        <f>'2| DRE'!K24</f>
        <v>-16967</v>
      </c>
      <c r="K8" s="9">
        <f>'2| DRE'!L24</f>
        <v>-67638</v>
      </c>
      <c r="L8" s="9">
        <f>'2| DRE'!M24</f>
        <v>-85588</v>
      </c>
      <c r="M8" s="9">
        <f>'2| DRE'!N24</f>
        <v>-8672</v>
      </c>
      <c r="N8" s="9">
        <f>'2| DRE'!O24</f>
        <v>112543</v>
      </c>
      <c r="O8" s="9">
        <f>'2| DRE'!P24</f>
        <v>92763</v>
      </c>
      <c r="R8" s="4"/>
      <c r="S8" s="4"/>
    </row>
    <row r="9" spans="2:19" ht="14" customHeight="1" x14ac:dyDescent="0.3">
      <c r="B9" s="40"/>
      <c r="C9" s="4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R9" s="4"/>
      <c r="S9" s="4"/>
    </row>
    <row r="10" spans="2:19" ht="14" customHeight="1" x14ac:dyDescent="0.3">
      <c r="B10" s="40" t="s">
        <v>109</v>
      </c>
      <c r="C10" s="40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2:19" ht="26.5" customHeight="1" x14ac:dyDescent="0.3">
      <c r="B11" s="61" t="s">
        <v>110</v>
      </c>
      <c r="C11" s="10">
        <v>0</v>
      </c>
      <c r="D11" s="10">
        <v>0</v>
      </c>
      <c r="E11" s="10">
        <v>0</v>
      </c>
      <c r="F11" s="9">
        <v>-71400</v>
      </c>
      <c r="G11" s="9">
        <v>-40348</v>
      </c>
      <c r="H11" s="9">
        <v>-40348</v>
      </c>
      <c r="I11" s="35">
        <v>0</v>
      </c>
      <c r="J11" s="35">
        <v>0</v>
      </c>
      <c r="K11" s="35"/>
      <c r="L11" s="35"/>
      <c r="M11" s="35"/>
      <c r="N11" s="9">
        <v>-49200</v>
      </c>
      <c r="O11" s="35"/>
    </row>
    <row r="12" spans="2:19" ht="26.5" customHeight="1" x14ac:dyDescent="0.3">
      <c r="B12" s="61" t="s">
        <v>179</v>
      </c>
      <c r="C12" s="10">
        <v>0</v>
      </c>
      <c r="D12" s="10">
        <v>0</v>
      </c>
      <c r="E12" s="10">
        <v>0</v>
      </c>
      <c r="F12" s="9">
        <v>0</v>
      </c>
      <c r="G12" s="9">
        <v>0</v>
      </c>
      <c r="H12" s="9">
        <v>0</v>
      </c>
      <c r="I12" s="35">
        <v>0</v>
      </c>
      <c r="J12" s="63">
        <v>49900</v>
      </c>
      <c r="K12" s="9">
        <v>54434</v>
      </c>
      <c r="L12" s="9">
        <v>54434</v>
      </c>
      <c r="M12" s="35"/>
      <c r="N12" s="9"/>
      <c r="O12" s="35"/>
    </row>
    <row r="13" spans="2:19" ht="26.5" customHeight="1" x14ac:dyDescent="0.3">
      <c r="B13" s="61" t="s">
        <v>111</v>
      </c>
      <c r="C13" s="10">
        <v>0</v>
      </c>
      <c r="D13" s="10">
        <v>0</v>
      </c>
      <c r="E13" s="10">
        <v>0</v>
      </c>
      <c r="F13" s="9">
        <v>4466.88</v>
      </c>
      <c r="G13" s="9">
        <v>4466.88</v>
      </c>
      <c r="H13" s="9">
        <v>0</v>
      </c>
      <c r="I13" s="35"/>
      <c r="J13" s="35"/>
      <c r="K13" s="35"/>
      <c r="L13" s="35"/>
      <c r="M13" s="35"/>
      <c r="N13" s="35"/>
      <c r="O13" s="35"/>
      <c r="Q13" s="4"/>
    </row>
    <row r="14" spans="2:19" ht="26.5" customHeight="1" x14ac:dyDescent="0.3">
      <c r="B14" s="61" t="s">
        <v>112</v>
      </c>
      <c r="C14" s="10">
        <v>0</v>
      </c>
      <c r="D14" s="10">
        <v>0</v>
      </c>
      <c r="E14" s="10">
        <v>0</v>
      </c>
      <c r="F14" s="9">
        <v>-10425</v>
      </c>
      <c r="G14" s="9">
        <v>-11894</v>
      </c>
      <c r="H14" s="9">
        <v>0</v>
      </c>
      <c r="I14" s="35"/>
      <c r="J14" s="35"/>
      <c r="K14" s="35"/>
      <c r="L14" s="35"/>
      <c r="M14" s="35"/>
      <c r="N14" s="35"/>
      <c r="O14" s="35"/>
    </row>
    <row r="15" spans="2:19" ht="26.5" customHeight="1" x14ac:dyDescent="0.3">
      <c r="B15" s="61" t="s">
        <v>169</v>
      </c>
      <c r="C15" s="10">
        <v>0</v>
      </c>
      <c r="D15" s="10">
        <v>0</v>
      </c>
      <c r="E15" s="10">
        <v>0</v>
      </c>
      <c r="F15" s="9">
        <v>0</v>
      </c>
      <c r="G15" s="9">
        <v>0</v>
      </c>
      <c r="H15" s="9">
        <v>0</v>
      </c>
      <c r="I15" s="35"/>
      <c r="J15" s="35"/>
      <c r="K15" s="35"/>
      <c r="L15" s="35"/>
      <c r="M15" s="35"/>
      <c r="N15" s="35"/>
      <c r="O15" s="35"/>
      <c r="Q15" s="4"/>
    </row>
    <row r="16" spans="2:19" ht="14" customHeight="1" x14ac:dyDescent="0.3">
      <c r="B16" s="61" t="s">
        <v>291</v>
      </c>
      <c r="C16" s="9">
        <f>'5| EBITDA'!C18*0.66</f>
        <v>5795.8903200000004</v>
      </c>
      <c r="D16" s="9">
        <f>'5| EBITDA'!D18*0.66</f>
        <v>3423.9362784</v>
      </c>
      <c r="E16" s="9">
        <v>0</v>
      </c>
      <c r="F16" s="9">
        <v>0</v>
      </c>
      <c r="G16" s="9">
        <v>0</v>
      </c>
      <c r="H16" s="9">
        <v>0</v>
      </c>
      <c r="I16" s="35"/>
      <c r="J16" s="63"/>
      <c r="K16" s="35"/>
      <c r="L16" s="35"/>
      <c r="M16" s="35"/>
      <c r="N16" s="35"/>
      <c r="O16" s="35"/>
      <c r="Q16" s="4"/>
    </row>
    <row r="17" spans="2:15" ht="14" customHeight="1" x14ac:dyDescent="0.3">
      <c r="B17" s="42" t="s">
        <v>167</v>
      </c>
      <c r="C17" s="43">
        <f t="shared" ref="C17:D17" si="0">SUM(C8:C16)</f>
        <v>172711.89032000001</v>
      </c>
      <c r="D17" s="43">
        <f t="shared" si="0"/>
        <v>119530.9362784</v>
      </c>
      <c r="E17" s="43">
        <f t="shared" ref="E17:O17" si="1">SUM(E8:E16)</f>
        <v>66263</v>
      </c>
      <c r="F17" s="43">
        <f t="shared" si="1"/>
        <v>219915.88</v>
      </c>
      <c r="G17" s="43">
        <f t="shared" si="1"/>
        <v>144407.88</v>
      </c>
      <c r="H17" s="43">
        <f t="shared" si="1"/>
        <v>82693</v>
      </c>
      <c r="I17" s="43">
        <f t="shared" si="1"/>
        <v>24122</v>
      </c>
      <c r="J17" s="43">
        <f t="shared" si="1"/>
        <v>32933</v>
      </c>
      <c r="K17" s="43">
        <f t="shared" si="1"/>
        <v>-13204</v>
      </c>
      <c r="L17" s="43">
        <f t="shared" si="1"/>
        <v>-31154</v>
      </c>
      <c r="M17" s="43">
        <f t="shared" si="1"/>
        <v>-8672</v>
      </c>
      <c r="N17" s="43">
        <f t="shared" si="1"/>
        <v>63343</v>
      </c>
      <c r="O17" s="43">
        <f t="shared" si="1"/>
        <v>92763</v>
      </c>
    </row>
    <row r="18" spans="2:15" ht="14" customHeight="1" x14ac:dyDescent="0.3">
      <c r="B18" s="64" t="s">
        <v>168</v>
      </c>
      <c r="C18" s="62">
        <f>C17/'2| DRE'!D10</f>
        <v>0.15546800146905798</v>
      </c>
      <c r="D18" s="62">
        <f>D17/'2| DRE'!E10</f>
        <v>0.16826834921272202</v>
      </c>
      <c r="E18" s="62">
        <f>E17/'2| DRE'!F10</f>
        <v>0.20390246604343731</v>
      </c>
      <c r="F18" s="62">
        <f>F17/'2| DRE'!G10</f>
        <v>0.16556739062349426</v>
      </c>
      <c r="G18" s="62">
        <f>G17/'2| DRE'!H10</f>
        <v>0.15906036143503388</v>
      </c>
      <c r="H18" s="62">
        <f>H17/'2| DRE'!I10</f>
        <v>0.15415661550048282</v>
      </c>
      <c r="I18" s="62">
        <f>I17/'2| DRE'!J10</f>
        <v>0.10799219225672432</v>
      </c>
      <c r="J18" s="62">
        <f>J17/'2| DRE'!K10</f>
        <v>4.4978762343107666E-2</v>
      </c>
      <c r="K18" s="62">
        <f>K17/'2| DRE'!L10</f>
        <v>-2.9791612140465509E-2</v>
      </c>
      <c r="L18" s="62">
        <f>L17/'2| DRE'!M10</f>
        <v>-0.12874351716015456</v>
      </c>
      <c r="M18" s="62">
        <f>M17/'2| DRE'!N10</f>
        <v>-5.229735678834406E-2</v>
      </c>
      <c r="N18" s="62">
        <f>N17/'2| DRE'!O10</f>
        <v>7.1066029713034287E-2</v>
      </c>
      <c r="O18" s="62">
        <f>O17/'2| DRE'!P10</f>
        <v>0.10785316817155494</v>
      </c>
    </row>
  </sheetData>
  <pageMargins left="0.511811024" right="0.511811024" top="0.78740157499999996" bottom="0.78740157499999996" header="0.31496062000000002" footer="0.31496062000000002"/>
  <ignoredErrors>
    <ignoredError sqref="F6:O6" numberStoredAsText="1"/>
  </ignoredErrors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496C8"/>
  </sheetPr>
  <dimension ref="B1:O18"/>
  <sheetViews>
    <sheetView showGridLines="0" showRowColHeaders="0" workbookViewId="0"/>
  </sheetViews>
  <sheetFormatPr defaultColWidth="9.453125" defaultRowHeight="14" customHeight="1" x14ac:dyDescent="0.3"/>
  <cols>
    <col min="1" max="1" width="1" style="2" customWidth="1"/>
    <col min="2" max="2" width="34" style="2" customWidth="1"/>
    <col min="3" max="16384" width="9.453125" style="2"/>
  </cols>
  <sheetData>
    <row r="1" spans="2:15" ht="5" customHeight="1" x14ac:dyDescent="0.3"/>
    <row r="6" spans="2:15" s="103" customFormat="1" ht="26.5" thickBot="1" x14ac:dyDescent="0.35">
      <c r="B6" s="130" t="s">
        <v>235</v>
      </c>
      <c r="C6" s="124" t="s">
        <v>279</v>
      </c>
      <c r="D6" s="124" t="s">
        <v>193</v>
      </c>
      <c r="E6" s="124" t="s">
        <v>170</v>
      </c>
      <c r="F6" s="132" t="s">
        <v>86</v>
      </c>
      <c r="G6" s="131" t="s">
        <v>88</v>
      </c>
      <c r="H6" s="131" t="s">
        <v>91</v>
      </c>
      <c r="I6" s="124" t="s">
        <v>94</v>
      </c>
      <c r="J6" s="132" t="s">
        <v>87</v>
      </c>
      <c r="K6" s="131" t="s">
        <v>89</v>
      </c>
      <c r="L6" s="131" t="s">
        <v>92</v>
      </c>
      <c r="M6" s="124" t="s">
        <v>95</v>
      </c>
      <c r="N6" s="132" t="s">
        <v>98</v>
      </c>
      <c r="O6" s="132" t="s">
        <v>99</v>
      </c>
    </row>
    <row r="7" spans="2:15" ht="14" customHeight="1" thickTop="1" x14ac:dyDescent="0.3">
      <c r="B7" s="69"/>
      <c r="C7" s="69"/>
      <c r="D7" s="70"/>
      <c r="E7" s="70"/>
      <c r="F7" s="71"/>
      <c r="G7" s="72"/>
      <c r="H7" s="72"/>
      <c r="I7" s="70"/>
      <c r="J7" s="71"/>
      <c r="K7" s="72"/>
      <c r="L7" s="72"/>
      <c r="M7" s="70"/>
      <c r="N7" s="71"/>
      <c r="O7" s="71"/>
    </row>
    <row r="8" spans="2:15" ht="14" customHeight="1" x14ac:dyDescent="0.3">
      <c r="B8" s="40" t="s">
        <v>39</v>
      </c>
      <c r="C8" s="9">
        <f>'2| DRE'!D8</f>
        <v>1356546</v>
      </c>
      <c r="D8" s="9">
        <f>'2| DRE'!E8</f>
        <v>868353</v>
      </c>
      <c r="E8" s="9">
        <f>'2| DRE'!F8</f>
        <v>398724</v>
      </c>
      <c r="F8" s="9">
        <f>'2| DRE'!G8</f>
        <v>1637117</v>
      </c>
      <c r="G8" s="9">
        <f>'2| DRE'!H8</f>
        <v>1151622</v>
      </c>
      <c r="H8" s="9">
        <f>'2| DRE'!I8</f>
        <v>679824</v>
      </c>
      <c r="I8" s="9">
        <f>'2| DRE'!J8</f>
        <v>288709</v>
      </c>
      <c r="J8" s="9">
        <f>'2| DRE'!K8</f>
        <v>912796</v>
      </c>
      <c r="K8" s="9">
        <f>'2| DRE'!L8</f>
        <v>556070</v>
      </c>
      <c r="L8" s="9">
        <f>'2| DRE'!M8</f>
        <v>308547</v>
      </c>
      <c r="M8" s="9">
        <f>'2| DRE'!N8</f>
        <v>206938</v>
      </c>
      <c r="N8" s="9">
        <f>'2| DRE'!O8</f>
        <v>1094903</v>
      </c>
      <c r="O8" s="9">
        <f>'2| DRE'!P8</f>
        <v>1059186</v>
      </c>
    </row>
    <row r="9" spans="2:15" ht="14" customHeight="1" x14ac:dyDescent="0.3">
      <c r="B9" s="68" t="s">
        <v>132</v>
      </c>
      <c r="C9" s="31">
        <v>-224468</v>
      </c>
      <c r="D9" s="31">
        <v>-143664</v>
      </c>
      <c r="E9" s="9">
        <v>-66275</v>
      </c>
      <c r="F9" s="9">
        <v>-281907</v>
      </c>
      <c r="G9" s="9">
        <v>-221010</v>
      </c>
      <c r="H9" s="9">
        <v>-126278</v>
      </c>
      <c r="I9" s="9">
        <v>-56453</v>
      </c>
      <c r="J9" s="9">
        <v>-151646</v>
      </c>
      <c r="K9" s="9">
        <v>-91250</v>
      </c>
      <c r="L9" s="9">
        <v>-51237</v>
      </c>
      <c r="M9" s="9">
        <v>-35343</v>
      </c>
      <c r="N9" s="9">
        <v>-174212</v>
      </c>
      <c r="O9" s="9">
        <v>-169201</v>
      </c>
    </row>
    <row r="10" spans="2:15" ht="14" customHeight="1" x14ac:dyDescent="0.3">
      <c r="B10" s="40" t="s">
        <v>133</v>
      </c>
      <c r="C10" s="9">
        <v>-4491</v>
      </c>
      <c r="D10" s="9">
        <v>-3184</v>
      </c>
      <c r="E10" s="9">
        <v>-1794</v>
      </c>
      <c r="F10" s="9">
        <v>-6757</v>
      </c>
      <c r="G10" s="9">
        <v>-5114</v>
      </c>
      <c r="H10" s="9">
        <v>-3229</v>
      </c>
      <c r="I10" s="9">
        <v>-1646</v>
      </c>
      <c r="J10" s="9">
        <v>-5245</v>
      </c>
      <c r="K10" s="9">
        <v>-3214</v>
      </c>
      <c r="L10" s="9">
        <v>-2554</v>
      </c>
      <c r="M10" s="9">
        <v>-1297</v>
      </c>
      <c r="N10" s="9">
        <v>-6345</v>
      </c>
      <c r="O10" s="9">
        <v>-6366</v>
      </c>
    </row>
    <row r="11" spans="2:15" ht="14" customHeight="1" x14ac:dyDescent="0.3">
      <c r="B11" s="40" t="s">
        <v>134</v>
      </c>
      <c r="C11" s="9">
        <v>-16671</v>
      </c>
      <c r="D11" s="9">
        <v>-11146</v>
      </c>
      <c r="E11" s="9">
        <v>-5681</v>
      </c>
      <c r="F11" s="9">
        <v>-20197</v>
      </c>
      <c r="G11" s="9">
        <v>-17617</v>
      </c>
      <c r="H11" s="9">
        <v>-13895</v>
      </c>
      <c r="I11" s="9">
        <v>-7242</v>
      </c>
      <c r="J11" s="9">
        <v>-23715</v>
      </c>
      <c r="K11" s="9">
        <v>-18394</v>
      </c>
      <c r="L11" s="9">
        <v>-12771</v>
      </c>
      <c r="M11" s="9">
        <v>-4477</v>
      </c>
      <c r="N11" s="9">
        <v>-23020</v>
      </c>
      <c r="O11" s="9">
        <v>-23533</v>
      </c>
    </row>
    <row r="12" spans="2:15" ht="14" customHeight="1" x14ac:dyDescent="0.3">
      <c r="B12" s="17" t="s">
        <v>135</v>
      </c>
      <c r="C12" s="13">
        <f t="shared" ref="C12:D12" si="0">SUM(C9:C11)</f>
        <v>-245630</v>
      </c>
      <c r="D12" s="13">
        <f t="shared" si="0"/>
        <v>-157994</v>
      </c>
      <c r="E12" s="13">
        <f t="shared" ref="E12:O12" si="1">SUM(E9:E11)</f>
        <v>-73750</v>
      </c>
      <c r="F12" s="13">
        <f t="shared" si="1"/>
        <v>-308861</v>
      </c>
      <c r="G12" s="13">
        <f t="shared" si="1"/>
        <v>-243741</v>
      </c>
      <c r="H12" s="13">
        <f t="shared" si="1"/>
        <v>-143402</v>
      </c>
      <c r="I12" s="13">
        <f t="shared" si="1"/>
        <v>-65341</v>
      </c>
      <c r="J12" s="13">
        <f t="shared" si="1"/>
        <v>-180606</v>
      </c>
      <c r="K12" s="13">
        <f t="shared" si="1"/>
        <v>-112858</v>
      </c>
      <c r="L12" s="13">
        <f t="shared" si="1"/>
        <v>-66562</v>
      </c>
      <c r="M12" s="13">
        <f t="shared" si="1"/>
        <v>-41117</v>
      </c>
      <c r="N12" s="13">
        <f t="shared" si="1"/>
        <v>-203577</v>
      </c>
      <c r="O12" s="13">
        <f t="shared" si="1"/>
        <v>-199100</v>
      </c>
    </row>
    <row r="13" spans="2:15" s="3" customFormat="1" ht="14" customHeight="1" x14ac:dyDescent="0.3">
      <c r="B13" s="17" t="s">
        <v>136</v>
      </c>
      <c r="C13" s="73">
        <f t="shared" ref="C13" si="2">C9/C8</f>
        <v>-0.16547024575650218</v>
      </c>
      <c r="D13" s="73">
        <f t="shared" ref="D13:O13" si="3">D9/D8</f>
        <v>-0.16544423753934173</v>
      </c>
      <c r="E13" s="73">
        <f t="shared" si="3"/>
        <v>-0.16621773457328878</v>
      </c>
      <c r="F13" s="73">
        <f t="shared" si="3"/>
        <v>-0.17219722231214996</v>
      </c>
      <c r="G13" s="73">
        <f t="shared" si="3"/>
        <v>-0.19191192943517926</v>
      </c>
      <c r="H13" s="73">
        <f t="shared" si="3"/>
        <v>-0.18575101791051801</v>
      </c>
      <c r="I13" s="73">
        <f t="shared" si="3"/>
        <v>-0.19553598952578549</v>
      </c>
      <c r="J13" s="73">
        <f t="shared" si="3"/>
        <v>-0.1661335062817979</v>
      </c>
      <c r="K13" s="73">
        <f t="shared" si="3"/>
        <v>-0.16409804521013541</v>
      </c>
      <c r="L13" s="73">
        <f t="shared" si="3"/>
        <v>-0.16605897966922381</v>
      </c>
      <c r="M13" s="73">
        <f t="shared" si="3"/>
        <v>-0.17079028501290242</v>
      </c>
      <c r="N13" s="73">
        <f t="shared" si="3"/>
        <v>-0.15911181173126751</v>
      </c>
      <c r="O13" s="73">
        <f t="shared" si="3"/>
        <v>-0.15974625797546418</v>
      </c>
    </row>
    <row r="14" spans="2:15" ht="14" customHeight="1" x14ac:dyDescent="0.3"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</row>
    <row r="15" spans="2:15" ht="14" customHeight="1" x14ac:dyDescent="0.3">
      <c r="B15" s="40" t="s">
        <v>174</v>
      </c>
      <c r="C15" s="9">
        <f>'2| DRE'!D21</f>
        <v>191831</v>
      </c>
      <c r="D15" s="9">
        <f>'2| DRE'!E21</f>
        <v>124064</v>
      </c>
      <c r="E15" s="9">
        <f>'2| DRE'!F21</f>
        <v>62051</v>
      </c>
      <c r="F15" s="9">
        <f>'2| DRE'!G21</f>
        <v>346889</v>
      </c>
      <c r="G15" s="9">
        <f>'2| DRE'!H21</f>
        <v>240410</v>
      </c>
      <c r="H15" s="9">
        <f>'2| DRE'!I21</f>
        <v>170596</v>
      </c>
      <c r="I15" s="9">
        <f>'2| DRE'!J21</f>
        <v>38143</v>
      </c>
      <c r="J15" s="9">
        <f>'2| DRE'!K21</f>
        <v>26898</v>
      </c>
      <c r="K15" s="9">
        <f>'2| DRE'!L21</f>
        <v>-23619</v>
      </c>
      <c r="L15" s="9">
        <f>'2| DRE'!M21</f>
        <v>-37586</v>
      </c>
      <c r="M15" s="9">
        <f>'2| DRE'!N21</f>
        <v>-13521</v>
      </c>
      <c r="N15" s="9">
        <f>'2| DRE'!O21</f>
        <v>142952</v>
      </c>
      <c r="O15" s="9">
        <f>'2| DRE'!P21</f>
        <v>77680</v>
      </c>
    </row>
    <row r="16" spans="2:15" ht="14" customHeight="1" x14ac:dyDescent="0.3">
      <c r="B16" s="40" t="s">
        <v>161</v>
      </c>
      <c r="C16" s="9">
        <f>'2| DRE'!D22</f>
        <v>-35933</v>
      </c>
      <c r="D16" s="9">
        <f>'2| DRE'!E22</f>
        <v>-17223</v>
      </c>
      <c r="E16" s="9">
        <f>'2| DRE'!F22</f>
        <v>-3</v>
      </c>
      <c r="F16" s="9">
        <f>'2| DRE'!G22</f>
        <v>-56251</v>
      </c>
      <c r="G16" s="9">
        <f>'2| DRE'!H22</f>
        <v>-64270</v>
      </c>
      <c r="H16" s="9">
        <f>'2| DRE'!I22</f>
        <v>-42667</v>
      </c>
      <c r="I16" s="9">
        <f>'2| DRE'!J22</f>
        <v>-15109</v>
      </c>
      <c r="J16" s="9">
        <f>'2| DRE'!K22</f>
        <v>-7351</v>
      </c>
      <c r="K16" s="9">
        <f>'2| DRE'!L22</f>
        <v>-977</v>
      </c>
      <c r="L16" s="9">
        <f>'2| DRE'!M22</f>
        <v>-977</v>
      </c>
      <c r="M16" s="9">
        <f>'2| DRE'!N22</f>
        <v>-744</v>
      </c>
      <c r="N16" s="9">
        <f>'2| DRE'!O22</f>
        <v>-4928</v>
      </c>
      <c r="O16" s="9">
        <f>'2| DRE'!P22</f>
        <v>-4640</v>
      </c>
    </row>
    <row r="17" spans="2:15" s="3" customFormat="1" ht="14" customHeight="1" x14ac:dyDescent="0.3">
      <c r="B17" s="17" t="s">
        <v>162</v>
      </c>
      <c r="C17" s="73">
        <f t="shared" ref="C17:O17" si="4">C16/C15</f>
        <v>-0.18731591869927175</v>
      </c>
      <c r="D17" s="73">
        <f t="shared" si="4"/>
        <v>-0.13882351044622129</v>
      </c>
      <c r="E17" s="73">
        <f t="shared" si="4"/>
        <v>-4.8347327198594705E-5</v>
      </c>
      <c r="F17" s="73">
        <f t="shared" si="4"/>
        <v>-0.16215850026953868</v>
      </c>
      <c r="G17" s="73">
        <f t="shared" si="4"/>
        <v>-0.26733496942722851</v>
      </c>
      <c r="H17" s="73">
        <f t="shared" si="4"/>
        <v>-0.25010551243874418</v>
      </c>
      <c r="I17" s="73">
        <f t="shared" si="4"/>
        <v>-0.39611462129355318</v>
      </c>
      <c r="J17" s="73">
        <f t="shared" si="4"/>
        <v>-0.27329169454978064</v>
      </c>
      <c r="K17" s="73">
        <f t="shared" si="4"/>
        <v>4.1365002752021679E-2</v>
      </c>
      <c r="L17" s="73">
        <f t="shared" si="4"/>
        <v>2.5993721066354492E-2</v>
      </c>
      <c r="M17" s="73">
        <f t="shared" si="4"/>
        <v>5.5025515864211227E-2</v>
      </c>
      <c r="N17" s="73">
        <f t="shared" si="4"/>
        <v>-3.4473109855056243E-2</v>
      </c>
      <c r="O17" s="73">
        <f t="shared" si="4"/>
        <v>-5.9732234809474767E-2</v>
      </c>
    </row>
    <row r="18" spans="2:15" ht="14" customHeight="1" x14ac:dyDescent="0.3"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</sheetData>
  <pageMargins left="0.511811024" right="0.511811024" top="0.78740157499999996" bottom="0.78740157499999996" header="0.31496062000000002" footer="0.31496062000000002"/>
  <ignoredErrors>
    <ignoredError sqref="F6:O6" numberStoredAsText="1"/>
  </ignoredErrors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496C8"/>
  </sheetPr>
  <dimension ref="B1:O16"/>
  <sheetViews>
    <sheetView showGridLines="0" showRowColHeaders="0" workbookViewId="0"/>
  </sheetViews>
  <sheetFormatPr defaultColWidth="9.453125" defaultRowHeight="14" customHeight="1" x14ac:dyDescent="0.3"/>
  <cols>
    <col min="1" max="1" width="0.90625" style="2" customWidth="1"/>
    <col min="2" max="2" width="39.1796875" style="2" customWidth="1"/>
    <col min="3" max="16384" width="9.453125" style="2"/>
  </cols>
  <sheetData>
    <row r="1" spans="2:15" ht="5" customHeight="1" x14ac:dyDescent="0.3"/>
    <row r="6" spans="2:15" s="103" customFormat="1" ht="26.5" thickBot="1" x14ac:dyDescent="0.35">
      <c r="B6" s="130" t="s">
        <v>236</v>
      </c>
      <c r="C6" s="133" t="s">
        <v>279</v>
      </c>
      <c r="D6" s="124" t="s">
        <v>193</v>
      </c>
      <c r="E6" s="124" t="s">
        <v>170</v>
      </c>
      <c r="F6" s="132" t="s">
        <v>86</v>
      </c>
      <c r="G6" s="131" t="s">
        <v>88</v>
      </c>
      <c r="H6" s="131" t="s">
        <v>91</v>
      </c>
      <c r="I6" s="124" t="s">
        <v>94</v>
      </c>
      <c r="J6" s="132" t="s">
        <v>87</v>
      </c>
      <c r="K6" s="131" t="s">
        <v>89</v>
      </c>
      <c r="L6" s="131" t="s">
        <v>92</v>
      </c>
      <c r="M6" s="124" t="s">
        <v>95</v>
      </c>
      <c r="N6" s="132" t="s">
        <v>98</v>
      </c>
      <c r="O6" s="132" t="s">
        <v>99</v>
      </c>
    </row>
    <row r="7" spans="2:15" ht="14" customHeight="1" thickTop="1" x14ac:dyDescent="0.3">
      <c r="B7" s="69"/>
      <c r="C7" s="69"/>
      <c r="D7" s="55"/>
      <c r="E7" s="55"/>
      <c r="F7" s="76"/>
      <c r="G7" s="77"/>
      <c r="H7" s="77"/>
      <c r="I7" s="55"/>
      <c r="J7" s="76"/>
      <c r="K7" s="77"/>
      <c r="L7" s="77"/>
      <c r="M7" s="55"/>
      <c r="N7" s="76"/>
      <c r="O7" s="76"/>
    </row>
    <row r="8" spans="2:15" ht="14" customHeight="1" x14ac:dyDescent="0.3">
      <c r="B8" s="16" t="s">
        <v>131</v>
      </c>
      <c r="C8" s="9">
        <f>'2| DRE'!D10</f>
        <v>1110916</v>
      </c>
      <c r="D8" s="9">
        <f>'2| DRE'!E10</f>
        <v>710359</v>
      </c>
      <c r="E8" s="9">
        <f>'2| DRE'!F10</f>
        <v>324974</v>
      </c>
      <c r="F8" s="9">
        <f>'2| DRE'!G10</f>
        <v>1328256</v>
      </c>
      <c r="G8" s="9">
        <f>'2| DRE'!H10</f>
        <v>907881</v>
      </c>
      <c r="H8" s="9">
        <f>'2| DRE'!I10</f>
        <v>536422</v>
      </c>
      <c r="I8" s="9">
        <f>'2| DRE'!J10</f>
        <v>223368</v>
      </c>
      <c r="J8" s="9">
        <f>'2| DRE'!K10</f>
        <v>732190</v>
      </c>
      <c r="K8" s="9">
        <f>'2| DRE'!L10</f>
        <v>443212</v>
      </c>
      <c r="L8" s="9">
        <f>'2| DRE'!M10</f>
        <v>241985</v>
      </c>
      <c r="M8" s="9">
        <f>'2| DRE'!N10</f>
        <v>165821</v>
      </c>
      <c r="N8" s="9">
        <f>'2| DRE'!O10</f>
        <v>891326</v>
      </c>
      <c r="O8" s="9">
        <f>'2| DRE'!P10</f>
        <v>860086</v>
      </c>
    </row>
    <row r="9" spans="2:15" ht="14" customHeight="1" x14ac:dyDescent="0.3">
      <c r="B9" s="40"/>
      <c r="C9" s="40"/>
      <c r="D9" s="37"/>
      <c r="E9" s="37"/>
      <c r="F9" s="9"/>
      <c r="G9" s="37"/>
      <c r="H9" s="37"/>
      <c r="I9" s="37"/>
      <c r="J9" s="37"/>
      <c r="K9" s="37"/>
      <c r="L9" s="37"/>
      <c r="M9" s="37"/>
      <c r="N9" s="37"/>
      <c r="O9" s="37"/>
    </row>
    <row r="10" spans="2:15" ht="14" customHeight="1" x14ac:dyDescent="0.3">
      <c r="B10" s="75" t="s">
        <v>137</v>
      </c>
      <c r="C10" s="9">
        <v>-430703</v>
      </c>
      <c r="D10" s="9">
        <v>-266719</v>
      </c>
      <c r="E10" s="9">
        <v>-108720</v>
      </c>
      <c r="F10" s="9">
        <v>-515438</v>
      </c>
      <c r="G10" s="9">
        <v>-328807</v>
      </c>
      <c r="H10" s="9">
        <v>-165056</v>
      </c>
      <c r="I10" s="9">
        <v>-66758</v>
      </c>
      <c r="J10" s="9">
        <v>-297433</v>
      </c>
      <c r="K10" s="9">
        <v>-199511</v>
      </c>
      <c r="L10" s="9">
        <v>-125334</v>
      </c>
      <c r="M10" s="9">
        <v>-71789</v>
      </c>
      <c r="N10" s="9">
        <v>-343154</v>
      </c>
      <c r="O10" s="9">
        <v>-333593</v>
      </c>
    </row>
    <row r="11" spans="2:15" ht="14" customHeight="1" x14ac:dyDescent="0.3">
      <c r="B11" s="75" t="s">
        <v>138</v>
      </c>
      <c r="C11" s="9">
        <v>-222181</v>
      </c>
      <c r="D11" s="9">
        <v>-145744</v>
      </c>
      <c r="E11" s="9">
        <v>-71336</v>
      </c>
      <c r="F11" s="9">
        <v>-245294</v>
      </c>
      <c r="G11" s="9">
        <v>-176718</v>
      </c>
      <c r="H11" s="9">
        <v>-111290</v>
      </c>
      <c r="I11" s="9">
        <v>-49107</v>
      </c>
      <c r="J11" s="9">
        <v>-182273</v>
      </c>
      <c r="K11" s="9">
        <v>-109182</v>
      </c>
      <c r="L11" s="9">
        <v>-60619</v>
      </c>
      <c r="M11" s="9">
        <v>-48958</v>
      </c>
      <c r="N11" s="9">
        <v>-199266</v>
      </c>
      <c r="O11" s="9">
        <v>-191131</v>
      </c>
    </row>
    <row r="12" spans="2:15" ht="14" customHeight="1" x14ac:dyDescent="0.3">
      <c r="B12" s="75" t="s">
        <v>139</v>
      </c>
      <c r="C12" s="9">
        <v>-22902</v>
      </c>
      <c r="D12" s="9">
        <v>-14079</v>
      </c>
      <c r="E12" s="9">
        <v>-7115</v>
      </c>
      <c r="F12" s="9">
        <v>-21121</v>
      </c>
      <c r="G12" s="9">
        <v>-16549</v>
      </c>
      <c r="H12" s="9">
        <v>-11885</v>
      </c>
      <c r="I12" s="9">
        <v>-6505</v>
      </c>
      <c r="J12" s="9">
        <v>-18093</v>
      </c>
      <c r="K12" s="9">
        <v>-12458</v>
      </c>
      <c r="L12" s="9">
        <v>-8542</v>
      </c>
      <c r="M12" s="9">
        <v>-6264</v>
      </c>
      <c r="N12" s="9">
        <v>-17898</v>
      </c>
      <c r="O12" s="9">
        <v>-27649</v>
      </c>
    </row>
    <row r="13" spans="2:15" ht="14" customHeight="1" x14ac:dyDescent="0.3">
      <c r="B13" s="40" t="s">
        <v>140</v>
      </c>
      <c r="C13" s="9">
        <v>-22048</v>
      </c>
      <c r="D13" s="9">
        <v>-14657</v>
      </c>
      <c r="E13" s="9">
        <v>-7539</v>
      </c>
      <c r="F13" s="9">
        <v>-24613</v>
      </c>
      <c r="G13" s="9">
        <v>-18186</v>
      </c>
      <c r="H13" s="9">
        <v>-12488</v>
      </c>
      <c r="I13" s="9">
        <v>-5956</v>
      </c>
      <c r="J13" s="9">
        <v>-16847</v>
      </c>
      <c r="K13" s="9">
        <v>-12484</v>
      </c>
      <c r="L13" s="9">
        <v>-6463</v>
      </c>
      <c r="M13" s="9">
        <v>-5002</v>
      </c>
      <c r="N13" s="9">
        <v>-24761</v>
      </c>
      <c r="O13" s="9">
        <v>-22528</v>
      </c>
    </row>
    <row r="14" spans="2:15" ht="14" customHeight="1" x14ac:dyDescent="0.3">
      <c r="B14" s="40" t="s">
        <v>141</v>
      </c>
      <c r="C14" s="9">
        <v>-8952</v>
      </c>
      <c r="D14" s="9">
        <v>-4452</v>
      </c>
      <c r="E14" s="9">
        <v>-1810</v>
      </c>
      <c r="F14" s="9">
        <v>-9114</v>
      </c>
      <c r="G14" s="9">
        <v>-10780</v>
      </c>
      <c r="H14" s="9">
        <v>-5764</v>
      </c>
      <c r="I14" s="9">
        <v>-3130</v>
      </c>
      <c r="J14" s="9">
        <v>-35651</v>
      </c>
      <c r="K14" s="9">
        <v>-5621</v>
      </c>
      <c r="L14" s="9">
        <v>-3281</v>
      </c>
      <c r="M14" s="9">
        <v>-2993</v>
      </c>
      <c r="N14" s="9">
        <v>-31843</v>
      </c>
      <c r="O14" s="9">
        <v>-16708</v>
      </c>
    </row>
    <row r="15" spans="2:15" ht="14" customHeight="1" x14ac:dyDescent="0.3">
      <c r="B15" s="17" t="s">
        <v>108</v>
      </c>
      <c r="C15" s="13">
        <f t="shared" ref="C15:D15" si="0">SUM(C10:C14)</f>
        <v>-706786</v>
      </c>
      <c r="D15" s="13">
        <f t="shared" si="0"/>
        <v>-445651</v>
      </c>
      <c r="E15" s="13">
        <f t="shared" ref="E15:O15" si="1">SUM(E10:E14)</f>
        <v>-196520</v>
      </c>
      <c r="F15" s="13">
        <f t="shared" si="1"/>
        <v>-815580</v>
      </c>
      <c r="G15" s="13">
        <f t="shared" si="1"/>
        <v>-551040</v>
      </c>
      <c r="H15" s="13">
        <f t="shared" si="1"/>
        <v>-306483</v>
      </c>
      <c r="I15" s="13">
        <f t="shared" si="1"/>
        <v>-131456</v>
      </c>
      <c r="J15" s="13">
        <f t="shared" si="1"/>
        <v>-550297</v>
      </c>
      <c r="K15" s="13">
        <f t="shared" si="1"/>
        <v>-339256</v>
      </c>
      <c r="L15" s="13">
        <f t="shared" si="1"/>
        <v>-204239</v>
      </c>
      <c r="M15" s="13">
        <f t="shared" si="1"/>
        <v>-135006</v>
      </c>
      <c r="N15" s="13">
        <f t="shared" si="1"/>
        <v>-616922</v>
      </c>
      <c r="O15" s="13">
        <f t="shared" si="1"/>
        <v>-591609</v>
      </c>
    </row>
    <row r="16" spans="2:15" ht="14" customHeight="1" x14ac:dyDescent="0.3">
      <c r="B16" s="17" t="s">
        <v>238</v>
      </c>
      <c r="C16" s="73">
        <f t="shared" ref="C16:D16" si="2">C15/C8</f>
        <v>-0.6362191200774856</v>
      </c>
      <c r="D16" s="73">
        <f t="shared" si="2"/>
        <v>-0.62736025023966757</v>
      </c>
      <c r="E16" s="73">
        <f t="shared" ref="E16:O16" si="3">E15/E8</f>
        <v>-0.60472530110101119</v>
      </c>
      <c r="F16" s="73">
        <f t="shared" si="3"/>
        <v>-0.61402320034692104</v>
      </c>
      <c r="G16" s="73">
        <f t="shared" si="3"/>
        <v>-0.60695179214015937</v>
      </c>
      <c r="H16" s="73">
        <f t="shared" si="3"/>
        <v>-0.57134681277054256</v>
      </c>
      <c r="I16" s="73">
        <f t="shared" si="3"/>
        <v>-0.58851760323770641</v>
      </c>
      <c r="J16" s="73">
        <f t="shared" si="3"/>
        <v>-0.75157677651975585</v>
      </c>
      <c r="K16" s="73">
        <f t="shared" si="3"/>
        <v>-0.76544858893712264</v>
      </c>
      <c r="L16" s="73">
        <f t="shared" si="3"/>
        <v>-0.8440151249044362</v>
      </c>
      <c r="M16" s="73">
        <f t="shared" si="3"/>
        <v>-0.81416708378311553</v>
      </c>
      <c r="N16" s="73">
        <f t="shared" si="3"/>
        <v>-0.69213957631663392</v>
      </c>
      <c r="O16" s="73">
        <f t="shared" si="3"/>
        <v>-0.68784865699476561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F6:O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Índice</vt:lpstr>
      <vt:lpstr>1| Balanço Patrimonial</vt:lpstr>
      <vt:lpstr>2| DRE</vt:lpstr>
      <vt:lpstr>3| Fluxo de Caixa</vt:lpstr>
      <vt:lpstr>4| Dívida Líquida</vt:lpstr>
      <vt:lpstr>5| EBITDA</vt:lpstr>
      <vt:lpstr>6| Lucro Líquido</vt:lpstr>
      <vt:lpstr>7| Impostos</vt:lpstr>
      <vt:lpstr>8| CPV</vt:lpstr>
      <vt:lpstr>9| SG&amp;A</vt:lpstr>
      <vt:lpstr>10| Investimentos</vt:lpstr>
      <vt:lpstr>11| Caixa Livre</vt:lpstr>
      <vt:lpstr>12| ROIC</vt:lpstr>
      <vt:lpstr>13| Receita por Marca e Canal</vt:lpstr>
      <vt:lpstr>14| Quantidade de Lojas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Antônio Oliveira</cp:lastModifiedBy>
  <cp:lastPrinted>2022-09-22T14:08:54Z</cp:lastPrinted>
  <dcterms:created xsi:type="dcterms:W3CDTF">2022-04-22T14:02:47Z</dcterms:created>
  <dcterms:modified xsi:type="dcterms:W3CDTF">2022-11-11T12:34:29Z</dcterms:modified>
</cp:coreProperties>
</file>