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aura.sannomiya\Downloads\"/>
    </mc:Choice>
  </mc:AlternateContent>
  <xr:revisionPtr revIDLastSave="0" documentId="13_ncr:1_{D1A6EFC4-81C7-4DF2-B702-877C7DF144DE}" xr6:coauthVersionLast="47" xr6:coauthVersionMax="47" xr10:uidLastSave="{00000000-0000-0000-0000-000000000000}"/>
  <bookViews>
    <workbookView xWindow="-28920" yWindow="-2460" windowWidth="29040" windowHeight="15840" tabRatio="872" xr2:uid="{00000000-000D-0000-FFFF-FFFF00000000}"/>
  </bookViews>
  <sheets>
    <sheet name="ÍNDICE REALIZADO" sheetId="61" r:id="rId1"/>
    <sheet name="BP" sheetId="17" r:id="rId2"/>
    <sheet name="DRE" sheetId="18" r:id="rId3"/>
    <sheet name="DFC " sheetId="19" r:id="rId4"/>
    <sheet name="DESPESAS" sheetId="82" r:id="rId5"/>
    <sheet name="EBITDA" sheetId="31" r:id="rId6"/>
    <sheet name="ENDIVIDAMENTO" sheetId="76" r:id="rId7"/>
    <sheet name="ROIC" sheetId="79" r:id="rId8"/>
    <sheet name="RECEITA LÍQUIDA" sheetId="75" r:id="rId9"/>
    <sheet name="CAPEX" sheetId="77" r:id="rId10"/>
    <sheet name="RECEITA LIQUIDA - MI E ME." sheetId="80" r:id="rId11"/>
    <sheet name="PAYOUT" sheetId="78" r:id="rId12"/>
  </sheets>
  <definedNames>
    <definedName name="\D" localSheetId="4">#REF!</definedName>
    <definedName name="\D" localSheetId="6">#REF!</definedName>
    <definedName name="\D" localSheetId="10">#REF!</definedName>
    <definedName name="\D" localSheetId="7">#REF!</definedName>
    <definedName name="\D">#REF!</definedName>
    <definedName name="\m" localSheetId="6">#REF!</definedName>
    <definedName name="\m" localSheetId="10">#REF!</definedName>
    <definedName name="\m" localSheetId="7">#REF!</definedName>
    <definedName name="\m">#REF!</definedName>
    <definedName name="\N" localSheetId="6">#REF!</definedName>
    <definedName name="\N" localSheetId="10">#REF!</definedName>
    <definedName name="\N" localSheetId="7">#REF!</definedName>
    <definedName name="\N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X" hidden="1">#REF!</definedName>
    <definedName name="__bal0196" localSheetId="10">#REF!</definedName>
    <definedName name="__bal0196">#REF!</definedName>
    <definedName name="__bal0296" localSheetId="10">#REF!</definedName>
    <definedName name="__bal0296">#REF!</definedName>
    <definedName name="__Bal0497" localSheetId="10">#REF!</definedName>
    <definedName name="__Bal0497">#REF!</definedName>
    <definedName name="__bal1196" localSheetId="10">#REF!</definedName>
    <definedName name="__bal1196">#REF!</definedName>
    <definedName name="__bdg2000" localSheetId="10">#REF!</definedName>
    <definedName name="__bdg2000">#REF!</definedName>
    <definedName name="__fu1" localSheetId="6">#REF!</definedName>
    <definedName name="__fu1" localSheetId="10">#REF!</definedName>
    <definedName name="__fu1" localSheetId="7">#REF!</definedName>
    <definedName name="__fu1">#REF!</definedName>
    <definedName name="__hsd1" localSheetId="6">#REF!</definedName>
    <definedName name="__hsd1" localSheetId="10">#REF!</definedName>
    <definedName name="__hsd1" localSheetId="7">#REF!</definedName>
    <definedName name="__hsd1">#REF!</definedName>
    <definedName name="_0" localSheetId="6">#REF!</definedName>
    <definedName name="_0" localSheetId="10">#REF!</definedName>
    <definedName name="_0" localSheetId="7">#REF!</definedName>
    <definedName name="_0">#REF!</definedName>
    <definedName name="_1_US">"Dolar Exchange"</definedName>
    <definedName name="_a" localSheetId="6">#REF!</definedName>
    <definedName name="_a" localSheetId="10">#REF!</definedName>
    <definedName name="_a" localSheetId="7">#REF!</definedName>
    <definedName name="_a">#REF!</definedName>
    <definedName name="_bal0196" localSheetId="10">#REF!</definedName>
    <definedName name="_bal0196">#REF!</definedName>
    <definedName name="_bal0296" localSheetId="10">#REF!</definedName>
    <definedName name="_bal0296">#REF!</definedName>
    <definedName name="_Bal0497" localSheetId="10">#REF!</definedName>
    <definedName name="_Bal0497">#REF!</definedName>
    <definedName name="_bal1196" localSheetId="10">#REF!</definedName>
    <definedName name="_bal1196">#REF!</definedName>
    <definedName name="_bdg2000" localSheetId="10">#REF!</definedName>
    <definedName name="_bdg2000">#REF!</definedName>
    <definedName name="_D" localSheetId="6">#REF!</definedName>
    <definedName name="_D" localSheetId="10">#REF!</definedName>
    <definedName name="_D" localSheetId="7">#REF!</definedName>
    <definedName name="_D">#REF!</definedName>
    <definedName name="_DRE2000" localSheetId="7">#REF!</definedName>
    <definedName name="_DRE2000">#REF!</definedName>
    <definedName name="_DRE99" localSheetId="7">#REF!</definedName>
    <definedName name="_DRE99">#REF!</definedName>
    <definedName name="_Fill" localSheetId="6" hidden="1">#REF!</definedName>
    <definedName name="_Fill" localSheetId="10" hidden="1">#REF!</definedName>
    <definedName name="_Fill" localSheetId="7" hidden="1">#REF!</definedName>
    <definedName name="_Fill" hidden="1">#REF!</definedName>
    <definedName name="_fu1" localSheetId="6">#REF!</definedName>
    <definedName name="_fu1" localSheetId="10">#REF!</definedName>
    <definedName name="_fu1" localSheetId="7">#REF!</definedName>
    <definedName name="_fu1">#REF!</definedName>
    <definedName name="_hsd1" localSheetId="6">#REF!</definedName>
    <definedName name="_hsd1" localSheetId="10">#REF!</definedName>
    <definedName name="_hsd1" localSheetId="7">#REF!</definedName>
    <definedName name="_hsd1">#REF!</definedName>
    <definedName name="_m" localSheetId="6">#REF!</definedName>
    <definedName name="_m" localSheetId="10">#REF!</definedName>
    <definedName name="_m" localSheetId="7">#REF!</definedName>
    <definedName name="_m">#REF!</definedName>
    <definedName name="_N" localSheetId="6">#REF!</definedName>
    <definedName name="_N" localSheetId="10">#REF!</definedName>
    <definedName name="_N" localSheetId="7">#REF!</definedName>
    <definedName name="_N">#REF!</definedName>
    <definedName name="_p" localSheetId="6">#REF!</definedName>
    <definedName name="_p" localSheetId="10">#REF!</definedName>
    <definedName name="_p" localSheetId="7">#REF!</definedName>
    <definedName name="_p">#REF!</definedName>
    <definedName name="_s" localSheetId="6">#REF!</definedName>
    <definedName name="_s" localSheetId="10">#REF!</definedName>
    <definedName name="_s" localSheetId="7">#REF!</definedName>
    <definedName name="_s">#REF!</definedName>
    <definedName name="A" localSheetId="10">#REF!</definedName>
    <definedName name="A" localSheetId="7">#REF!</definedName>
    <definedName name="A">#REF!</definedName>
    <definedName name="A_1" localSheetId="6">#REF!</definedName>
    <definedName name="A_1" localSheetId="10">#REF!</definedName>
    <definedName name="A_1" localSheetId="7">#REF!</definedName>
    <definedName name="A_1">#REF!</definedName>
    <definedName name="A_2" localSheetId="6">#REF!</definedName>
    <definedName name="A_2" localSheetId="10">#REF!</definedName>
    <definedName name="A_2" localSheetId="7">#REF!</definedName>
    <definedName name="A_2">#REF!</definedName>
    <definedName name="A_4" localSheetId="6">#REF!</definedName>
    <definedName name="A_4" localSheetId="10">#REF!</definedName>
    <definedName name="A_4" localSheetId="7">#REF!</definedName>
    <definedName name="A_4">#REF!</definedName>
    <definedName name="a_graf_endiv" localSheetId="10">#REF!</definedName>
    <definedName name="a_graf_endiv">#REF!</definedName>
    <definedName name="Á470" localSheetId="6">#REF!</definedName>
    <definedName name="Á470" localSheetId="10">#REF!</definedName>
    <definedName name="Á470" localSheetId="7">#REF!</definedName>
    <definedName name="Á470">#REF!</definedName>
    <definedName name="AA" localSheetId="6">#REF!</definedName>
    <definedName name="AA" localSheetId="10">#REF!</definedName>
    <definedName name="AA" localSheetId="7">#REF!</definedName>
    <definedName name="AA">#REF!</definedName>
    <definedName name="AA_1" localSheetId="6">#REF!</definedName>
    <definedName name="AA_1" localSheetId="10">#REF!</definedName>
    <definedName name="AA_1" localSheetId="7">#REF!</definedName>
    <definedName name="AA_1">#REF!</definedName>
    <definedName name="AA_4" localSheetId="6">#REF!</definedName>
    <definedName name="AA_4" localSheetId="10">#REF!</definedName>
    <definedName name="AA_4" localSheetId="7">#REF!</definedName>
    <definedName name="AA_4">#REF!</definedName>
    <definedName name="AAA" localSheetId="6">#REF!</definedName>
    <definedName name="AAA" localSheetId="10">#REF!</definedName>
    <definedName name="AAA" localSheetId="7">#REF!</definedName>
    <definedName name="AAA">#REF!</definedName>
    <definedName name="AccessDatabase" hidden="1">"D:\Edson\VaR\VaR_UBB\VaR_UBB_UAM\Carrega_Carteiras_2.mdb"</definedName>
    <definedName name="Account_Balance" localSheetId="6">#REF!</definedName>
    <definedName name="Account_Balance" localSheetId="10">#REF!</definedName>
    <definedName name="Account_Balance" localSheetId="7">#REF!</definedName>
    <definedName name="Account_Balance">#REF!</definedName>
    <definedName name="ACUMULADO" localSheetId="6">#REF!</definedName>
    <definedName name="ACUMULADO" localSheetId="10">#REF!</definedName>
    <definedName name="ACUMULADO" localSheetId="7">#REF!</definedName>
    <definedName name="ACUMULADO">#REF!</definedName>
    <definedName name="ADICOES" localSheetId="6">#REF!</definedName>
    <definedName name="ADICOES" localSheetId="10">#REF!</definedName>
    <definedName name="ADICOES" localSheetId="7">#REF!</definedName>
    <definedName name="ADICOES">#REF!</definedName>
    <definedName name="ADTOCLIENTES" localSheetId="6">#REF!</definedName>
    <definedName name="ADTOCLIENTES" localSheetId="10">#REF!</definedName>
    <definedName name="ADTOCLIENTES" localSheetId="7">#REF!</definedName>
    <definedName name="ADTOCLIENTES">#REF!</definedName>
    <definedName name="AGOSTO" localSheetId="6">#REF!</definedName>
    <definedName name="AGOSTO" localSheetId="10">#REF!</definedName>
    <definedName name="AGOSTO" localSheetId="7">#REF!</definedName>
    <definedName name="AGOSTO">#REF!</definedName>
    <definedName name="ajuste98" localSheetId="6">#REF!</definedName>
    <definedName name="ajuste98" localSheetId="10">#REF!</definedName>
    <definedName name="ajuste98" localSheetId="7">#REF!</definedName>
    <definedName name="ajuste98">#REF!</definedName>
    <definedName name="Ajuste99" localSheetId="6">#REF!</definedName>
    <definedName name="Ajuste99" localSheetId="10">#REF!</definedName>
    <definedName name="Ajuste99" localSheetId="7">#REF!</definedName>
    <definedName name="Ajuste99">#REF!</definedName>
    <definedName name="ali" hidden="1">#REF!</definedName>
    <definedName name="Analdolar" localSheetId="6">#REF!</definedName>
    <definedName name="Analdolar" localSheetId="10">#REF!</definedName>
    <definedName name="Analdolar" localSheetId="7">#REF!</definedName>
    <definedName name="Analdolar">#REF!</definedName>
    <definedName name="analpl" localSheetId="6">#REF!</definedName>
    <definedName name="analpl" localSheetId="10">#REF!</definedName>
    <definedName name="analpl" localSheetId="7">#REF!</definedName>
    <definedName name="analpl">#REF!</definedName>
    <definedName name="analreal" localSheetId="6">#REF!</definedName>
    <definedName name="analreal" localSheetId="10">#REF!</definedName>
    <definedName name="analreal" localSheetId="7">#REF!</definedName>
    <definedName name="analreal">#REF!</definedName>
    <definedName name="Analtotal" localSheetId="6">#REF!</definedName>
    <definedName name="Analtotal" localSheetId="10">#REF!</definedName>
    <definedName name="Analtotal" localSheetId="7">#REF!</definedName>
    <definedName name="Analtotal">#REF!</definedName>
    <definedName name="Anbid" localSheetId="10">#REF!</definedName>
    <definedName name="Anbid" localSheetId="7">#REF!</definedName>
    <definedName name="Anbid">#REF!</definedName>
    <definedName name="ANTECIPADAS" localSheetId="6">#REF!</definedName>
    <definedName name="ANTECIPADAS" localSheetId="10">#REF!</definedName>
    <definedName name="ANTECIPADAS" localSheetId="7">#REF!</definedName>
    <definedName name="ANTECIPADAS">#REF!</definedName>
    <definedName name="APLICAÇ_ES" localSheetId="6">#REF!</definedName>
    <definedName name="APLICAÇ_ES" localSheetId="10">#REF!</definedName>
    <definedName name="APLICAÇ_ES" localSheetId="7">#REF!</definedName>
    <definedName name="APLICAÇ_ES">#REF!</definedName>
    <definedName name="APLICAÇÕES" localSheetId="6">#REF!</definedName>
    <definedName name="APLICAÇÕES" localSheetId="10">#REF!</definedName>
    <definedName name="APLICAÇÕES" localSheetId="7">#REF!</definedName>
    <definedName name="APLICAÇÕES">#REF!</definedName>
    <definedName name="ARA_Threshold" localSheetId="6">#REF!</definedName>
    <definedName name="ARA_Threshold" localSheetId="10">#REF!</definedName>
    <definedName name="ARA_Threshold" localSheetId="7">#REF!</definedName>
    <definedName name="ARA_Threshold">#REF!</definedName>
    <definedName name="_xlnm.Extract" localSheetId="6">#REF!</definedName>
    <definedName name="_xlnm.Extract" localSheetId="10">#REF!</definedName>
    <definedName name="_xlnm.Extract" localSheetId="7">#REF!</definedName>
    <definedName name="_xlnm.Extract">#REF!</definedName>
    <definedName name="Área_de_imp" localSheetId="7">#REF!</definedName>
    <definedName name="Área_de_imp">#REF!</definedName>
    <definedName name="_xlnm.Print_Area" localSheetId="1">BP!$C$2:$BZ$83</definedName>
    <definedName name="_xlnm.Print_Area" localSheetId="9">CAPEX!$C$2:$BK$11</definedName>
    <definedName name="_xlnm.Print_Area" localSheetId="4">DESPESAS!$C$2:$BZ$24</definedName>
    <definedName name="_xlnm.Print_Area" localSheetId="3">'DFC '!$C$2:$BZ$82</definedName>
    <definedName name="_xlnm.Print_Area" localSheetId="2">DRE!$C$2:$BZ$31</definedName>
    <definedName name="_xlnm.Print_Area" localSheetId="5">EBITDA!$C$2:$BZ$13</definedName>
    <definedName name="_xlnm.Print_Area" localSheetId="6">ENDIVIDAMENTO!$C$2:$BZ$35</definedName>
    <definedName name="_xlnm.Print_Area" localSheetId="0">'ÍNDICE REALIZADO'!$C$2:$BZ$22</definedName>
    <definedName name="_xlnm.Print_Area" localSheetId="11">PAYOUT!$C$2:$M$10</definedName>
    <definedName name="_xlnm.Print_Area" localSheetId="8">'RECEITA LÍQUIDA'!$C$2:$BZ$12</definedName>
    <definedName name="_xlnm.Print_Area" localSheetId="10">'RECEITA LIQUIDA - MI E ME.'!$C$2:$AG$18</definedName>
    <definedName name="_xlnm.Print_Area" localSheetId="7">ROIC!$C$2:$AS$14</definedName>
    <definedName name="_xlnm.Print_Area">#REF!</definedName>
    <definedName name="area1" localSheetId="10">(#REF!,#REF!)</definedName>
    <definedName name="area1">(#REF!,#REF!)</definedName>
    <definedName name="ARP_Threshold" localSheetId="6">#REF!</definedName>
    <definedName name="ARP_Threshold" localSheetId="10">#REF!</definedName>
    <definedName name="ARP_Threshold" localSheetId="7">#REF!</definedName>
    <definedName name="ARP_Threshold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6" hidden="1">#REF!</definedName>
    <definedName name="AS2TickmarkLS" localSheetId="10" hidden="1">#REF!</definedName>
    <definedName name="AS2TickmarkLS" localSheetId="7" hidden="1">#REF!</definedName>
    <definedName name="AS2TickmarkLS" hidden="1">#REF!</definedName>
    <definedName name="AS2VersionLS" hidden="1">300</definedName>
    <definedName name="ativo" localSheetId="10">#REF!</definedName>
    <definedName name="ativo" localSheetId="7">#REF!</definedName>
    <definedName name="ativo">#REF!</definedName>
    <definedName name="ATIVO_4" localSheetId="6">#REF!</definedName>
    <definedName name="ATIVO_4" localSheetId="10">#REF!</definedName>
    <definedName name="ATIVO_4" localSheetId="7">#REF!</definedName>
    <definedName name="ATIVO_4">#REF!</definedName>
    <definedName name="ATIVO1" localSheetId="7">#REF!</definedName>
    <definedName name="ATIVO1">#REF!</definedName>
    <definedName name="ATIVO1C" localSheetId="7">#REF!</definedName>
    <definedName name="ATIVO1C">#REF!</definedName>
    <definedName name="ATIVO1N" localSheetId="7">#REF!</definedName>
    <definedName name="ATIVO1N">#REF!</definedName>
    <definedName name="ATIVO1V" localSheetId="7">#REF!</definedName>
    <definedName name="ATIVO1V">#REF!</definedName>
    <definedName name="ATIVO2" localSheetId="7">#REF!</definedName>
    <definedName name="ATIVO2">#REF!</definedName>
    <definedName name="ATIVO2C" localSheetId="7">#REF!</definedName>
    <definedName name="ATIVO2C">#REF!</definedName>
    <definedName name="ATIVO2N" localSheetId="7">#REF!</definedName>
    <definedName name="ATIVO2N">#REF!</definedName>
    <definedName name="ATIVO2V" localSheetId="7">#REF!</definedName>
    <definedName name="ATIVO2V">#REF!</definedName>
    <definedName name="AtivoC" localSheetId="7">#REF!</definedName>
    <definedName name="AtivoC">#REF!</definedName>
    <definedName name="ATIVOKWI" localSheetId="7">#REF!</definedName>
    <definedName name="ATIVOKWI">#REF!</definedName>
    <definedName name="AUMCAPITAL" localSheetId="6">#REF!</definedName>
    <definedName name="AUMCAPITAL" localSheetId="10">#REF!</definedName>
    <definedName name="AUMCAPITAL" localSheetId="7">#REF!</definedName>
    <definedName name="AUMCAPITAL">#REF!</definedName>
    <definedName name="b" hidden="1">#REF!</definedName>
    <definedName name="b_graf_fornec" localSheetId="10">#REF!</definedName>
    <definedName name="b_graf_fornec">#REF!</definedName>
    <definedName name="BALANCO" localSheetId="6">#REF!</definedName>
    <definedName name="BALANCO" localSheetId="10">#REF!</definedName>
    <definedName name="BALANCO" localSheetId="7">#REF!</definedName>
    <definedName name="BALANCO">#REF!</definedName>
    <definedName name="BALCMI" localSheetId="6">#REF!</definedName>
    <definedName name="BALCMI" localSheetId="10">#REF!</definedName>
    <definedName name="BALCMI" localSheetId="7">#REF!</definedName>
    <definedName name="BALCMI">#REF!</definedName>
    <definedName name="baldat01" localSheetId="10">#REF!</definedName>
    <definedName name="baldat01">#REF!</definedName>
    <definedName name="BALPUBL" localSheetId="6">#REF!</definedName>
    <definedName name="BALPUBL" localSheetId="10">#REF!</definedName>
    <definedName name="BALPUBL" localSheetId="7">#REF!</definedName>
    <definedName name="BALPUBL">#REF!</definedName>
    <definedName name="BANCO" localSheetId="6">#REF!</definedName>
    <definedName name="BANCO" localSheetId="10">#REF!</definedName>
    <definedName name="BANCO" localSheetId="7">#REF!</definedName>
    <definedName name="BANCO">#REF!</definedName>
    <definedName name="_xlnm.Database" localSheetId="6">#REF!</definedName>
    <definedName name="_xlnm.Database" localSheetId="10">#REF!</definedName>
    <definedName name="_xlnm.Database" localSheetId="7">#REF!</definedName>
    <definedName name="_xlnm.Database">#REF!</definedName>
    <definedName name="BANCOS" localSheetId="6">#REF!</definedName>
    <definedName name="BANCOS" localSheetId="10">#REF!</definedName>
    <definedName name="BANCOS" localSheetId="7">#REF!</definedName>
    <definedName name="BANCOS">#REF!</definedName>
    <definedName name="BASE">#REF!</definedName>
    <definedName name="BASE_001">#REF!</definedName>
    <definedName name="BASE_010" localSheetId="10">#REF!</definedName>
    <definedName name="BASE_010" localSheetId="7">#REF!</definedName>
    <definedName name="BASE_010">#REF!</definedName>
    <definedName name="BASE01" localSheetId="10">#REF!</definedName>
    <definedName name="BASE01">#REF!</definedName>
    <definedName name="BASECONTAB" localSheetId="10">#REF!</definedName>
    <definedName name="BASECONTAB">#REF!</definedName>
    <definedName name="BASEEXT" localSheetId="10">#REF!</definedName>
    <definedName name="BASEEXT">#REF!</definedName>
    <definedName name="BASEINT" localSheetId="10">#REF!</definedName>
    <definedName name="BASEINT">#REF!</definedName>
    <definedName name="BASENOVA" localSheetId="10">#REF!</definedName>
    <definedName name="BASENOVA" localSheetId="7">#REF!</definedName>
    <definedName name="BASENOVA">#REF!</definedName>
    <definedName name="basic_level">#REF!</definedName>
    <definedName name="bb" hidden="1">#REF!</definedName>
    <definedName name="BB_4" localSheetId="6">#REF!</definedName>
    <definedName name="BB_4" localSheetId="10">#REF!</definedName>
    <definedName name="BB_4" localSheetId="7">#REF!</definedName>
    <definedName name="BB_4">#REF!</definedName>
    <definedName name="BBB" localSheetId="6">#REF!</definedName>
    <definedName name="BBB" localSheetId="10">#REF!</definedName>
    <definedName name="BBB" localSheetId="7">#REF!</definedName>
    <definedName name="BBB">#REF!</definedName>
    <definedName name="BBDD">#REF!</definedName>
    <definedName name="BC_D_PI" localSheetId="6">#REF!</definedName>
    <definedName name="BC_D_PI" localSheetId="10">#REF!</definedName>
    <definedName name="BC_D_PI" localSheetId="7">#REF!</definedName>
    <definedName name="BC_D_PI">#REF!</definedName>
    <definedName name="BC_T_PI" localSheetId="6">#REF!</definedName>
    <definedName name="BC_T_PI" localSheetId="10">#REF!</definedName>
    <definedName name="BC_T_PI" localSheetId="7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 localSheetId="6">#REF!</definedName>
    <definedName name="BL_D_PF" localSheetId="10">#REF!</definedName>
    <definedName name="BL_D_PF" localSheetId="7">#REF!</definedName>
    <definedName name="BL_D_PF">#REF!</definedName>
    <definedName name="BL_D_PI" localSheetId="6">#REF!</definedName>
    <definedName name="BL_D_PI" localSheetId="10">#REF!</definedName>
    <definedName name="BL_D_PI" localSheetId="7">#REF!</definedName>
    <definedName name="BL_D_PI">#REF!</definedName>
    <definedName name="BL_D_PP" localSheetId="6">#REF!</definedName>
    <definedName name="BL_D_PP" localSheetId="10">#REF!</definedName>
    <definedName name="BL_D_PP" localSheetId="7">#REF!</definedName>
    <definedName name="BL_D_PP">#REF!</definedName>
    <definedName name="BL_T_PF" localSheetId="6">#REF!</definedName>
    <definedName name="BL_T_PF" localSheetId="10">#REF!</definedName>
    <definedName name="BL_T_PF" localSheetId="7">#REF!</definedName>
    <definedName name="BL_T_PF">#REF!</definedName>
    <definedName name="BL_T_PI" localSheetId="6">#REF!</definedName>
    <definedName name="BL_T_PI" localSheetId="10">#REF!</definedName>
    <definedName name="BL_T_PI" localSheetId="7">#REF!</definedName>
    <definedName name="BL_T_PI">#REF!</definedName>
    <definedName name="BL_T_PP" localSheetId="6">#REF!</definedName>
    <definedName name="BL_T_PP" localSheetId="10">#REF!</definedName>
    <definedName name="BL_T_PP" localSheetId="7">#REF!</definedName>
    <definedName name="BL_T_PP">#REF!</definedName>
    <definedName name="BR_D_PI" localSheetId="6">#REF!</definedName>
    <definedName name="BR_D_PI" localSheetId="10">#REF!</definedName>
    <definedName name="BR_D_PI" localSheetId="7">#REF!</definedName>
    <definedName name="BR_D_PI">#REF!</definedName>
    <definedName name="BR_T_PI" localSheetId="6">#REF!</definedName>
    <definedName name="BR_T_PI" localSheetId="10">#REF!</definedName>
    <definedName name="BR_T_PI" localSheetId="7">#REF!</definedName>
    <definedName name="BR_T_PI">#REF!</definedName>
    <definedName name="BRS_TJ" localSheetId="7">#REF!</definedName>
    <definedName name="BRS_TJ">#REF!</definedName>
    <definedName name="BT_D_PI" localSheetId="6">#REF!</definedName>
    <definedName name="BT_D_PI" localSheetId="10">#REF!</definedName>
    <definedName name="BT_D_PI" localSheetId="7">#REF!</definedName>
    <definedName name="BT_D_PI">#REF!</definedName>
    <definedName name="BT_D_PP" localSheetId="6">#REF!</definedName>
    <definedName name="BT_D_PP" localSheetId="10">#REF!</definedName>
    <definedName name="BT_D_PP" localSheetId="7">#REF!</definedName>
    <definedName name="BT_D_PP">#REF!</definedName>
    <definedName name="BT_T_PI" localSheetId="6">#REF!</definedName>
    <definedName name="BT_T_PI" localSheetId="10">#REF!</definedName>
    <definedName name="BT_T_PI" localSheetId="7">#REF!</definedName>
    <definedName name="BT_T_PI">#REF!</definedName>
    <definedName name="BT_T_PP" localSheetId="6">#REF!</definedName>
    <definedName name="BT_T_PP" localSheetId="10">#REF!</definedName>
    <definedName name="BT_T_PP" localSheetId="7">#REF!</definedName>
    <definedName name="BT_T_PP">#REF!</definedName>
    <definedName name="bubu" hidden="1">#REF!</definedName>
    <definedName name="C." localSheetId="6">#REF!</definedName>
    <definedName name="C." localSheetId="10">#REF!</definedName>
    <definedName name="C." localSheetId="7">#REF!</definedName>
    <definedName name="C.">#REF!</definedName>
    <definedName name="c_graf_estoq" localSheetId="10">#REF!</definedName>
    <definedName name="c_graf_estoq">#REF!</definedName>
    <definedName name="CAP" localSheetId="6">#REF!</definedName>
    <definedName name="CAP" localSheetId="10">#REF!</definedName>
    <definedName name="CAP" localSheetId="7">#REF!</definedName>
    <definedName name="CAP">#REF!</definedName>
    <definedName name="CAPA" localSheetId="7">#REF!</definedName>
    <definedName name="CAPA">#REF!</definedName>
    <definedName name="CAPAC" localSheetId="7">#REF!</definedName>
    <definedName name="CAPAC">#REF!</definedName>
    <definedName name="CAPAN" localSheetId="7">#REF!</definedName>
    <definedName name="CAPAN">#REF!</definedName>
    <definedName name="CAPCOLIG" localSheetId="6">#REF!</definedName>
    <definedName name="CAPCOLIG" localSheetId="10">#REF!</definedName>
    <definedName name="CAPCOLIG" localSheetId="7">#REF!</definedName>
    <definedName name="CAPCOLIG">#REF!</definedName>
    <definedName name="CAPEX_ISP" localSheetId="6">#REF!</definedName>
    <definedName name="CAPEX_ISP" localSheetId="10">#REF!</definedName>
    <definedName name="CAPEX_ISP" localSheetId="7">#REF!</definedName>
    <definedName name="CAPEX_ISP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CC" localSheetId="6">#REF!</definedName>
    <definedName name="CCC" localSheetId="10">#REF!</definedName>
    <definedName name="CCC" localSheetId="7">#REF!</definedName>
    <definedName name="CCC">#REF!</definedName>
    <definedName name="CDI" localSheetId="7">#REF!</definedName>
    <definedName name="CDI">#REF!</definedName>
    <definedName name="COLIGATIVO" localSheetId="6">#REF!</definedName>
    <definedName name="COLIGATIVO" localSheetId="10">#REF!</definedName>
    <definedName name="COLIGATIVO" localSheetId="7">#REF!</definedName>
    <definedName name="COLIGATIVO">#REF!</definedName>
    <definedName name="COLIGPASSIVO" localSheetId="6">#REF!</definedName>
    <definedName name="COLIGPASSIVO" localSheetId="10">#REF!</definedName>
    <definedName name="COLIGPASSIVO" localSheetId="7">#REF!</definedName>
    <definedName name="COLIGPASSIVO">#REF!</definedName>
    <definedName name="COMPULSORIO" localSheetId="6">#REF!</definedName>
    <definedName name="COMPULSORIO" localSheetId="10">#REF!</definedName>
    <definedName name="COMPULSORIO" localSheetId="7">#REF!</definedName>
    <definedName name="COMPULSORIO">#REF!</definedName>
    <definedName name="CONSOLIDADO" localSheetId="10">(#REF!,#REF!,#REF!,#REF!,#REF!,#REF!)</definedName>
    <definedName name="CONSOLIDADO" localSheetId="7">(#REF!,#REF!,#REF!,#REF!,#REF!,#REF!)</definedName>
    <definedName name="CONSOLIDADO">(#REF!,#REF!,#REF!,#REF!,#REF!,#REF!)</definedName>
    <definedName name="CONTAB" localSheetId="10">#REF!</definedName>
    <definedName name="CONTAB">#REF!</definedName>
    <definedName name="_xlnm.Criteria" localSheetId="6">#REF!</definedName>
    <definedName name="_xlnm.Criteria" localSheetId="10">#REF!</definedName>
    <definedName name="_xlnm.Criteria" localSheetId="7">#REF!</definedName>
    <definedName name="_xlnm.Criteria">#REF!</definedName>
    <definedName name="CS" localSheetId="4" hidden="1">{#N/A,#N/A,TRUE,"imasa"}</definedName>
    <definedName name="CS" localSheetId="10" hidden="1">{#N/A,#N/A,TRUE,"imasa"}</definedName>
    <definedName name="CS" hidden="1">{#N/A,#N/A,TRUE,"imasa"}</definedName>
    <definedName name="CTAS.RECEBER" localSheetId="6">#REF!</definedName>
    <definedName name="CTAS.RECEBER" localSheetId="10">#REF!</definedName>
    <definedName name="CTAS.RECEBER" localSheetId="7">#REF!</definedName>
    <definedName name="CTAS.RECEBER">#REF!</definedName>
    <definedName name="D" localSheetId="7">#REF!</definedName>
    <definedName name="D">#REF!</definedName>
    <definedName name="D.R.E." localSheetId="6">#REF!</definedName>
    <definedName name="D.R.E." localSheetId="10">#REF!</definedName>
    <definedName name="D.R.E." localSheetId="7">#REF!</definedName>
    <definedName name="D.R.E.">#REF!</definedName>
    <definedName name="D_4" localSheetId="6">#REF!</definedName>
    <definedName name="D_4" localSheetId="10">#REF!</definedName>
    <definedName name="D_4" localSheetId="7">#REF!</definedName>
    <definedName name="D_4">#REF!</definedName>
    <definedName name="dado" localSheetId="6">#REF!</definedName>
    <definedName name="dado" localSheetId="10">#REF!</definedName>
    <definedName name="dado" localSheetId="7">#REF!</definedName>
    <definedName name="dado">#REF!</definedName>
    <definedName name="DADOS" localSheetId="7">#REF!</definedName>
    <definedName name="DADOS">#REF!</definedName>
    <definedName name="dados_4" localSheetId="10">#REF!</definedName>
    <definedName name="dados_4">#REF!</definedName>
    <definedName name="DATA" localSheetId="6">#REF!</definedName>
    <definedName name="DATA" localSheetId="10">#REF!</definedName>
    <definedName name="DATA" localSheetId="7">#REF!</definedName>
    <definedName name="DATA">#REF!</definedName>
    <definedName name="DATA2" localSheetId="6">#REF!</definedName>
    <definedName name="DATA2" localSheetId="10">#REF!</definedName>
    <definedName name="DATA2" localSheetId="7">#REF!</definedName>
    <definedName name="DATA2">#REF!</definedName>
    <definedName name="DD" localSheetId="6">#REF!</definedName>
    <definedName name="DD" localSheetId="10">#REF!</definedName>
    <definedName name="DD" localSheetId="7">#REF!</definedName>
    <definedName name="DD">#REF!</definedName>
    <definedName name="ddd" hidden="1">#REF!</definedName>
    <definedName name="DEBENLP" localSheetId="6">#REF!</definedName>
    <definedName name="DEBENLP" localSheetId="10">#REF!</definedName>
    <definedName name="DEBENLP" localSheetId="7">#REF!</definedName>
    <definedName name="DEBENLP">#REF!</definedName>
    <definedName name="DEDRB" localSheetId="7">#REF!</definedName>
    <definedName name="DEDRB">#REF!</definedName>
    <definedName name="des" hidden="1">#REF!</definedName>
    <definedName name="df" hidden="1">#REF!</definedName>
    <definedName name="DIFERIDO" localSheetId="6">#REF!</definedName>
    <definedName name="DIFERIDO" localSheetId="10">#REF!</definedName>
    <definedName name="DIFERIDO" localSheetId="7">#REF!</definedName>
    <definedName name="DIFERIDO">#REF!</definedName>
    <definedName name="Difference" localSheetId="6">#REF!</definedName>
    <definedName name="Difference" localSheetId="10">#REF!</definedName>
    <definedName name="Difference" localSheetId="7">#REF!</definedName>
    <definedName name="Difference">#REF!</definedName>
    <definedName name="Disaggregations" localSheetId="6">#REF!</definedName>
    <definedName name="Disaggregations" localSheetId="10">#REF!</definedName>
    <definedName name="Disaggregations" localSheetId="7">#REF!</definedName>
    <definedName name="Disaggregations">#REF!</definedName>
    <definedName name="Dol_Anal_PL" localSheetId="6">#REF!</definedName>
    <definedName name="Dol_Anal_PL" localSheetId="10">#REF!</definedName>
    <definedName name="Dol_Anal_PL" localSheetId="7">#REF!</definedName>
    <definedName name="Dol_Anal_PL">#REF!</definedName>
    <definedName name="Dol_Anal_plen" localSheetId="6">#REF!</definedName>
    <definedName name="Dol_Anal_plen" localSheetId="10">#REF!</definedName>
    <definedName name="Dol_Anal_plen" localSheetId="7">#REF!</definedName>
    <definedName name="Dol_Anal_plen">#REF!</definedName>
    <definedName name="DOLAR">#REF!</definedName>
    <definedName name="DOLAR2">#REF!</definedName>
    <definedName name="Dolars98" localSheetId="6">#REF!</definedName>
    <definedName name="Dolars98" localSheetId="10">#REF!</definedName>
    <definedName name="Dolars98" localSheetId="7">#REF!</definedName>
    <definedName name="Dolars98">#REF!</definedName>
    <definedName name="Dolars99" localSheetId="6">#REF!</definedName>
    <definedName name="Dolars99" localSheetId="10">#REF!</definedName>
    <definedName name="Dolars99" localSheetId="7">#REF!</definedName>
    <definedName name="Dolars99">#REF!</definedName>
    <definedName name="dre" localSheetId="10">#REF!</definedName>
    <definedName name="dre" localSheetId="7">#REF!</definedName>
    <definedName name="dre">#REF!</definedName>
    <definedName name="DreC" localSheetId="10">#REF!</definedName>
    <definedName name="DreC" localSheetId="7">#REF!</definedName>
    <definedName name="DreC">#REF!</definedName>
    <definedName name="DRECV" localSheetId="10">#REF!</definedName>
    <definedName name="DRECV" localSheetId="7">#REF!</definedName>
    <definedName name="DRECV">#REF!</definedName>
    <definedName name="DREF" localSheetId="10">#REF!</definedName>
    <definedName name="DREF">#REF!</definedName>
    <definedName name="DREKWI" localSheetId="10">#REF!</definedName>
    <definedName name="DREKWI" localSheetId="7">#REF!</definedName>
    <definedName name="DREKWI">#REF!</definedName>
    <definedName name="DREN" localSheetId="10">#REF!</definedName>
    <definedName name="DREN" localSheetId="7">#REF!</definedName>
    <definedName name="DREN">#REF!</definedName>
    <definedName name="DREWIS" localSheetId="10">#REF!</definedName>
    <definedName name="DREWIS" localSheetId="7">#REF!</definedName>
    <definedName name="DREWIS">#REF!</definedName>
    <definedName name="DREWISV" localSheetId="7">#REF!</definedName>
    <definedName name="DREWISV">#REF!</definedName>
    <definedName name="DUPLS.ARECEBER" localSheetId="6">#REF!</definedName>
    <definedName name="DUPLS.ARECEBER" localSheetId="10">#REF!</definedName>
    <definedName name="DUPLS.ARECEBER" localSheetId="7">#REF!</definedName>
    <definedName name="DUPLS.ARECEBER">#REF!</definedName>
    <definedName name="EE" localSheetId="6">#REF!</definedName>
    <definedName name="EE" localSheetId="10">#REF!</definedName>
    <definedName name="EE" localSheetId="7">#REF!</definedName>
    <definedName name="EE">#REF!</definedName>
    <definedName name="ENV" localSheetId="6">#REF!</definedName>
    <definedName name="ENV" localSheetId="10">#REF!</definedName>
    <definedName name="ENV" localSheetId="7">#REF!</definedName>
    <definedName name="ENV">#REF!</definedName>
    <definedName name="ESTOQUES" localSheetId="6">#REF!</definedName>
    <definedName name="ESTOQUES" localSheetId="10">#REF!</definedName>
    <definedName name="ESTOQUES" localSheetId="7">#REF!</definedName>
    <definedName name="ESTOQUES">#REF!</definedName>
    <definedName name="Excel_BuiltIn_Criteria" localSheetId="6">#REF!</definedName>
    <definedName name="Excel_BuiltIn_Criteria" localSheetId="10">#REF!</definedName>
    <definedName name="Excel_BuiltIn_Criteria" localSheetId="7">#REF!</definedName>
    <definedName name="Excel_BuiltIn_Criteria">#REF!</definedName>
    <definedName name="Excel_BuiltIn_Database" localSheetId="7">#REF!</definedName>
    <definedName name="Excel_BuiltIn_Database">#REF!</definedName>
    <definedName name="Excel_BuiltIn_Database_4" localSheetId="6">#REF!</definedName>
    <definedName name="Excel_BuiltIn_Database_4" localSheetId="10">#REF!</definedName>
    <definedName name="Excel_BuiltIn_Database_4" localSheetId="7">#REF!</definedName>
    <definedName name="Excel_BuiltIn_Database_4">#REF!</definedName>
    <definedName name="Excel_BuiltIn_Extract" localSheetId="6">#REF!</definedName>
    <definedName name="Excel_BuiltIn_Extract" localSheetId="10">#REF!</definedName>
    <definedName name="Excel_BuiltIn_Extract" localSheetId="7">#REF!</definedName>
    <definedName name="Excel_BuiltIn_Extract">#REF!</definedName>
    <definedName name="Excel_BuiltIn_Print_Area" localSheetId="6">#REF!</definedName>
    <definedName name="Excel_BuiltIn_Print_Area" localSheetId="10">#REF!</definedName>
    <definedName name="Excel_BuiltIn_Print_Area" localSheetId="7">#REF!</definedName>
    <definedName name="Excel_BuiltIn_Print_Area">#REF!</definedName>
    <definedName name="Excel_BuiltIn_Print_Titles" localSheetId="6">#REF!</definedName>
    <definedName name="Excel_BuiltIn_Print_Titles" localSheetId="10">#REF!</definedName>
    <definedName name="Excel_BuiltIn_Print_Titles" localSheetId="7">#REF!</definedName>
    <definedName name="Excel_BuiltIn_Print_Titles">#REF!</definedName>
    <definedName name="Excel_BuiltIn_Recorder" localSheetId="6">#REF!</definedName>
    <definedName name="Excel_BuiltIn_Recorder" localSheetId="10">#REF!</definedName>
    <definedName name="Excel_BuiltIn_Recorder" localSheetId="7">#REF!</definedName>
    <definedName name="Excel_BuiltIn_Recorder">#REF!</definedName>
    <definedName name="Expected_balance" localSheetId="6">#REF!</definedName>
    <definedName name="Expected_balance" localSheetId="10">#REF!</definedName>
    <definedName name="Expected_balance" localSheetId="7">#REF!</definedName>
    <definedName name="Expected_balance">#REF!</definedName>
    <definedName name="F" localSheetId="7">#REF!</definedName>
    <definedName name="F">#REF!</definedName>
    <definedName name="F_1" localSheetId="6">#REF!</definedName>
    <definedName name="F_1" localSheetId="10">#REF!</definedName>
    <definedName name="F_1" localSheetId="7">#REF!</definedName>
    <definedName name="F_1">#REF!</definedName>
    <definedName name="F_2" localSheetId="6">#REF!</definedName>
    <definedName name="F_2" localSheetId="10">#REF!</definedName>
    <definedName name="F_2" localSheetId="7">#REF!</definedName>
    <definedName name="F_2">#REF!</definedName>
    <definedName name="F_3" localSheetId="6">#REF!</definedName>
    <definedName name="F_3" localSheetId="10">#REF!</definedName>
    <definedName name="F_3" localSheetId="7">#REF!</definedName>
    <definedName name="F_3">#REF!</definedName>
    <definedName name="FB_D_PI" localSheetId="6">#REF!</definedName>
    <definedName name="FB_D_PI" localSheetId="10">#REF!</definedName>
    <definedName name="FB_D_PI" localSheetId="7">#REF!</definedName>
    <definedName name="FB_D_PI">#REF!</definedName>
    <definedName name="FB_D_PP" localSheetId="6">#REF!</definedName>
    <definedName name="FB_D_PP" localSheetId="10">#REF!</definedName>
    <definedName name="FB_D_PP" localSheetId="7">#REF!</definedName>
    <definedName name="FB_D_PP">#REF!</definedName>
    <definedName name="FB_T_PI" localSheetId="6">#REF!</definedName>
    <definedName name="FB_T_PI" localSheetId="10">#REF!</definedName>
    <definedName name="FB_T_PI" localSheetId="7">#REF!</definedName>
    <definedName name="FB_T_PI">#REF!</definedName>
    <definedName name="FB_T_PP" localSheetId="6">#REF!</definedName>
    <definedName name="FB_T_PP" localSheetId="10">#REF!</definedName>
    <definedName name="FB_T_PP" localSheetId="7">#REF!</definedName>
    <definedName name="FB_T_PP">#REF!</definedName>
    <definedName name="FECHAMENTO" localSheetId="7">#REF!</definedName>
    <definedName name="FECHAMENTO">#REF!</definedName>
    <definedName name="fefe" localSheetId="6">#REF!</definedName>
    <definedName name="fefe" localSheetId="10">#REF!</definedName>
    <definedName name="fefe" localSheetId="7">#REF!</definedName>
    <definedName name="fefe">#REF!</definedName>
    <definedName name="ffff" hidden="1">#REF!</definedName>
    <definedName name="FINANCP" localSheetId="6">#REF!</definedName>
    <definedName name="FINANCP" localSheetId="10">#REF!</definedName>
    <definedName name="FINANCP" localSheetId="7">#REF!</definedName>
    <definedName name="FINANCP">#REF!</definedName>
    <definedName name="FINANLP" localSheetId="6">#REF!</definedName>
    <definedName name="FINANLP" localSheetId="10">#REF!</definedName>
    <definedName name="FINANLP" localSheetId="7">#REF!</definedName>
    <definedName name="FINANLP">#REF!</definedName>
    <definedName name="FN_D_PI" localSheetId="6">#REF!</definedName>
    <definedName name="FN_D_PI" localSheetId="10">#REF!</definedName>
    <definedName name="FN_D_PI" localSheetId="7">#REF!</definedName>
    <definedName name="FN_D_PI">#REF!</definedName>
    <definedName name="FN_T_PI" localSheetId="6">#REF!</definedName>
    <definedName name="FN_T_PI" localSheetId="10">#REF!</definedName>
    <definedName name="FN_T_PI" localSheetId="7">#REF!</definedName>
    <definedName name="FN_T_PI">#REF!</definedName>
    <definedName name="FOLHA" localSheetId="10">#REF!</definedName>
    <definedName name="FOLHA">#REF!</definedName>
    <definedName name="FOLHA_4" localSheetId="6">#REF!</definedName>
    <definedName name="FOLHA_4" localSheetId="10">#REF!</definedName>
    <definedName name="FOLHA_4" localSheetId="7">#REF!</definedName>
    <definedName name="FOLHA_4">#REF!</definedName>
    <definedName name="FU" localSheetId="6">#REF!</definedName>
    <definedName name="FU" localSheetId="10">#REF!</definedName>
    <definedName name="FU" localSheetId="7">#REF!</definedName>
    <definedName name="FU">#REF!</definedName>
    <definedName name="g" localSheetId="10">#REF!</definedName>
    <definedName name="g">#REF!</definedName>
    <definedName name="gf" hidden="1">#REF!</definedName>
    <definedName name="ggg" hidden="1">#REF!</definedName>
    <definedName name="GGGG" hidden="1">#REF!</definedName>
    <definedName name="GGGGGGG" hidden="1">#REF!</definedName>
    <definedName name="graf" hidden="1">#REF!</definedName>
    <definedName name="GRAF_ACUM" localSheetId="10">#REF!</definedName>
    <definedName name="GRAF_ACUM">#REF!</definedName>
    <definedName name="GRAF_MES" localSheetId="10">#REF!</definedName>
    <definedName name="GRAF_MES">#REF!</definedName>
    <definedName name="GRÁFICO" localSheetId="10">#REF!</definedName>
    <definedName name="GRÁFICO" localSheetId="7">#REF!</definedName>
    <definedName name="GRÁFICO">#REF!</definedName>
    <definedName name="GRUPO_1" localSheetId="6">#REF!</definedName>
    <definedName name="GRUPO_1" localSheetId="10">#REF!</definedName>
    <definedName name="GRUPO_1" localSheetId="7">#REF!</definedName>
    <definedName name="GRUPO_1">#REF!</definedName>
    <definedName name="GRUPO_2" localSheetId="6">#REF!</definedName>
    <definedName name="GRUPO_2" localSheetId="10">#REF!</definedName>
    <definedName name="GRUPO_2" localSheetId="7">#REF!</definedName>
    <definedName name="GRUPO_2">#REF!</definedName>
    <definedName name="GRUPO_3" localSheetId="6">#REF!</definedName>
    <definedName name="GRUPO_3" localSheetId="10">#REF!</definedName>
    <definedName name="GRUPO_3" localSheetId="7">#REF!</definedName>
    <definedName name="GRUPO_3">#REF!</definedName>
    <definedName name="GRUPO_4" localSheetId="6">#REF!</definedName>
    <definedName name="GRUPO_4" localSheetId="10">#REF!</definedName>
    <definedName name="GRUPO_4" localSheetId="7">#REF!</definedName>
    <definedName name="GRUPO_4">#REF!</definedName>
    <definedName name="GRUPO_5" localSheetId="6">#REF!</definedName>
    <definedName name="GRUPO_5" localSheetId="10">#REF!</definedName>
    <definedName name="GRUPO_5" localSheetId="7">#REF!</definedName>
    <definedName name="GRUPO_5">#REF!</definedName>
    <definedName name="GRUPO_6" localSheetId="6">#REF!</definedName>
    <definedName name="GRUPO_6" localSheetId="10">#REF!</definedName>
    <definedName name="GRUPO_6" localSheetId="7">#REF!</definedName>
    <definedName name="GRUPO_6">#REF!</definedName>
    <definedName name="GRUPO_7" localSheetId="6">#REF!</definedName>
    <definedName name="GRUPO_7" localSheetId="10">#REF!</definedName>
    <definedName name="GRUPO_7" localSheetId="7">#REF!</definedName>
    <definedName name="GRUPO_7">#REF!</definedName>
    <definedName name="GRUPO_8" localSheetId="6">#REF!</definedName>
    <definedName name="GRUPO_8" localSheetId="10">#REF!</definedName>
    <definedName name="GRUPO_8" localSheetId="7">#REF!</definedName>
    <definedName name="GRUPO_8">#REF!</definedName>
    <definedName name="gt" localSheetId="6" hidden="1">#REF!</definedName>
    <definedName name="gt" localSheetId="10" hidden="1">#REF!</definedName>
    <definedName name="gt" localSheetId="7" hidden="1">#REF!</definedName>
    <definedName name="gt" hidden="1">#REF!</definedName>
    <definedName name="gugu" hidden="1">#REF!</definedName>
    <definedName name="HH" localSheetId="6">#REF!</definedName>
    <definedName name="HH" localSheetId="10">#REF!</definedName>
    <definedName name="HH" localSheetId="7">#REF!</definedName>
    <definedName name="HH">#REF!</definedName>
    <definedName name="hsd" localSheetId="6">#REF!</definedName>
    <definedName name="hsd" localSheetId="10">#REF!</definedName>
    <definedName name="hsd" localSheetId="7">#REF!</definedName>
    <definedName name="hsd">#REF!</definedName>
    <definedName name="HTML_CodePage" hidden="1">1252</definedName>
    <definedName name="HTML_Control" localSheetId="4" hidden="1">{"'RELATÓRIO'!$A$1:$E$20","'RELATÓRIO'!$A$22:$D$34","'INTERNET'!$A$31:$G$58","'INTERNET'!$A$1:$G$28","'SÉRIE HISTÓRICA'!$A$167:$H$212","'SÉRIE HISTÓRICA'!$A$56:$H$101"}</definedName>
    <definedName name="HTML_Control" localSheetId="10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iCDI" localSheetId="6">#REF!</definedName>
    <definedName name="iCDI" localSheetId="10">#REF!</definedName>
    <definedName name="iCDI" localSheetId="7">#REF!</definedName>
    <definedName name="iCDI">#REF!</definedName>
    <definedName name="II" localSheetId="6">#REF!</definedName>
    <definedName name="II" localSheetId="10">#REF!</definedName>
    <definedName name="II" localSheetId="7">#REF!</definedName>
    <definedName name="II">#REF!</definedName>
    <definedName name="IMOBILIZA01" localSheetId="6">#REF!</definedName>
    <definedName name="IMOBILIZA01" localSheetId="10">#REF!</definedName>
    <definedName name="IMOBILIZA01" localSheetId="7">#REF!</definedName>
    <definedName name="IMOBILIZA01">#REF!</definedName>
    <definedName name="IMOBILIZA02" localSheetId="6">#REF!</definedName>
    <definedName name="IMOBILIZA02" localSheetId="10">#REF!</definedName>
    <definedName name="IMOBILIZA02" localSheetId="7">#REF!</definedName>
    <definedName name="IMOBILIZA02">#REF!</definedName>
    <definedName name="IMOBILIZADO" localSheetId="6">#REF!</definedName>
    <definedName name="IMOBILIZADO" localSheetId="10">#REF!</definedName>
    <definedName name="IMOBILIZADO" localSheetId="7">#REF!</definedName>
    <definedName name="IMOBILIZADO">#REF!</definedName>
    <definedName name="IMPATUAL" localSheetId="6">#REF!</definedName>
    <definedName name="IMPATUAL" localSheetId="10">#REF!</definedName>
    <definedName name="IMPATUAL" localSheetId="7">#REF!</definedName>
    <definedName name="IMPATUAL">#REF!</definedName>
    <definedName name="IMPCONSOLIDADO" localSheetId="10">(#REF!,#REF!,#REF!,#REF!,#REF!,#REF!)</definedName>
    <definedName name="IMPCONSOLIDADO" localSheetId="7">(#REF!,#REF!,#REF!,#REF!,#REF!,#REF!)</definedName>
    <definedName name="IMPCONSOLIDADO">(#REF!,#REF!,#REF!,#REF!,#REF!,#REF!)</definedName>
    <definedName name="IMPKWI" localSheetId="10">(#REF!,#REF!,#REF!,#REF!,#REF!,#REF!)</definedName>
    <definedName name="IMPKWI">(#REF!,#REF!,#REF!,#REF!,#REF!,#REF!)</definedName>
    <definedName name="IMPKWSA" localSheetId="10">(#REF!,#REF!,#REF!,#REF!,#REF!,#REF!)</definedName>
    <definedName name="IMPKWSA">(#REF!,#REF!,#REF!,#REF!,#REF!,#REF!)</definedName>
    <definedName name="IMPNIPPON" localSheetId="10">(#REF!,#REF!,#REF!,#REF!,#REF!,#REF!)</definedName>
    <definedName name="IMPNIPPON">(#REF!,#REF!,#REF!,#REF!,#REF!,#REF!)</definedName>
    <definedName name="INCENTIVOS" localSheetId="6">#REF!</definedName>
    <definedName name="INCENTIVOS" localSheetId="10">#REF!</definedName>
    <definedName name="INCENTIVOS" localSheetId="7">#REF!</definedName>
    <definedName name="INCENTIVOS">#REF!</definedName>
    <definedName name="initialdate" localSheetId="10">#REF!</definedName>
    <definedName name="initialdate">#REF!</definedName>
    <definedName name="interm_level">#REF!</definedName>
    <definedName name="INVESCOLIG" localSheetId="6">#REF!</definedName>
    <definedName name="INVESCOLIG" localSheetId="10">#REF!</definedName>
    <definedName name="INVESCOLIG" localSheetId="7">#REF!</definedName>
    <definedName name="INVESCOLIG">#REF!</definedName>
    <definedName name="INVESTIOUTROS" localSheetId="6">#REF!</definedName>
    <definedName name="INVESTIOUTROS" localSheetId="10">#REF!</definedName>
    <definedName name="INVESTIOUTROS" localSheetId="7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SP_Profit_and_Loss" localSheetId="6">#REF!</definedName>
    <definedName name="ISP_Profit_and_Loss" localSheetId="10">#REF!</definedName>
    <definedName name="ISP_Profit_and_Loss" localSheetId="7">#REF!</definedName>
    <definedName name="ISP_Profit_and_Loss">#REF!</definedName>
    <definedName name="JUDICIAIS" localSheetId="6">#REF!</definedName>
    <definedName name="JUDICIAIS" localSheetId="10">#REF!</definedName>
    <definedName name="JUDICIAIS" localSheetId="7">#REF!</definedName>
    <definedName name="JUDICIAIS">#REF!</definedName>
    <definedName name="JULHO" localSheetId="6">#REF!</definedName>
    <definedName name="JULHO" localSheetId="10">#REF!</definedName>
    <definedName name="JULHO" localSheetId="7">#REF!</definedName>
    <definedName name="JULHO">#REF!</definedName>
    <definedName name="K" localSheetId="4">{#N/A,#N/A,TRUE,"imasa"}</definedName>
    <definedName name="K" localSheetId="10">{#N/A,#N/A,TRUE,"imasa"}</definedName>
    <definedName name="K">{#N/A,#N/A,TRUE,"imasa"}</definedName>
    <definedName name="KWSA" localSheetId="10">(#REF!,#REF!,#REF!,#REF!,#REF!,#REF!)</definedName>
    <definedName name="KWSA">(#REF!,#REF!,#REF!,#REF!,#REF!,#REF!)</definedName>
    <definedName name="L." localSheetId="6">#REF!</definedName>
    <definedName name="L." localSheetId="10">#REF!</definedName>
    <definedName name="L." localSheetId="7">#REF!</definedName>
    <definedName name="L.">#REF!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STRO" localSheetId="10">#REF!</definedName>
    <definedName name="LASTRO">#REF!</definedName>
    <definedName name="Libor" localSheetId="10">#REF!</definedName>
    <definedName name="Libor" localSheetId="7">#REF!</definedName>
    <definedName name="Libor">#REF!</definedName>
    <definedName name="LKLLLLL" hidden="1">#REF!</definedName>
    <definedName name="LL" localSheetId="6">#REF!</definedName>
    <definedName name="LL" localSheetId="10">#REF!</definedName>
    <definedName name="LL" localSheetId="7">#REF!</definedName>
    <definedName name="LL">#REF!</definedName>
    <definedName name="LO_D_PI" localSheetId="6">#REF!</definedName>
    <definedName name="LO_D_PI" localSheetId="10">#REF!</definedName>
    <definedName name="LO_D_PI" localSheetId="7">#REF!</definedName>
    <definedName name="LO_D_PI">#REF!</definedName>
    <definedName name="LO_T_PI" localSheetId="6">#REF!</definedName>
    <definedName name="LO_T_PI" localSheetId="10">#REF!</definedName>
    <definedName name="LO_T_PI" localSheetId="7">#REF!</definedName>
    <definedName name="LO_T_PI">#REF!</definedName>
    <definedName name="Luiz" localSheetId="6">#REF!</definedName>
    <definedName name="Luiz" localSheetId="10">#REF!</definedName>
    <definedName name="Luiz" localSheetId="7">#REF!</definedName>
    <definedName name="Luiz">#REF!</definedName>
    <definedName name="Macro2" localSheetId="6">#REF!</definedName>
    <definedName name="Macro2" localSheetId="10">#REF!</definedName>
    <definedName name="Macro2" localSheetId="7">#REF!</definedName>
    <definedName name="Macro2">#REF!</definedName>
    <definedName name="MaTRIZ" localSheetId="10">#REF!</definedName>
    <definedName name="MaTRIZ">#REF!</definedName>
    <definedName name="MENU" localSheetId="6">#REF!</definedName>
    <definedName name="MENU" localSheetId="10">#REF!</definedName>
    <definedName name="MENU" localSheetId="7">#REF!</definedName>
    <definedName name="MENU">#REF!</definedName>
    <definedName name="MESANT" localSheetId="6">#REF!</definedName>
    <definedName name="MESANT" localSheetId="10">#REF!</definedName>
    <definedName name="MESANT" localSheetId="7">#REF!</definedName>
    <definedName name="MESANT">#REF!</definedName>
    <definedName name="MESANTPROX" localSheetId="10">#REF!</definedName>
    <definedName name="MESANTPROX">#REF!</definedName>
    <definedName name="MÊSES" localSheetId="6">#REF!</definedName>
    <definedName name="MÊSES" localSheetId="10">#REF!</definedName>
    <definedName name="MÊSES" localSheetId="7">#REF!</definedName>
    <definedName name="MÊSES">#REF!</definedName>
    <definedName name="MESREF">#REF!</definedName>
    <definedName name="MM" localSheetId="6">#REF!</definedName>
    <definedName name="MM" localSheetId="10">#REF!</definedName>
    <definedName name="MM" localSheetId="7">#REF!</definedName>
    <definedName name="MM">#REF!</definedName>
    <definedName name="MM_1" localSheetId="6">#REF!</definedName>
    <definedName name="MM_1" localSheetId="10">#REF!</definedName>
    <definedName name="MM_1" localSheetId="7">#REF!</definedName>
    <definedName name="MM_1">#REF!</definedName>
    <definedName name="Monetary_Precision" localSheetId="6">#REF!</definedName>
    <definedName name="Monetary_Precision" localSheetId="10">#REF!</definedName>
    <definedName name="Monetary_Precision" localSheetId="7">#REF!</definedName>
    <definedName name="Monetary_Precision">#REF!</definedName>
    <definedName name="MU_D_PI" localSheetId="6">#REF!</definedName>
    <definedName name="MU_D_PI" localSheetId="10">#REF!</definedName>
    <definedName name="MU_D_PI" localSheetId="7">#REF!</definedName>
    <definedName name="MU_D_PI">#REF!</definedName>
    <definedName name="MU_D_PP" localSheetId="6">#REF!</definedName>
    <definedName name="MU_D_PP" localSheetId="10">#REF!</definedName>
    <definedName name="MU_D_PP" localSheetId="7">#REF!</definedName>
    <definedName name="MU_D_PP">#REF!</definedName>
    <definedName name="MU_T_PI" localSheetId="6">#REF!</definedName>
    <definedName name="MU_T_PI" localSheetId="10">#REF!</definedName>
    <definedName name="MU_T_PI" localSheetId="7">#REF!</definedName>
    <definedName name="MU_T_PI">#REF!</definedName>
    <definedName name="MU_T_PP" localSheetId="6">#REF!</definedName>
    <definedName name="MU_T_PP" localSheetId="10">#REF!</definedName>
    <definedName name="MU_T_PP" localSheetId="7">#REF!</definedName>
    <definedName name="MU_T_PP">#REF!</definedName>
    <definedName name="n" localSheetId="10">#REF!</definedName>
    <definedName name="n">#REF!</definedName>
    <definedName name="NN" localSheetId="6">#REF!</definedName>
    <definedName name="NN" localSheetId="10">#REF!</definedName>
    <definedName name="NN" localSheetId="7">#REF!</definedName>
    <definedName name="NN">#REF!</definedName>
    <definedName name="ntjty" hidden="1">#REF!</definedName>
    <definedName name="OPTICAL_EQUIPMENTS" localSheetId="10">#REF!</definedName>
    <definedName name="OPTICAL_EQUIPMENTS">#REF!</definedName>
    <definedName name="OUCTASLP" localSheetId="6">#REF!</definedName>
    <definedName name="OUCTASLP" localSheetId="10">#REF!</definedName>
    <definedName name="OUCTASLP" localSheetId="7">#REF!</definedName>
    <definedName name="OUCTASLP">#REF!</definedName>
    <definedName name="OUT_INFORM" localSheetId="6">#REF!</definedName>
    <definedName name="OUT_INFORM" localSheetId="10">#REF!</definedName>
    <definedName name="OUT_INFORM" localSheetId="7">#REF!</definedName>
    <definedName name="OUT_INFORM">#REF!</definedName>
    <definedName name="OUTRASRECEBER" localSheetId="6">#REF!</definedName>
    <definedName name="OUTRASRECEBER" localSheetId="10">#REF!</definedName>
    <definedName name="OUTRASRECEBER" localSheetId="7">#REF!</definedName>
    <definedName name="OUTRASRECEBER">#REF!</definedName>
    <definedName name="OUTROS2" localSheetId="6">#REF!</definedName>
    <definedName name="OUTROS2" localSheetId="10">#REF!</definedName>
    <definedName name="OUTROS2" localSheetId="7">#REF!</definedName>
    <definedName name="OUTROS2">#REF!</definedName>
    <definedName name="OUTROS3" localSheetId="6">#REF!</definedName>
    <definedName name="OUTROS3" localSheetId="10">#REF!</definedName>
    <definedName name="OUTROS3" localSheetId="7">#REF!</definedName>
    <definedName name="OUTROS3">#REF!</definedName>
    <definedName name="OUTROS4" localSheetId="6">#REF!</definedName>
    <definedName name="OUTROS4" localSheetId="10">#REF!</definedName>
    <definedName name="OUTROS4" localSheetId="7">#REF!</definedName>
    <definedName name="OUTROS4">#REF!</definedName>
    <definedName name="OUTROSCRED" localSheetId="6">#REF!</definedName>
    <definedName name="OUTROSCRED" localSheetId="10">#REF!</definedName>
    <definedName name="OUTROSCRED" localSheetId="7">#REF!</definedName>
    <definedName name="OUTROSCRED">#REF!</definedName>
    <definedName name="OUTROSIMOBIL" localSheetId="6">#REF!</definedName>
    <definedName name="OUTROSIMOBIL" localSheetId="10">#REF!</definedName>
    <definedName name="OUTROSIMOBIL" localSheetId="7">#REF!</definedName>
    <definedName name="OUTROSIMOBIL">#REF!</definedName>
    <definedName name="OUTROSLP" localSheetId="6">#REF!</definedName>
    <definedName name="OUTROSLP" localSheetId="10">#REF!</definedName>
    <definedName name="OUTROSLP" localSheetId="7">#REF!</definedName>
    <definedName name="OUTROSLP">#REF!</definedName>
    <definedName name="P" localSheetId="7">#REF!</definedName>
    <definedName name="P">#REF!</definedName>
    <definedName name="PA" localSheetId="7">#REF!</definedName>
    <definedName name="PA">#REF!</definedName>
    <definedName name="PAGE1" localSheetId="6">#REF!</definedName>
    <definedName name="PAGE1" localSheetId="10">#REF!</definedName>
    <definedName name="PAGE1" localSheetId="7">#REF!</definedName>
    <definedName name="PAGE1">#REF!</definedName>
    <definedName name="PageMaker" localSheetId="6">#REF!</definedName>
    <definedName name="PageMaker" localSheetId="10">#REF!</definedName>
    <definedName name="PageMaker" localSheetId="7">#REF!</definedName>
    <definedName name="PageMaker">#REF!</definedName>
    <definedName name="passivo" localSheetId="7">#REF!</definedName>
    <definedName name="passivo">#REF!</definedName>
    <definedName name="PASSIVO_4" localSheetId="6">#REF!</definedName>
    <definedName name="PASSIVO_4" localSheetId="10">#REF!</definedName>
    <definedName name="PASSIVO_4" localSheetId="7">#REF!</definedName>
    <definedName name="PASSIVO_4">#REF!</definedName>
    <definedName name="PASSIVO1" localSheetId="7">#REF!</definedName>
    <definedName name="PASSIVO1">#REF!</definedName>
    <definedName name="PASSIVO1C" localSheetId="7">#REF!</definedName>
    <definedName name="PASSIVO1C">#REF!</definedName>
    <definedName name="PASSIVO1N" localSheetId="7">#REF!</definedName>
    <definedName name="PASSIVO1N">#REF!</definedName>
    <definedName name="PASSIVO1V" localSheetId="7">#REF!</definedName>
    <definedName name="PASSIVO1V">#REF!</definedName>
    <definedName name="PASSIVO2" localSheetId="7">#REF!</definedName>
    <definedName name="PASSIVO2">#REF!</definedName>
    <definedName name="PASSIVO2C" localSheetId="7">#REF!</definedName>
    <definedName name="PASSIVO2C">#REF!</definedName>
    <definedName name="PASSIVO2N" localSheetId="7">#REF!</definedName>
    <definedName name="PASSIVO2N">#REF!</definedName>
    <definedName name="PASSIVO2V" localSheetId="7">#REF!</definedName>
    <definedName name="PASSIVO2V">#REF!</definedName>
    <definedName name="PassivoC" localSheetId="7">#REF!</definedName>
    <definedName name="PassivoC">#REF!</definedName>
    <definedName name="PASSIVOKWI" localSheetId="7">#REF!</definedName>
    <definedName name="PASSIVOKWI">#REF!</definedName>
    <definedName name="pasta" localSheetId="6">#REF!</definedName>
    <definedName name="pasta" localSheetId="10">#REF!</definedName>
    <definedName name="pasta" localSheetId="7">#REF!</definedName>
    <definedName name="pasta">#REF!</definedName>
    <definedName name="PD" hidden="1">#REF!</definedName>
    <definedName name="PI_PF" localSheetId="6">#REF!</definedName>
    <definedName name="PI_PF" localSheetId="10">#REF!</definedName>
    <definedName name="PI_PF" localSheetId="7">#REF!</definedName>
    <definedName name="PI_PF">#REF!</definedName>
    <definedName name="PI_PP" localSheetId="6">#REF!</definedName>
    <definedName name="PI_PP" localSheetId="10">#REF!</definedName>
    <definedName name="PI_PP" localSheetId="7">#REF!</definedName>
    <definedName name="PI_PP">#REF!</definedName>
    <definedName name="PP" localSheetId="7">#REF!</definedName>
    <definedName name="PP">#REF!</definedName>
    <definedName name="PP_PF" localSheetId="6">#REF!</definedName>
    <definedName name="PP_PF" localSheetId="10">#REF!</definedName>
    <definedName name="PP_PF" localSheetId="7">#REF!</definedName>
    <definedName name="PP_PF">#REF!</definedName>
    <definedName name="PRINT_AR01" localSheetId="6">#REF!</definedName>
    <definedName name="PRINT_AR01" localSheetId="10">#REF!</definedName>
    <definedName name="PRINT_AR01" localSheetId="7">#REF!</definedName>
    <definedName name="PRINT_AR01">#REF!</definedName>
    <definedName name="PRINT_AR03" localSheetId="6">#REF!</definedName>
    <definedName name="PRINT_AR03" localSheetId="10">#REF!</definedName>
    <definedName name="PRINT_AR03" localSheetId="7">#REF!</definedName>
    <definedName name="PRINT_AR03">#REF!</definedName>
    <definedName name="PRINT_AR04" localSheetId="6">#REF!</definedName>
    <definedName name="PRINT_AR04" localSheetId="10">#REF!</definedName>
    <definedName name="PRINT_AR04" localSheetId="7">#REF!</definedName>
    <definedName name="PRINT_AR04">#REF!</definedName>
    <definedName name="PRINT_AR05" localSheetId="6">#REF!</definedName>
    <definedName name="PRINT_AR05" localSheetId="10">#REF!</definedName>
    <definedName name="PRINT_AR05" localSheetId="7">#REF!</definedName>
    <definedName name="PRINT_AR05">#REF!</definedName>
    <definedName name="PRINT_AR06" localSheetId="6">#REF!</definedName>
    <definedName name="PRINT_AR06" localSheetId="10">#REF!</definedName>
    <definedName name="PRINT_AR06" localSheetId="7">#REF!</definedName>
    <definedName name="PRINT_AR06">#REF!</definedName>
    <definedName name="PRINT_AR07" localSheetId="6">#REF!</definedName>
    <definedName name="PRINT_AR07" localSheetId="10">#REF!</definedName>
    <definedName name="PRINT_AR07" localSheetId="7">#REF!</definedName>
    <definedName name="PRINT_AR07">#REF!</definedName>
    <definedName name="PRINT_AR08" localSheetId="6">#REF!</definedName>
    <definedName name="PRINT_AR08" localSheetId="10">#REF!</definedName>
    <definedName name="PRINT_AR08" localSheetId="7">#REF!</definedName>
    <definedName name="PRINT_AR08">#REF!</definedName>
    <definedName name="PRINT_AR09" localSheetId="6">#REF!</definedName>
    <definedName name="PRINT_AR09" localSheetId="10">#REF!</definedName>
    <definedName name="PRINT_AR09" localSheetId="7">#REF!</definedName>
    <definedName name="PRINT_AR09">#REF!</definedName>
    <definedName name="PRINT_AR10" localSheetId="6">#REF!</definedName>
    <definedName name="PRINT_AR10" localSheetId="10">#REF!</definedName>
    <definedName name="PRINT_AR10" localSheetId="7">#REF!</definedName>
    <definedName name="PRINT_AR10">#REF!</definedName>
    <definedName name="PRINT_AR11" localSheetId="6">#REF!</definedName>
    <definedName name="PRINT_AR11" localSheetId="10">#REF!</definedName>
    <definedName name="PRINT_AR11" localSheetId="7">#REF!</definedName>
    <definedName name="PRINT_AR11">#REF!</definedName>
    <definedName name="PRINT_AR14" localSheetId="6">#REF!</definedName>
    <definedName name="PRINT_AR14" localSheetId="10">#REF!</definedName>
    <definedName name="PRINT_AR14" localSheetId="7">#REF!</definedName>
    <definedName name="PRINT_AR14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PRINT_TITL01" localSheetId="6">#REF!</definedName>
    <definedName name="PRINT_TITL01" localSheetId="10">#REF!</definedName>
    <definedName name="PRINT_TITL01" localSheetId="7">#REF!</definedName>
    <definedName name="PRINT_TITL01">#REF!</definedName>
    <definedName name="Profit_and_Loss" localSheetId="6">#REF!</definedName>
    <definedName name="Profit_and_Loss" localSheetId="10">#REF!</definedName>
    <definedName name="Profit_and_Loss" localSheetId="7">#REF!</definedName>
    <definedName name="Profit_and_Loss">#REF!</definedName>
    <definedName name="proll" localSheetId="6">#REF!</definedName>
    <definedName name="proll" localSheetId="10">#REF!</definedName>
    <definedName name="proll" localSheetId="7">#REF!</definedName>
    <definedName name="proll">#REF!</definedName>
    <definedName name="PTS" localSheetId="6">#REF!</definedName>
    <definedName name="PTS" localSheetId="10">#REF!</definedName>
    <definedName name="PTS" localSheetId="7">#REF!</definedName>
    <definedName name="PTS">#REF!</definedName>
    <definedName name="QL" localSheetId="10">#REF!</definedName>
    <definedName name="QL">#REF!</definedName>
    <definedName name="QUAD_02_01" localSheetId="10">#REF!</definedName>
    <definedName name="QUAD_02_01">#REF!</definedName>
    <definedName name="R_Factor" localSheetId="6">#REF!</definedName>
    <definedName name="R_Factor" localSheetId="10">#REF!</definedName>
    <definedName name="R_Factor" localSheetId="7">#REF!</definedName>
    <definedName name="R_Factor">#REF!</definedName>
    <definedName name="Reais98" localSheetId="6">#REF!</definedName>
    <definedName name="Reais98" localSheetId="10">#REF!</definedName>
    <definedName name="Reais98" localSheetId="7">#REF!</definedName>
    <definedName name="Reais98">#REF!</definedName>
    <definedName name="Reais99" localSheetId="6">#REF!</definedName>
    <definedName name="Reais99" localSheetId="10">#REF!</definedName>
    <definedName name="Reais99" localSheetId="7">#REF!</definedName>
    <definedName name="Reais99">#REF!</definedName>
    <definedName name="RECUPERAR" localSheetId="6">#REF!</definedName>
    <definedName name="RECUPERAR" localSheetId="10">#REF!</definedName>
    <definedName name="RECUPERAR" localSheetId="7">#REF!</definedName>
    <definedName name="RECUPERAR">#REF!</definedName>
    <definedName name="REF" localSheetId="6">#REF!</definedName>
    <definedName name="REF" localSheetId="10">#REF!</definedName>
    <definedName name="REF" localSheetId="7">#REF!</definedName>
    <definedName name="REF">#REF!</definedName>
    <definedName name="Residual_difference" localSheetId="6">#REF!</definedName>
    <definedName name="Residual_difference" localSheetId="10">#REF!</definedName>
    <definedName name="Residual_difference" localSheetId="7">#REF!</definedName>
    <definedName name="Residual_difference">#REF!</definedName>
    <definedName name="RESU" localSheetId="6">#REF!</definedName>
    <definedName name="RESU" localSheetId="10">#REF!</definedName>
    <definedName name="RESU" localSheetId="7">#REF!</definedName>
    <definedName name="RESU">#REF!</definedName>
    <definedName name="RESULTADO" localSheetId="6">#REF!</definedName>
    <definedName name="RESULTADO" localSheetId="10">#REF!</definedName>
    <definedName name="RESULTADO" localSheetId="7">#REF!</definedName>
    <definedName name="RESULTADO">#REF!</definedName>
    <definedName name="RESULTADO1" localSheetId="6">#REF!</definedName>
    <definedName name="RESULTADO1" localSheetId="10">#REF!</definedName>
    <definedName name="RESULTADO1" localSheetId="7">#REF!</definedName>
    <definedName name="RESULTADO1">#REF!</definedName>
    <definedName name="RESULTADO5" localSheetId="6">#REF!</definedName>
    <definedName name="RESULTADO5" localSheetId="10">#REF!</definedName>
    <definedName name="RESULTADO5" localSheetId="7">#REF!</definedName>
    <definedName name="RESULTADO5">#REF!</definedName>
    <definedName name="RESUMO" localSheetId="6">#REF!</definedName>
    <definedName name="RESUMO" localSheetId="10">#REF!</definedName>
    <definedName name="RESUMO" localSheetId="7">#REF!</definedName>
    <definedName name="RESUMO">#REF!</definedName>
    <definedName name="rf" localSheetId="6" hidden="1">#REF!</definedName>
    <definedName name="rf" localSheetId="10" hidden="1">#REF!</definedName>
    <definedName name="rf" localSheetId="7" hidden="1">#REF!</definedName>
    <definedName name="rf" hidden="1">#REF!</definedName>
    <definedName name="s" localSheetId="4">{#N/A,#N/A,TRUE,"imasa"}</definedName>
    <definedName name="s" localSheetId="10">{#N/A,#N/A,TRUE,"imasa"}</definedName>
    <definedName name="s">{#N/A,#N/A,TRUE,"imasa"}</definedName>
    <definedName name="S_Adjust" localSheetId="6">#REF!</definedName>
    <definedName name="S_Adjust" localSheetId="10">#REF!</definedName>
    <definedName name="S_Adjust" localSheetId="7">#REF!</definedName>
    <definedName name="S_Adjust">#REF!</definedName>
    <definedName name="S_Adjust_Data" localSheetId="6">#REF!</definedName>
    <definedName name="S_Adjust_Data" localSheetId="10">#REF!</definedName>
    <definedName name="S_Adjust_Data" localSheetId="7">#REF!</definedName>
    <definedName name="S_Adjust_Data">#REF!</definedName>
    <definedName name="S_Adjust_GT" localSheetId="6">#REF!</definedName>
    <definedName name="S_Adjust_GT" localSheetId="10">#REF!</definedName>
    <definedName name="S_Adjust_GT" localSheetId="7">#REF!</definedName>
    <definedName name="S_Adjust_GT">#REF!</definedName>
    <definedName name="S_AJE_Tot" localSheetId="6">#REF!</definedName>
    <definedName name="S_AJE_Tot" localSheetId="10">#REF!</definedName>
    <definedName name="S_AJE_Tot" localSheetId="7">#REF!</definedName>
    <definedName name="S_AJE_Tot">#REF!</definedName>
    <definedName name="S_AJE_Tot_Data" localSheetId="6">#REF!</definedName>
    <definedName name="S_AJE_Tot_Data" localSheetId="10">#REF!</definedName>
    <definedName name="S_AJE_Tot_Data" localSheetId="7">#REF!</definedName>
    <definedName name="S_AJE_Tot_Data">#REF!</definedName>
    <definedName name="S_AJE_Tot_GT" localSheetId="6">#REF!</definedName>
    <definedName name="S_AJE_Tot_GT" localSheetId="10">#REF!</definedName>
    <definedName name="S_AJE_Tot_GT" localSheetId="7">#REF!</definedName>
    <definedName name="S_AJE_Tot_GT">#REF!</definedName>
    <definedName name="S_CompNum" localSheetId="6">#REF!</definedName>
    <definedName name="S_CompNum" localSheetId="10">#REF!</definedName>
    <definedName name="S_CompNum" localSheetId="7">#REF!</definedName>
    <definedName name="S_CompNum">#REF!</definedName>
    <definedName name="S_CY_Beg" localSheetId="6">#REF!</definedName>
    <definedName name="S_CY_Beg" localSheetId="10">#REF!</definedName>
    <definedName name="S_CY_Beg" localSheetId="7">#REF!</definedName>
    <definedName name="S_CY_Beg">#REF!</definedName>
    <definedName name="S_CY_Beg_Data" localSheetId="6">#REF!</definedName>
    <definedName name="S_CY_Beg_Data" localSheetId="10">#REF!</definedName>
    <definedName name="S_CY_Beg_Data" localSheetId="7">#REF!</definedName>
    <definedName name="S_CY_Beg_Data">#REF!</definedName>
    <definedName name="S_CY_Beg_GT" localSheetId="6">#REF!</definedName>
    <definedName name="S_CY_Beg_GT" localSheetId="10">#REF!</definedName>
    <definedName name="S_CY_Beg_GT" localSheetId="7">#REF!</definedName>
    <definedName name="S_CY_Beg_GT">#REF!</definedName>
    <definedName name="S_CY_End" localSheetId="6">#REF!</definedName>
    <definedName name="S_CY_End" localSheetId="10">#REF!</definedName>
    <definedName name="S_CY_End" localSheetId="7">#REF!</definedName>
    <definedName name="S_CY_End">#REF!</definedName>
    <definedName name="S_CY_End_Data" localSheetId="6">#REF!</definedName>
    <definedName name="S_CY_End_Data" localSheetId="10">#REF!</definedName>
    <definedName name="S_CY_End_Data" localSheetId="7">#REF!</definedName>
    <definedName name="S_CY_End_Data">#REF!</definedName>
    <definedName name="S_CY_End_GT">#REF!</definedName>
    <definedName name="S_Diff_Amt" localSheetId="6">#REF!</definedName>
    <definedName name="S_Diff_Amt" localSheetId="10">#REF!</definedName>
    <definedName name="S_Diff_Amt" localSheetId="7">#REF!</definedName>
    <definedName name="S_Diff_Amt">#REF!</definedName>
    <definedName name="S_Diff_Pct" localSheetId="6">#REF!</definedName>
    <definedName name="S_Diff_Pct" localSheetId="10">#REF!</definedName>
    <definedName name="S_Diff_Pct" localSheetId="7">#REF!</definedName>
    <definedName name="S_Diff_Pct">#REF!</definedName>
    <definedName name="S_GrpNum" localSheetId="6">#REF!</definedName>
    <definedName name="S_GrpNum" localSheetId="10">#REF!</definedName>
    <definedName name="S_GrpNum" localSheetId="7">#REF!</definedName>
    <definedName name="S_GrpNum">#REF!</definedName>
    <definedName name="S_KeyValue" localSheetId="6">#REF!</definedName>
    <definedName name="S_KeyValue" localSheetId="10">#REF!</definedName>
    <definedName name="S_KeyValue" localSheetId="7">#REF!</definedName>
    <definedName name="S_KeyValue">#REF!</definedName>
    <definedName name="S_PY_End" localSheetId="6">#REF!</definedName>
    <definedName name="S_PY_End" localSheetId="10">#REF!</definedName>
    <definedName name="S_PY_End" localSheetId="7">#REF!</definedName>
    <definedName name="S_PY_End">#REF!</definedName>
    <definedName name="S_PY_End_Data" localSheetId="6">#REF!</definedName>
    <definedName name="S_PY_End_Data" localSheetId="10">#REF!</definedName>
    <definedName name="S_PY_End_Data" localSheetId="7">#REF!</definedName>
    <definedName name="S_PY_End_Data">#REF!</definedName>
    <definedName name="S_PY_End_GT">#REF!</definedName>
    <definedName name="S_RJE_Tot" localSheetId="6">#REF!</definedName>
    <definedName name="S_RJE_Tot" localSheetId="10">#REF!</definedName>
    <definedName name="S_RJE_Tot" localSheetId="7">#REF!</definedName>
    <definedName name="S_RJE_Tot">#REF!</definedName>
    <definedName name="S_RJE_Tot_Data" localSheetId="6">#REF!</definedName>
    <definedName name="S_RJE_Tot_Data" localSheetId="10">#REF!</definedName>
    <definedName name="S_RJE_Tot_Data" localSheetId="7">#REF!</definedName>
    <definedName name="S_RJE_Tot_Data">#REF!</definedName>
    <definedName name="S_RJE_Tot_GT" localSheetId="6">#REF!</definedName>
    <definedName name="S_RJE_Tot_GT" localSheetId="10">#REF!</definedName>
    <definedName name="S_RJE_Tot_GT" localSheetId="7">#REF!</definedName>
    <definedName name="S_RJE_Tot_GT">#REF!</definedName>
    <definedName name="SA" localSheetId="4" hidden="1">{#N/A,#N/A,TRUE,"imasa"}</definedName>
    <definedName name="SA" localSheetId="10" hidden="1">{#N/A,#N/A,TRUE,"imasa"}</definedName>
    <definedName name="SA" hidden="1">{#N/A,#N/A,TRUE,"imasa"}</definedName>
    <definedName name="SEM_001" localSheetId="10">#REF!</definedName>
    <definedName name="SEM_001" localSheetId="7">#REF!</definedName>
    <definedName name="SEM_001">#REF!</definedName>
    <definedName name="SERVIÇOS" localSheetId="6">#REF!</definedName>
    <definedName name="SERVIÇOS" localSheetId="10">#REF!</definedName>
    <definedName name="SERVIÇOS" localSheetId="7">#REF!</definedName>
    <definedName name="SERVIÇOS">#REF!</definedName>
    <definedName name="SETEMBRO" localSheetId="6">#REF!</definedName>
    <definedName name="SETEMBRO" localSheetId="10">#REF!</definedName>
    <definedName name="SETEMBRO" localSheetId="7">#REF!</definedName>
    <definedName name="SETEMBRO">#REF!</definedName>
    <definedName name="SetTopCost" localSheetId="10">#REF!</definedName>
    <definedName name="SetTopCost">#REF!</definedName>
    <definedName name="SS" localSheetId="6">#REF!</definedName>
    <definedName name="SS" localSheetId="10">#REF!</definedName>
    <definedName name="SS" localSheetId="7">#REF!</definedName>
    <definedName name="SS">#REF!</definedName>
    <definedName name="SU_D_PI" localSheetId="6">#REF!</definedName>
    <definedName name="SU_D_PI" localSheetId="10">#REF!</definedName>
    <definedName name="SU_D_PI" localSheetId="7">#REF!</definedName>
    <definedName name="SU_D_PI">#REF!</definedName>
    <definedName name="SU_T_PI" localSheetId="6">#REF!</definedName>
    <definedName name="SU_T_PI" localSheetId="10">#REF!</definedName>
    <definedName name="SU_T_PI" localSheetId="7">#REF!</definedName>
    <definedName name="SU_T_PI">#REF!</definedName>
    <definedName name="TABELA" localSheetId="6">#REF!</definedName>
    <definedName name="TABELA" localSheetId="10">#REF!</definedName>
    <definedName name="TABELA" localSheetId="7">#REF!</definedName>
    <definedName name="TABELA">#REF!</definedName>
    <definedName name="TABELA_DO_VALOR_EQUIVALENTE_EM_UFIR__em_moeda_da_época_." localSheetId="6">#REF!</definedName>
    <definedName name="TABELA_DO_VALOR_EQUIVALENTE_EM_UFIR__em_moeda_da_época_." localSheetId="10">#REF!</definedName>
    <definedName name="TABELA_DO_VALOR_EQUIVALENTE_EM_UFIR__em_moeda_da_época_." localSheetId="7">#REF!</definedName>
    <definedName name="TABELA_DO_VALOR_EQUIVALENTE_EM_UFIR__em_moeda_da_época_.">#REF!</definedName>
    <definedName name="Tabela_Oficial" localSheetId="6">#REF!</definedName>
    <definedName name="Tabela_Oficial" localSheetId="10">#REF!</definedName>
    <definedName name="Tabela_Oficial" localSheetId="7">#REF!</definedName>
    <definedName name="Tabela_Oficial">#REF!</definedName>
    <definedName name="TABELA1" localSheetId="6">#REF!</definedName>
    <definedName name="TABELA1" localSheetId="10">#REF!</definedName>
    <definedName name="TABELA1" localSheetId="7">#REF!</definedName>
    <definedName name="TABELA1">#REF!</definedName>
    <definedName name="Tabela2" localSheetId="6">#REF!</definedName>
    <definedName name="Tabela2" localSheetId="10">#REF!</definedName>
    <definedName name="Tabela2" localSheetId="7">#REF!</definedName>
    <definedName name="Tabela2">#REF!</definedName>
    <definedName name="TAXAS" localSheetId="6">#REF!</definedName>
    <definedName name="TAXAS" localSheetId="10">#REF!</definedName>
    <definedName name="TAXAS" localSheetId="7">#REF!</definedName>
    <definedName name="TAXAS">#REF!</definedName>
    <definedName name="TBF" localSheetId="7">#REF!</definedName>
    <definedName name="TBF">#REF!</definedName>
    <definedName name="teste" localSheetId="6" hidden="1">#REF!</definedName>
    <definedName name="teste" localSheetId="10" hidden="1">#REF!</definedName>
    <definedName name="teste" localSheetId="7" hidden="1">#REF!</definedName>
    <definedName name="teste" hidden="1">#REF!</definedName>
    <definedName name="TextRefCopy1" localSheetId="6">#REF!</definedName>
    <definedName name="TextRefCopy1" localSheetId="10">#REF!</definedName>
    <definedName name="TextRefCopy1" localSheetId="7">#REF!</definedName>
    <definedName name="TextRefCopy1">#REF!</definedName>
    <definedName name="TextRefCopy10" localSheetId="6">#REF!</definedName>
    <definedName name="TextRefCopy10" localSheetId="10">#REF!</definedName>
    <definedName name="TextRefCopy10" localSheetId="7">#REF!</definedName>
    <definedName name="TextRefCopy10">#REF!</definedName>
    <definedName name="TextRefCopy11" localSheetId="6">#REF!</definedName>
    <definedName name="TextRefCopy11" localSheetId="10">#REF!</definedName>
    <definedName name="TextRefCopy11" localSheetId="7">#REF!</definedName>
    <definedName name="TextRefCopy11">#REF!</definedName>
    <definedName name="TextRefCopy12" localSheetId="6">#REF!</definedName>
    <definedName name="TextRefCopy12" localSheetId="10">#REF!</definedName>
    <definedName name="TextRefCopy12" localSheetId="7">#REF!</definedName>
    <definedName name="TextRefCopy12">#REF!</definedName>
    <definedName name="TextRefCopy13" localSheetId="6">#REF!</definedName>
    <definedName name="TextRefCopy13" localSheetId="10">#REF!</definedName>
    <definedName name="TextRefCopy13" localSheetId="7">#REF!</definedName>
    <definedName name="TextRefCopy13">#REF!</definedName>
    <definedName name="TextRefCopy14" localSheetId="6">#REF!</definedName>
    <definedName name="TextRefCopy14" localSheetId="10">#REF!</definedName>
    <definedName name="TextRefCopy14" localSheetId="7">#REF!</definedName>
    <definedName name="TextRefCopy14">#REF!</definedName>
    <definedName name="TextRefCopy15" localSheetId="6">#REF!</definedName>
    <definedName name="TextRefCopy15" localSheetId="10">#REF!</definedName>
    <definedName name="TextRefCopy15" localSheetId="7">#REF!</definedName>
    <definedName name="TextRefCopy15">#REF!</definedName>
    <definedName name="TextRefCopy16" localSheetId="6">#REF!</definedName>
    <definedName name="TextRefCopy16" localSheetId="10">#REF!</definedName>
    <definedName name="TextRefCopy16" localSheetId="7">#REF!</definedName>
    <definedName name="TextRefCopy16">#REF!</definedName>
    <definedName name="TextRefCopy17" localSheetId="6">#REF!</definedName>
    <definedName name="TextRefCopy17" localSheetId="10">#REF!</definedName>
    <definedName name="TextRefCopy17" localSheetId="7">#REF!</definedName>
    <definedName name="TextRefCopy17">#REF!</definedName>
    <definedName name="TextRefCopy18" localSheetId="6">#REF!</definedName>
    <definedName name="TextRefCopy18" localSheetId="10">#REF!</definedName>
    <definedName name="TextRefCopy18" localSheetId="7">#REF!</definedName>
    <definedName name="TextRefCopy18">#REF!</definedName>
    <definedName name="TextRefCopy19" localSheetId="6">#REF!</definedName>
    <definedName name="TextRefCopy19" localSheetId="10">#REF!</definedName>
    <definedName name="TextRefCopy19" localSheetId="7">#REF!</definedName>
    <definedName name="TextRefCopy19">#REF!</definedName>
    <definedName name="TextRefCopy2" localSheetId="6">#REF!</definedName>
    <definedName name="TextRefCopy2" localSheetId="10">#REF!</definedName>
    <definedName name="TextRefCopy2" localSheetId="7">#REF!</definedName>
    <definedName name="TextRefCopy2">#REF!</definedName>
    <definedName name="TextRefCopy20" localSheetId="6">#REF!</definedName>
    <definedName name="TextRefCopy20" localSheetId="10">#REF!</definedName>
    <definedName name="TextRefCopy20" localSheetId="7">#REF!</definedName>
    <definedName name="TextRefCopy20">#REF!</definedName>
    <definedName name="TextRefCopy21" localSheetId="6">#REF!</definedName>
    <definedName name="TextRefCopy21" localSheetId="10">#REF!</definedName>
    <definedName name="TextRefCopy21" localSheetId="7">#REF!</definedName>
    <definedName name="TextRefCopy21">#REF!</definedName>
    <definedName name="TextRefCopy22" localSheetId="6">#REF!</definedName>
    <definedName name="TextRefCopy22" localSheetId="10">#REF!</definedName>
    <definedName name="TextRefCopy22" localSheetId="7">#REF!</definedName>
    <definedName name="TextRefCopy22">#REF!</definedName>
    <definedName name="TextRefCopy23" localSheetId="6">#REF!</definedName>
    <definedName name="TextRefCopy23" localSheetId="10">#REF!</definedName>
    <definedName name="TextRefCopy23" localSheetId="7">#REF!</definedName>
    <definedName name="TextRefCopy23">#REF!</definedName>
    <definedName name="TextRefCopy24" localSheetId="6">#REF!</definedName>
    <definedName name="TextRefCopy24" localSheetId="10">#REF!</definedName>
    <definedName name="TextRefCopy24" localSheetId="7">#REF!</definedName>
    <definedName name="TextRefCopy24">#REF!</definedName>
    <definedName name="TextRefCopy25" localSheetId="6">#REF!</definedName>
    <definedName name="TextRefCopy25" localSheetId="10">#REF!</definedName>
    <definedName name="TextRefCopy25" localSheetId="7">#REF!</definedName>
    <definedName name="TextRefCopy25">#REF!</definedName>
    <definedName name="TextRefCopy26" localSheetId="6">#REF!</definedName>
    <definedName name="TextRefCopy26" localSheetId="10">#REF!</definedName>
    <definedName name="TextRefCopy26" localSheetId="7">#REF!</definedName>
    <definedName name="TextRefCopy26">#REF!</definedName>
    <definedName name="TextRefCopy3" localSheetId="6">#REF!</definedName>
    <definedName name="TextRefCopy3" localSheetId="10">#REF!</definedName>
    <definedName name="TextRefCopy3" localSheetId="7">#REF!</definedName>
    <definedName name="TextRefCopy3">#REF!</definedName>
    <definedName name="TextRefCopy4" localSheetId="6">#REF!</definedName>
    <definedName name="TextRefCopy4" localSheetId="10">#REF!</definedName>
    <definedName name="TextRefCopy4" localSheetId="7">#REF!</definedName>
    <definedName name="TextRefCopy4">#REF!</definedName>
    <definedName name="TextRefCopy6" localSheetId="6">#REF!</definedName>
    <definedName name="TextRefCopy6" localSheetId="10">#REF!</definedName>
    <definedName name="TextRefCopy6" localSheetId="7">#REF!</definedName>
    <definedName name="TextRefCopy6">#REF!</definedName>
    <definedName name="TextRefCopy7" localSheetId="10">#REF!</definedName>
    <definedName name="TextRefCopy7">#REF!</definedName>
    <definedName name="TextRefCopy8" localSheetId="6">#REF!</definedName>
    <definedName name="TextRefCopy8" localSheetId="10">#REF!</definedName>
    <definedName name="TextRefCopy8" localSheetId="7">#REF!</definedName>
    <definedName name="TextRefCopy8">#REF!</definedName>
    <definedName name="TextRefCopyRangeCount" hidden="1">4</definedName>
    <definedName name="tg" localSheetId="6" hidden="1">#REF!</definedName>
    <definedName name="tg" localSheetId="10" hidden="1">#REF!</definedName>
    <definedName name="tg" localSheetId="7" hidden="1">#REF!</definedName>
    <definedName name="tg" hidden="1">#REF!</definedName>
    <definedName name="Threshold" localSheetId="6">#REF!</definedName>
    <definedName name="Threshold" localSheetId="10">#REF!</definedName>
    <definedName name="Threshold" localSheetId="7">#REF!</definedName>
    <definedName name="Threshold">#REF!</definedName>
    <definedName name="title" localSheetId="6">#REF!</definedName>
    <definedName name="title" localSheetId="10">#REF!</definedName>
    <definedName name="title" localSheetId="7">#REF!</definedName>
    <definedName name="title">#REF!</definedName>
    <definedName name="_xlnm.Print_Titles" localSheetId="3">'DFC '!$C:$C</definedName>
    <definedName name="_xlnm.Print_Titles">#REF!</definedName>
    <definedName name="TJLP" localSheetId="7">#REF!</definedName>
    <definedName name="TJLP">#REF!</definedName>
    <definedName name="TJLP_DATA" localSheetId="6">#REF!</definedName>
    <definedName name="TJLP_DATA" localSheetId="10">#REF!</definedName>
    <definedName name="TJLP_DATA" localSheetId="7">#REF!</definedName>
    <definedName name="TJLP_DATA">#REF!</definedName>
    <definedName name="tjlp10" localSheetId="6">#REF!</definedName>
    <definedName name="tjlp10" localSheetId="10">#REF!</definedName>
    <definedName name="tjlp10" localSheetId="7">#REF!</definedName>
    <definedName name="tjlp10">#REF!</definedName>
    <definedName name="TR" localSheetId="7">#REF!</definedName>
    <definedName name="TR">#REF!</definedName>
    <definedName name="TRIMESTRE" localSheetId="6">#REF!</definedName>
    <definedName name="TRIMESTRE" localSheetId="10">#REF!</definedName>
    <definedName name="TRIMESTRE" localSheetId="7">#REF!</definedName>
    <definedName name="TRIMESTRE">#REF!</definedName>
    <definedName name="TSEGPR" localSheetId="10">#REF!</definedName>
    <definedName name="TSEGPR">#REF!</definedName>
    <definedName name="tudo" localSheetId="6">#REF!</definedName>
    <definedName name="tudo" localSheetId="10">#REF!</definedName>
    <definedName name="tudo" localSheetId="7">#REF!</definedName>
    <definedName name="tudo">#REF!</definedName>
    <definedName name="U" localSheetId="6">#REF!</definedName>
    <definedName name="U" localSheetId="10">#REF!</definedName>
    <definedName name="U" localSheetId="7">#REF!</definedName>
    <definedName name="U">#REF!</definedName>
    <definedName name="UN_D_PI" localSheetId="6">#REF!</definedName>
    <definedName name="UN_D_PI" localSheetId="10">#REF!</definedName>
    <definedName name="UN_D_PI" localSheetId="7">#REF!</definedName>
    <definedName name="UN_D_PI">#REF!</definedName>
    <definedName name="UN_D_PP" localSheetId="6">#REF!</definedName>
    <definedName name="UN_D_PP" localSheetId="10">#REF!</definedName>
    <definedName name="UN_D_PP" localSheetId="7">#REF!</definedName>
    <definedName name="UN_D_PP">#REF!</definedName>
    <definedName name="UN_T_PI" localSheetId="6">#REF!</definedName>
    <definedName name="UN_T_PI" localSheetId="10">#REF!</definedName>
    <definedName name="UN_T_PI" localSheetId="7">#REF!</definedName>
    <definedName name="UN_T_PI">#REF!</definedName>
    <definedName name="UN_T_PP" localSheetId="6">#REF!</definedName>
    <definedName name="UN_T_PP" localSheetId="10">#REF!</definedName>
    <definedName name="UN_T_PP" localSheetId="7">#REF!</definedName>
    <definedName name="UN_T_PP">#REF!</definedName>
    <definedName name="UR" localSheetId="10">#REF!</definedName>
    <definedName name="UR">#REF!</definedName>
    <definedName name="USD" localSheetId="10">#REF!</definedName>
    <definedName name="USD" localSheetId="7">#REF!</definedName>
    <definedName name="USD">#REF!</definedName>
    <definedName name="VALOR" localSheetId="10">#REF!</definedName>
    <definedName name="VALOR" localSheetId="7">#REF!</definedName>
    <definedName name="VALOR">#REF!</definedName>
    <definedName name="values" localSheetId="6">(#REF!,#REF!,#REF!)</definedName>
    <definedName name="values" localSheetId="10">(#REF!,#REF!,#REF!)</definedName>
    <definedName name="values" localSheetId="7">(#REF!,#REF!,#REF!)</definedName>
    <definedName name="values">(#REF!,#REF!,#REF!)</definedName>
    <definedName name="VC" localSheetId="10">#REF!</definedName>
    <definedName name="VC" localSheetId="7">#REF!</definedName>
    <definedName name="VC">#REF!</definedName>
    <definedName name="vd" hidden="1">#REF!</definedName>
    <definedName name="vendas" hidden="1">#REF!</definedName>
    <definedName name="vg" localSheetId="6" hidden="1">#REF!</definedName>
    <definedName name="vg" localSheetId="10" hidden="1">#REF!</definedName>
    <definedName name="vg" localSheetId="7" hidden="1">#REF!</definedName>
    <definedName name="vg" hidden="1">#REF!</definedName>
    <definedName name="VOLT_MENU" localSheetId="6">#REF!</definedName>
    <definedName name="VOLT_MENU" localSheetId="10">#REF!</definedName>
    <definedName name="VOLT_MENU" localSheetId="7">#REF!</definedName>
    <definedName name="VOLT_MENU">#REF!</definedName>
    <definedName name="vur" hidden="1">#REF!</definedName>
    <definedName name="vv" localSheetId="6">#REF!</definedName>
    <definedName name="vv" localSheetId="10">#REF!</definedName>
    <definedName name="vv" localSheetId="7">#REF!</definedName>
    <definedName name="vv">#REF!</definedName>
    <definedName name="vvv" localSheetId="10">#REF!</definedName>
    <definedName name="vvv">#REF!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REF_COLUMN_1" localSheetId="6" hidden="1">#REF!</definedName>
    <definedName name="XREF_COLUMN_1" localSheetId="10" hidden="1">#REF!</definedName>
    <definedName name="XREF_COLUMN_1" localSheetId="7" hidden="1">#REF!</definedName>
    <definedName name="XREF_COLUMN_1" hidden="1">#REF!</definedName>
    <definedName name="XREF_COLUMN_10" localSheetId="6" hidden="1">#REF!</definedName>
    <definedName name="XREF_COLUMN_10" localSheetId="10" hidden="1">#REF!</definedName>
    <definedName name="XREF_COLUMN_10" localSheetId="7" hidden="1">#REF!</definedName>
    <definedName name="XREF_COLUMN_10" hidden="1">#REF!</definedName>
    <definedName name="XREF_COLUMN_11" localSheetId="6" hidden="1">#REF!</definedName>
    <definedName name="XREF_COLUMN_11" localSheetId="10" hidden="1">#REF!</definedName>
    <definedName name="XREF_COLUMN_11" localSheetId="7" hidden="1">#REF!</definedName>
    <definedName name="XREF_COLUMN_11" hidden="1">#REF!</definedName>
    <definedName name="XREF_COLUMN_14" localSheetId="6" hidden="1">#REF!</definedName>
    <definedName name="XREF_COLUMN_14" localSheetId="10" hidden="1">#REF!</definedName>
    <definedName name="XREF_COLUMN_14" localSheetId="7" hidden="1">#REF!</definedName>
    <definedName name="XREF_COLUMN_14" hidden="1">#REF!</definedName>
    <definedName name="XREF_COLUMN_15" localSheetId="6" hidden="1">#REF!</definedName>
    <definedName name="XREF_COLUMN_15" localSheetId="10" hidden="1">#REF!</definedName>
    <definedName name="XREF_COLUMN_15" localSheetId="7" hidden="1">#REF!</definedName>
    <definedName name="XREF_COLUMN_15" hidden="1">#REF!</definedName>
    <definedName name="XREF_COLUMN_16" localSheetId="6" hidden="1">#REF!</definedName>
    <definedName name="XREF_COLUMN_16" localSheetId="10" hidden="1">#REF!</definedName>
    <definedName name="XREF_COLUMN_16" localSheetId="7" hidden="1">#REF!</definedName>
    <definedName name="XREF_COLUMN_16" hidden="1">#REF!</definedName>
    <definedName name="XREF_COLUMN_19" localSheetId="6" hidden="1">#REF!</definedName>
    <definedName name="XREF_COLUMN_19" localSheetId="10" hidden="1">#REF!</definedName>
    <definedName name="XREF_COLUMN_19" localSheetId="7" hidden="1">#REF!</definedName>
    <definedName name="XREF_COLUMN_19" hidden="1">#REF!</definedName>
    <definedName name="XREF_COLUMN_2" localSheetId="6" hidden="1">#REF!</definedName>
    <definedName name="XREF_COLUMN_2" localSheetId="10" hidden="1">#REF!</definedName>
    <definedName name="XREF_COLUMN_2" localSheetId="7" hidden="1">#REF!</definedName>
    <definedName name="XREF_COLUMN_2" hidden="1">#REF!</definedName>
    <definedName name="XREF_COLUMN_3" localSheetId="6" hidden="1">#REF!</definedName>
    <definedName name="XREF_COLUMN_3" localSheetId="10" hidden="1">#REF!</definedName>
    <definedName name="XREF_COLUMN_3" localSheetId="7" hidden="1">#REF!</definedName>
    <definedName name="XREF_COLUMN_3" hidden="1">#REF!</definedName>
    <definedName name="XREF_COLUMN_4" localSheetId="6" hidden="1">#REF!</definedName>
    <definedName name="XREF_COLUMN_4" localSheetId="10" hidden="1">#REF!</definedName>
    <definedName name="XREF_COLUMN_4" localSheetId="7" hidden="1">#REF!</definedName>
    <definedName name="XREF_COLUMN_4" hidden="1">#REF!</definedName>
    <definedName name="XREF_COLUMN_5" localSheetId="6" hidden="1">#REF!</definedName>
    <definedName name="XREF_COLUMN_5" localSheetId="10" hidden="1">#REF!</definedName>
    <definedName name="XREF_COLUMN_5" localSheetId="7" hidden="1">#REF!</definedName>
    <definedName name="XREF_COLUMN_5" hidden="1">#REF!</definedName>
    <definedName name="XREF_COLUMN_6" localSheetId="6" hidden="1">#REF!</definedName>
    <definedName name="XREF_COLUMN_6" localSheetId="10" hidden="1">#REF!</definedName>
    <definedName name="XREF_COLUMN_6" localSheetId="7" hidden="1">#REF!</definedName>
    <definedName name="XREF_COLUMN_6" hidden="1">#REF!</definedName>
    <definedName name="XREF_COLUMN_7" localSheetId="6" hidden="1">#REF!</definedName>
    <definedName name="XREF_COLUMN_7" localSheetId="10" hidden="1">#REF!</definedName>
    <definedName name="XREF_COLUMN_7" localSheetId="7" hidden="1">#REF!</definedName>
    <definedName name="XREF_COLUMN_7" hidden="1">#REF!</definedName>
    <definedName name="XREF_COLUMN_9" localSheetId="6" hidden="1">#REF!</definedName>
    <definedName name="XREF_COLUMN_9" localSheetId="10" hidden="1">#REF!</definedName>
    <definedName name="XREF_COLUMN_9" localSheetId="7" hidden="1">#REF!</definedName>
    <definedName name="XREF_COLUMN_9" hidden="1">#REF!</definedName>
    <definedName name="XRefColumnsCount" hidden="1">8</definedName>
    <definedName name="XRefCopy1" localSheetId="6" hidden="1">#REF!</definedName>
    <definedName name="XRefCopy1" localSheetId="10" hidden="1">#REF!</definedName>
    <definedName name="XRefCopy1" localSheetId="7" hidden="1">#REF!</definedName>
    <definedName name="XRefCopy1" hidden="1">#REF!</definedName>
    <definedName name="XRefCopy10" localSheetId="6" hidden="1">#REF!</definedName>
    <definedName name="XRefCopy10" localSheetId="10" hidden="1">#REF!</definedName>
    <definedName name="XRefCopy10" localSheetId="7" hidden="1">#REF!</definedName>
    <definedName name="XRefCopy10" hidden="1">#REF!</definedName>
    <definedName name="XRefCopy10Row" localSheetId="6" hidden="1">#REF!</definedName>
    <definedName name="XRefCopy10Row" localSheetId="10" hidden="1">#REF!</definedName>
    <definedName name="XRefCopy10Row" localSheetId="7" hidden="1">#REF!</definedName>
    <definedName name="XRefCopy10Row" hidden="1">#REF!</definedName>
    <definedName name="XRefCopy12Row" localSheetId="6" hidden="1">#REF!</definedName>
    <definedName name="XRefCopy12Row" localSheetId="10" hidden="1">#REF!</definedName>
    <definedName name="XRefCopy12Row" localSheetId="7" hidden="1">#REF!</definedName>
    <definedName name="XRefCopy12Row" hidden="1">#REF!</definedName>
    <definedName name="XRefCopy13" localSheetId="6" hidden="1">#REF!</definedName>
    <definedName name="XRefCopy13" localSheetId="10" hidden="1">#REF!</definedName>
    <definedName name="XRefCopy13" localSheetId="7" hidden="1">#REF!</definedName>
    <definedName name="XRefCopy13" hidden="1">#REF!</definedName>
    <definedName name="XRefCopy13Row" localSheetId="6" hidden="1">#REF!</definedName>
    <definedName name="XRefCopy13Row" localSheetId="10" hidden="1">#REF!</definedName>
    <definedName name="XRefCopy13Row" localSheetId="7" hidden="1">#REF!</definedName>
    <definedName name="XRefCopy13Row" hidden="1">#REF!</definedName>
    <definedName name="XRefCopy15" localSheetId="6" hidden="1">#REF!</definedName>
    <definedName name="XRefCopy15" localSheetId="10" hidden="1">#REF!</definedName>
    <definedName name="XRefCopy15" localSheetId="7" hidden="1">#REF!</definedName>
    <definedName name="XRefCopy15" hidden="1">#REF!</definedName>
    <definedName name="XRefCopy15Row" localSheetId="6" hidden="1">#REF!</definedName>
    <definedName name="XRefCopy15Row" localSheetId="10" hidden="1">#REF!</definedName>
    <definedName name="XRefCopy15Row" localSheetId="7" hidden="1">#REF!</definedName>
    <definedName name="XRefCopy15Row" hidden="1">#REF!</definedName>
    <definedName name="XRefCopy16Row" localSheetId="6" hidden="1">#REF!</definedName>
    <definedName name="XRefCopy16Row" localSheetId="10" hidden="1">#REF!</definedName>
    <definedName name="XRefCopy16Row" localSheetId="7" hidden="1">#REF!</definedName>
    <definedName name="XRefCopy16Row" hidden="1">#REF!</definedName>
    <definedName name="XRefCopy17" localSheetId="6" hidden="1">#REF!</definedName>
    <definedName name="XRefCopy17" localSheetId="10" hidden="1">#REF!</definedName>
    <definedName name="XRefCopy17" localSheetId="7" hidden="1">#REF!</definedName>
    <definedName name="XRefCopy17" hidden="1">#REF!</definedName>
    <definedName name="XRefCopy17Row" localSheetId="6" hidden="1">#REF!</definedName>
    <definedName name="XRefCopy17Row" localSheetId="10" hidden="1">#REF!</definedName>
    <definedName name="XRefCopy17Row" localSheetId="7" hidden="1">#REF!</definedName>
    <definedName name="XRefCopy17Row" hidden="1">#REF!</definedName>
    <definedName name="XRefCopy18Row" localSheetId="6" hidden="1">#REF!</definedName>
    <definedName name="XRefCopy18Row" localSheetId="10" hidden="1">#REF!</definedName>
    <definedName name="XRefCopy18Row" localSheetId="7" hidden="1">#REF!</definedName>
    <definedName name="XRefCopy18Row" hidden="1">#REF!</definedName>
    <definedName name="XRefCopy19" localSheetId="6" hidden="1">#REF!</definedName>
    <definedName name="XRefCopy19" localSheetId="10" hidden="1">#REF!</definedName>
    <definedName name="XRefCopy19" localSheetId="7" hidden="1">#REF!</definedName>
    <definedName name="XRefCopy19" hidden="1">#REF!</definedName>
    <definedName name="XRefCopy19Row" localSheetId="6" hidden="1">#REF!</definedName>
    <definedName name="XRefCopy19Row" localSheetId="10" hidden="1">#REF!</definedName>
    <definedName name="XRefCopy19Row" localSheetId="7" hidden="1">#REF!</definedName>
    <definedName name="XRefCopy19Row" hidden="1">#REF!</definedName>
    <definedName name="XRefCopy2" localSheetId="6" hidden="1">#REF!</definedName>
    <definedName name="XRefCopy2" localSheetId="10" hidden="1">#REF!</definedName>
    <definedName name="XRefCopy2" localSheetId="7" hidden="1">#REF!</definedName>
    <definedName name="XRefCopy2" hidden="1">#REF!</definedName>
    <definedName name="XRefCopy20Row" localSheetId="6" hidden="1">#REF!</definedName>
    <definedName name="XRefCopy20Row" localSheetId="10" hidden="1">#REF!</definedName>
    <definedName name="XRefCopy20Row" localSheetId="7" hidden="1">#REF!</definedName>
    <definedName name="XRefCopy20Row" hidden="1">#REF!</definedName>
    <definedName name="XRefCopy21" localSheetId="6" hidden="1">#REF!</definedName>
    <definedName name="XRefCopy21" localSheetId="10" hidden="1">#REF!</definedName>
    <definedName name="XRefCopy21" localSheetId="7" hidden="1">#REF!</definedName>
    <definedName name="XRefCopy21" hidden="1">#REF!</definedName>
    <definedName name="XRefCopy21Row" localSheetId="6" hidden="1">#REF!</definedName>
    <definedName name="XRefCopy21Row" localSheetId="10" hidden="1">#REF!</definedName>
    <definedName name="XRefCopy21Row" localSheetId="7" hidden="1">#REF!</definedName>
    <definedName name="XRefCopy21Row" hidden="1">#REF!</definedName>
    <definedName name="XRefCopy28" localSheetId="6" hidden="1">#REF!</definedName>
    <definedName name="XRefCopy28" localSheetId="10" hidden="1">#REF!</definedName>
    <definedName name="XRefCopy28" localSheetId="7" hidden="1">#REF!</definedName>
    <definedName name="XRefCopy28" hidden="1">#REF!</definedName>
    <definedName name="XRefCopy28Row" localSheetId="6" hidden="1">#REF!</definedName>
    <definedName name="XRefCopy28Row" localSheetId="10" hidden="1">#REF!</definedName>
    <definedName name="XRefCopy28Row" localSheetId="7" hidden="1">#REF!</definedName>
    <definedName name="XRefCopy28Row" hidden="1">#REF!</definedName>
    <definedName name="XRefCopy29" localSheetId="6" hidden="1">#REF!</definedName>
    <definedName name="XRefCopy29" localSheetId="10" hidden="1">#REF!</definedName>
    <definedName name="XRefCopy29" localSheetId="7" hidden="1">#REF!</definedName>
    <definedName name="XRefCopy29" hidden="1">#REF!</definedName>
    <definedName name="XRefCopy29Row" localSheetId="6" hidden="1">#REF!</definedName>
    <definedName name="XRefCopy29Row" localSheetId="10" hidden="1">#REF!</definedName>
    <definedName name="XRefCopy29Row" localSheetId="7" hidden="1">#REF!</definedName>
    <definedName name="XRefCopy29Row" hidden="1">#REF!</definedName>
    <definedName name="XRefCopy2Row" localSheetId="6">#REF!</definedName>
    <definedName name="XRefCopy2Row" localSheetId="10">#REF!</definedName>
    <definedName name="XRefCopy2Row" localSheetId="7">#REF!</definedName>
    <definedName name="XRefCopy2Row">#REF!</definedName>
    <definedName name="XRefCopy3" localSheetId="6" hidden="1">#REF!</definedName>
    <definedName name="XRefCopy3" localSheetId="10" hidden="1">#REF!</definedName>
    <definedName name="XRefCopy3" localSheetId="7" hidden="1">#REF!</definedName>
    <definedName name="XRefCopy3" hidden="1">#REF!</definedName>
    <definedName name="XRefCopy30Row" localSheetId="6" hidden="1">#REF!</definedName>
    <definedName name="XRefCopy30Row" localSheetId="10" hidden="1">#REF!</definedName>
    <definedName name="XRefCopy30Row" localSheetId="7" hidden="1">#REF!</definedName>
    <definedName name="XRefCopy30Row" hidden="1">#REF!</definedName>
    <definedName name="XRefCopy31" localSheetId="6" hidden="1">#REF!</definedName>
    <definedName name="XRefCopy31" localSheetId="10" hidden="1">#REF!</definedName>
    <definedName name="XRefCopy31" localSheetId="7" hidden="1">#REF!</definedName>
    <definedName name="XRefCopy31" hidden="1">#REF!</definedName>
    <definedName name="XRefCopy31Row" localSheetId="6" hidden="1">#REF!</definedName>
    <definedName name="XRefCopy31Row" localSheetId="10" hidden="1">#REF!</definedName>
    <definedName name="XRefCopy31Row" localSheetId="7" hidden="1">#REF!</definedName>
    <definedName name="XRefCopy31Row" hidden="1">#REF!</definedName>
    <definedName name="XRefCopy33Row" localSheetId="6" hidden="1">#REF!</definedName>
    <definedName name="XRefCopy33Row" localSheetId="10" hidden="1">#REF!</definedName>
    <definedName name="XRefCopy33Row" localSheetId="7" hidden="1">#REF!</definedName>
    <definedName name="XRefCopy33Row" hidden="1">#REF!</definedName>
    <definedName name="XRefCopy39" localSheetId="6" hidden="1">#REF!</definedName>
    <definedName name="XRefCopy39" localSheetId="10" hidden="1">#REF!</definedName>
    <definedName name="XRefCopy39" localSheetId="7" hidden="1">#REF!</definedName>
    <definedName name="XRefCopy39" hidden="1">#REF!</definedName>
    <definedName name="XRefCopy4" localSheetId="6" hidden="1">#REF!</definedName>
    <definedName name="XRefCopy4" localSheetId="10" hidden="1">#REF!</definedName>
    <definedName name="XRefCopy4" localSheetId="7" hidden="1">#REF!</definedName>
    <definedName name="XRefCopy4" hidden="1">#REF!</definedName>
    <definedName name="XRefCopy40Row" localSheetId="6" hidden="1">#REF!</definedName>
    <definedName name="XRefCopy40Row" localSheetId="10" hidden="1">#REF!</definedName>
    <definedName name="XRefCopy40Row" localSheetId="7" hidden="1">#REF!</definedName>
    <definedName name="XRefCopy40Row" hidden="1">#REF!</definedName>
    <definedName name="XRefCopy43Row" localSheetId="6" hidden="1">#REF!</definedName>
    <definedName name="XRefCopy43Row" localSheetId="10" hidden="1">#REF!</definedName>
    <definedName name="XRefCopy43Row" localSheetId="7" hidden="1">#REF!</definedName>
    <definedName name="XRefCopy43Row" hidden="1">#REF!</definedName>
    <definedName name="XRefCopy44Row" localSheetId="6" hidden="1">#REF!</definedName>
    <definedName name="XRefCopy44Row" localSheetId="10" hidden="1">#REF!</definedName>
    <definedName name="XRefCopy44Row" localSheetId="7" hidden="1">#REF!</definedName>
    <definedName name="XRefCopy44Row" hidden="1">#REF!</definedName>
    <definedName name="XRefCopy49Row" localSheetId="6" hidden="1">#REF!</definedName>
    <definedName name="XRefCopy49Row" localSheetId="10" hidden="1">#REF!</definedName>
    <definedName name="XRefCopy49Row" localSheetId="7" hidden="1">#REF!</definedName>
    <definedName name="XRefCopy49Row" hidden="1">#REF!</definedName>
    <definedName name="XRefCopy4Row" localSheetId="6" hidden="1">#REF!</definedName>
    <definedName name="XRefCopy4Row" localSheetId="10" hidden="1">#REF!</definedName>
    <definedName name="XRefCopy4Row" localSheetId="7" hidden="1">#REF!</definedName>
    <definedName name="XRefCopy4Row" hidden="1">#REF!</definedName>
    <definedName name="XRefCopy5" localSheetId="6" hidden="1">#REF!</definedName>
    <definedName name="XRefCopy5" localSheetId="10" hidden="1">#REF!</definedName>
    <definedName name="XRefCopy5" localSheetId="7" hidden="1">#REF!</definedName>
    <definedName name="XRefCopy5" hidden="1">#REF!</definedName>
    <definedName name="XRefCopy50Row" localSheetId="6" hidden="1">#REF!</definedName>
    <definedName name="XRefCopy50Row" localSheetId="10" hidden="1">#REF!</definedName>
    <definedName name="XRefCopy50Row" localSheetId="7" hidden="1">#REF!</definedName>
    <definedName name="XRefCopy50Row" hidden="1">#REF!</definedName>
    <definedName name="XRefCopy51Row" localSheetId="6" hidden="1">#REF!</definedName>
    <definedName name="XRefCopy51Row" localSheetId="10" hidden="1">#REF!</definedName>
    <definedName name="XRefCopy51Row" localSheetId="7" hidden="1">#REF!</definedName>
    <definedName name="XRefCopy51Row" hidden="1">#REF!</definedName>
    <definedName name="XRefCopy52Row" localSheetId="6" hidden="1">#REF!</definedName>
    <definedName name="XRefCopy52Row" localSheetId="10" hidden="1">#REF!</definedName>
    <definedName name="XRefCopy52Row" localSheetId="7" hidden="1">#REF!</definedName>
    <definedName name="XRefCopy52Row" hidden="1">#REF!</definedName>
    <definedName name="XRefCopy53Row" localSheetId="6" hidden="1">#REF!</definedName>
    <definedName name="XRefCopy53Row" localSheetId="10" hidden="1">#REF!</definedName>
    <definedName name="XRefCopy53Row" localSheetId="7" hidden="1">#REF!</definedName>
    <definedName name="XRefCopy53Row" hidden="1">#REF!</definedName>
    <definedName name="XRefCopy55Row" localSheetId="6" hidden="1">#REF!</definedName>
    <definedName name="XRefCopy55Row" localSheetId="10" hidden="1">#REF!</definedName>
    <definedName name="XRefCopy55Row" localSheetId="7" hidden="1">#REF!</definedName>
    <definedName name="XRefCopy55Row" hidden="1">#REF!</definedName>
    <definedName name="XRefCopy56" localSheetId="6" hidden="1">#REF!</definedName>
    <definedName name="XRefCopy56" localSheetId="10" hidden="1">#REF!</definedName>
    <definedName name="XRefCopy56" localSheetId="7" hidden="1">#REF!</definedName>
    <definedName name="XRefCopy56" hidden="1">#REF!</definedName>
    <definedName name="XRefCopy5Row" localSheetId="6" hidden="1">#REF!</definedName>
    <definedName name="XRefCopy5Row" localSheetId="10" hidden="1">#REF!</definedName>
    <definedName name="XRefCopy5Row" localSheetId="7" hidden="1">#REF!</definedName>
    <definedName name="XRefCopy5Row" hidden="1">#REF!</definedName>
    <definedName name="XRefCopy6" localSheetId="6" hidden="1">#REF!</definedName>
    <definedName name="XRefCopy6" localSheetId="10" hidden="1">#REF!</definedName>
    <definedName name="XRefCopy6" localSheetId="7" hidden="1">#REF!</definedName>
    <definedName name="XRefCopy6" hidden="1">#REF!</definedName>
    <definedName name="XRefCopy61Row" localSheetId="6" hidden="1">#REF!</definedName>
    <definedName name="XRefCopy61Row" localSheetId="10" hidden="1">#REF!</definedName>
    <definedName name="XRefCopy61Row" localSheetId="7" hidden="1">#REF!</definedName>
    <definedName name="XRefCopy61Row" hidden="1">#REF!</definedName>
    <definedName name="XRefCopy63Row" localSheetId="6" hidden="1">#REF!</definedName>
    <definedName name="XRefCopy63Row" localSheetId="10" hidden="1">#REF!</definedName>
    <definedName name="XRefCopy63Row" localSheetId="7" hidden="1">#REF!</definedName>
    <definedName name="XRefCopy63Row" hidden="1">#REF!</definedName>
    <definedName name="XRefCopy64Row" localSheetId="6" hidden="1">#REF!</definedName>
    <definedName name="XRefCopy64Row" localSheetId="10" hidden="1">#REF!</definedName>
    <definedName name="XRefCopy64Row" localSheetId="7" hidden="1">#REF!</definedName>
    <definedName name="XRefCopy64Row" hidden="1">#REF!</definedName>
    <definedName name="XRefCopy65Row" localSheetId="6" hidden="1">#REF!</definedName>
    <definedName name="XRefCopy65Row" localSheetId="10" hidden="1">#REF!</definedName>
    <definedName name="XRefCopy65Row" localSheetId="7" hidden="1">#REF!</definedName>
    <definedName name="XRefCopy65Row" hidden="1">#REF!</definedName>
    <definedName name="XRefCopy66" localSheetId="6" hidden="1">#REF!</definedName>
    <definedName name="XRefCopy66" localSheetId="10" hidden="1">#REF!</definedName>
    <definedName name="XRefCopy66" localSheetId="7" hidden="1">#REF!</definedName>
    <definedName name="XRefCopy66" hidden="1">#REF!</definedName>
    <definedName name="XRefCopy66Row" localSheetId="6" hidden="1">#REF!</definedName>
    <definedName name="XRefCopy66Row" localSheetId="10" hidden="1">#REF!</definedName>
    <definedName name="XRefCopy66Row" localSheetId="7" hidden="1">#REF!</definedName>
    <definedName name="XRefCopy66Row" hidden="1">#REF!</definedName>
    <definedName name="XRefCopy67Row" localSheetId="6" hidden="1">#REF!</definedName>
    <definedName name="XRefCopy67Row" localSheetId="10" hidden="1">#REF!</definedName>
    <definedName name="XRefCopy67Row" localSheetId="7" hidden="1">#REF!</definedName>
    <definedName name="XRefCopy67Row" hidden="1">#REF!</definedName>
    <definedName name="XRefCopy68Row" localSheetId="6" hidden="1">#REF!</definedName>
    <definedName name="XRefCopy68Row" localSheetId="10" hidden="1">#REF!</definedName>
    <definedName name="XRefCopy68Row" localSheetId="7" hidden="1">#REF!</definedName>
    <definedName name="XRefCopy68Row" hidden="1">#REF!</definedName>
    <definedName name="XRefCopy69Row" localSheetId="6" hidden="1">#REF!</definedName>
    <definedName name="XRefCopy69Row" localSheetId="10" hidden="1">#REF!</definedName>
    <definedName name="XRefCopy69Row" localSheetId="7" hidden="1">#REF!</definedName>
    <definedName name="XRefCopy69Row" hidden="1">#REF!</definedName>
    <definedName name="XRefCopy6Row" localSheetId="6" hidden="1">#REF!</definedName>
    <definedName name="XRefCopy6Row" localSheetId="10" hidden="1">#REF!</definedName>
    <definedName name="XRefCopy6Row" localSheetId="7" hidden="1">#REF!</definedName>
    <definedName name="XRefCopy6Row" hidden="1">#REF!</definedName>
    <definedName name="XRefCopy7" localSheetId="6" hidden="1">#REF!</definedName>
    <definedName name="XRefCopy7" localSheetId="10" hidden="1">#REF!</definedName>
    <definedName name="XRefCopy7" localSheetId="7" hidden="1">#REF!</definedName>
    <definedName name="XRefCopy7" hidden="1">#REF!</definedName>
    <definedName name="XRefCopy70Row" localSheetId="6" hidden="1">#REF!</definedName>
    <definedName name="XRefCopy70Row" localSheetId="10" hidden="1">#REF!</definedName>
    <definedName name="XRefCopy70Row" localSheetId="7" hidden="1">#REF!</definedName>
    <definedName name="XRefCopy70Row" hidden="1">#REF!</definedName>
    <definedName name="XRefCopy71Row" localSheetId="6" hidden="1">#REF!</definedName>
    <definedName name="XRefCopy71Row" localSheetId="10" hidden="1">#REF!</definedName>
    <definedName name="XRefCopy71Row" localSheetId="7" hidden="1">#REF!</definedName>
    <definedName name="XRefCopy71Row" hidden="1">#REF!</definedName>
    <definedName name="XRefCopy72Row" localSheetId="6" hidden="1">#REF!</definedName>
    <definedName name="XRefCopy72Row" localSheetId="10" hidden="1">#REF!</definedName>
    <definedName name="XRefCopy72Row" localSheetId="7" hidden="1">#REF!</definedName>
    <definedName name="XRefCopy72Row" hidden="1">#REF!</definedName>
    <definedName name="XRefCopy73Row" localSheetId="6" hidden="1">#REF!</definedName>
    <definedName name="XRefCopy73Row" localSheetId="10" hidden="1">#REF!</definedName>
    <definedName name="XRefCopy73Row" localSheetId="7" hidden="1">#REF!</definedName>
    <definedName name="XRefCopy73Row" hidden="1">#REF!</definedName>
    <definedName name="XRefCopy74Row" localSheetId="6" hidden="1">#REF!</definedName>
    <definedName name="XRefCopy74Row" localSheetId="10" hidden="1">#REF!</definedName>
    <definedName name="XRefCopy74Row" localSheetId="7" hidden="1">#REF!</definedName>
    <definedName name="XRefCopy74Row" hidden="1">#REF!</definedName>
    <definedName name="XRefCopy75Row" localSheetId="6" hidden="1">#REF!</definedName>
    <definedName name="XRefCopy75Row" localSheetId="10" hidden="1">#REF!</definedName>
    <definedName name="XRefCopy75Row" localSheetId="7" hidden="1">#REF!</definedName>
    <definedName name="XRefCopy75Row" hidden="1">#REF!</definedName>
    <definedName name="XRefCopy76Row" localSheetId="6" hidden="1">#REF!</definedName>
    <definedName name="XRefCopy76Row" localSheetId="10" hidden="1">#REF!</definedName>
    <definedName name="XRefCopy76Row" localSheetId="7" hidden="1">#REF!</definedName>
    <definedName name="XRefCopy76Row" hidden="1">#REF!</definedName>
    <definedName name="XRefCopy77Row" localSheetId="6" hidden="1">#REF!</definedName>
    <definedName name="XRefCopy77Row" localSheetId="10" hidden="1">#REF!</definedName>
    <definedName name="XRefCopy77Row" localSheetId="7" hidden="1">#REF!</definedName>
    <definedName name="XRefCopy77Row" hidden="1">#REF!</definedName>
    <definedName name="XRefCopy78Row" localSheetId="6" hidden="1">#REF!</definedName>
    <definedName name="XRefCopy78Row" localSheetId="10" hidden="1">#REF!</definedName>
    <definedName name="XRefCopy78Row" localSheetId="7" hidden="1">#REF!</definedName>
    <definedName name="XRefCopy78Row" hidden="1">#REF!</definedName>
    <definedName name="XRefCopy7Row" localSheetId="6" hidden="1">#REF!</definedName>
    <definedName name="XRefCopy7Row" localSheetId="10" hidden="1">#REF!</definedName>
    <definedName name="XRefCopy7Row" localSheetId="7" hidden="1">#REF!</definedName>
    <definedName name="XRefCopy7Row" hidden="1">#REF!</definedName>
    <definedName name="XRefCopy80Row" localSheetId="6" hidden="1">#REF!</definedName>
    <definedName name="XRefCopy80Row" localSheetId="10" hidden="1">#REF!</definedName>
    <definedName name="XRefCopy80Row" localSheetId="7" hidden="1">#REF!</definedName>
    <definedName name="XRefCopy80Row" hidden="1">#REF!</definedName>
    <definedName name="XRefCopy81Row" localSheetId="6" hidden="1">#REF!</definedName>
    <definedName name="XRefCopy81Row" localSheetId="10" hidden="1">#REF!</definedName>
    <definedName name="XRefCopy81Row" localSheetId="7" hidden="1">#REF!</definedName>
    <definedName name="XRefCopy81Row" hidden="1">#REF!</definedName>
    <definedName name="XRefCopy82Row" localSheetId="6" hidden="1">#REF!</definedName>
    <definedName name="XRefCopy82Row" localSheetId="10" hidden="1">#REF!</definedName>
    <definedName name="XRefCopy82Row" localSheetId="7" hidden="1">#REF!</definedName>
    <definedName name="XRefCopy82Row" hidden="1">#REF!</definedName>
    <definedName name="XRefCopy8Row" localSheetId="6" hidden="1">#REF!</definedName>
    <definedName name="XRefCopy8Row" localSheetId="10" hidden="1">#REF!</definedName>
    <definedName name="XRefCopy8Row" localSheetId="7" hidden="1">#REF!</definedName>
    <definedName name="XRefCopy8Row" hidden="1">#REF!</definedName>
    <definedName name="XRefCopy9Row" localSheetId="6" hidden="1">#REF!</definedName>
    <definedName name="XRefCopy9Row" localSheetId="10" hidden="1">#REF!</definedName>
    <definedName name="XRefCopy9Row" localSheetId="7" hidden="1">#REF!</definedName>
    <definedName name="XRefCopy9Row" hidden="1">#REF!</definedName>
    <definedName name="XRefCopyRangeCount" hidden="1">14</definedName>
    <definedName name="XRefPaste1" localSheetId="6" hidden="1">#REF!</definedName>
    <definedName name="XRefPaste1" localSheetId="10" hidden="1">#REF!</definedName>
    <definedName name="XRefPaste1" localSheetId="7" hidden="1">#REF!</definedName>
    <definedName name="XRefPaste1" hidden="1">#REF!</definedName>
    <definedName name="XRefPaste10" localSheetId="6" hidden="1">#REF!</definedName>
    <definedName name="XRefPaste10" localSheetId="10" hidden="1">#REF!</definedName>
    <definedName name="XRefPaste10" localSheetId="7" hidden="1">#REF!</definedName>
    <definedName name="XRefPaste10" hidden="1">#REF!</definedName>
    <definedName name="XRefPaste101" localSheetId="6" hidden="1">#REF!</definedName>
    <definedName name="XRefPaste101" localSheetId="10" hidden="1">#REF!</definedName>
    <definedName name="XRefPaste101" localSheetId="7" hidden="1">#REF!</definedName>
    <definedName name="XRefPaste101" hidden="1">#REF!</definedName>
    <definedName name="XRefPaste101Row" localSheetId="6" hidden="1">#REF!</definedName>
    <definedName name="XRefPaste101Row" localSheetId="10" hidden="1">#REF!</definedName>
    <definedName name="XRefPaste101Row" localSheetId="7" hidden="1">#REF!</definedName>
    <definedName name="XRefPaste101Row" hidden="1">#REF!</definedName>
    <definedName name="XRefPaste102" localSheetId="6" hidden="1">#REF!</definedName>
    <definedName name="XRefPaste102" localSheetId="10" hidden="1">#REF!</definedName>
    <definedName name="XRefPaste102" localSheetId="7" hidden="1">#REF!</definedName>
    <definedName name="XRefPaste102" hidden="1">#REF!</definedName>
    <definedName name="XRefPaste102Row" localSheetId="6" hidden="1">#REF!</definedName>
    <definedName name="XRefPaste102Row" localSheetId="10" hidden="1">#REF!</definedName>
    <definedName name="XRefPaste102Row" localSheetId="7" hidden="1">#REF!</definedName>
    <definedName name="XRefPaste102Row" hidden="1">#REF!</definedName>
    <definedName name="XRefPaste103" localSheetId="6" hidden="1">#REF!</definedName>
    <definedName name="XRefPaste103" localSheetId="10" hidden="1">#REF!</definedName>
    <definedName name="XRefPaste103" localSheetId="7" hidden="1">#REF!</definedName>
    <definedName name="XRefPaste103" hidden="1">#REF!</definedName>
    <definedName name="XRefPaste103Row" localSheetId="6" hidden="1">#REF!</definedName>
    <definedName name="XRefPaste103Row" localSheetId="10" hidden="1">#REF!</definedName>
    <definedName name="XRefPaste103Row" localSheetId="7" hidden="1">#REF!</definedName>
    <definedName name="XRefPaste103Row" hidden="1">#REF!</definedName>
    <definedName name="XRefPaste104Row" localSheetId="6" hidden="1">#REF!</definedName>
    <definedName name="XRefPaste104Row" localSheetId="10" hidden="1">#REF!</definedName>
    <definedName name="XRefPaste104Row" localSheetId="7" hidden="1">#REF!</definedName>
    <definedName name="XRefPaste104Row" hidden="1">#REF!</definedName>
    <definedName name="XRefPaste105Row" localSheetId="6" hidden="1">#REF!</definedName>
    <definedName name="XRefPaste105Row" localSheetId="10" hidden="1">#REF!</definedName>
    <definedName name="XRefPaste105Row" localSheetId="7" hidden="1">#REF!</definedName>
    <definedName name="XRefPaste105Row" hidden="1">#REF!</definedName>
    <definedName name="XRefPaste106" localSheetId="6" hidden="1">#REF!</definedName>
    <definedName name="XRefPaste106" localSheetId="10" hidden="1">#REF!</definedName>
    <definedName name="XRefPaste106" localSheetId="7" hidden="1">#REF!</definedName>
    <definedName name="XRefPaste106" hidden="1">#REF!</definedName>
    <definedName name="XRefPaste106Row" localSheetId="6" hidden="1">#REF!</definedName>
    <definedName name="XRefPaste106Row" localSheetId="10" hidden="1">#REF!</definedName>
    <definedName name="XRefPaste106Row" localSheetId="7" hidden="1">#REF!</definedName>
    <definedName name="XRefPaste106Row" hidden="1">#REF!</definedName>
    <definedName name="XRefPaste107Row" localSheetId="6" hidden="1">#REF!</definedName>
    <definedName name="XRefPaste107Row" localSheetId="10" hidden="1">#REF!</definedName>
    <definedName name="XRefPaste107Row" localSheetId="7" hidden="1">#REF!</definedName>
    <definedName name="XRefPaste107Row" hidden="1">#REF!</definedName>
    <definedName name="XRefPaste108Row" localSheetId="6" hidden="1">#REF!</definedName>
    <definedName name="XRefPaste108Row" localSheetId="10" hidden="1">#REF!</definedName>
    <definedName name="XRefPaste108Row" localSheetId="7" hidden="1">#REF!</definedName>
    <definedName name="XRefPaste108Row" hidden="1">#REF!</definedName>
    <definedName name="XRefPaste11" localSheetId="6" hidden="1">#REF!</definedName>
    <definedName name="XRefPaste11" localSheetId="10" hidden="1">#REF!</definedName>
    <definedName name="XRefPaste11" localSheetId="7" hidden="1">#REF!</definedName>
    <definedName name="XRefPaste11" hidden="1">#REF!</definedName>
    <definedName name="XRefPaste111Row" localSheetId="6" hidden="1">#REF!</definedName>
    <definedName name="XRefPaste111Row" localSheetId="10" hidden="1">#REF!</definedName>
    <definedName name="XRefPaste111Row" localSheetId="7" hidden="1">#REF!</definedName>
    <definedName name="XRefPaste111Row" hidden="1">#REF!</definedName>
    <definedName name="XRefPaste112Row" localSheetId="6" hidden="1">#REF!</definedName>
    <definedName name="XRefPaste112Row" localSheetId="10" hidden="1">#REF!</definedName>
    <definedName name="XRefPaste112Row" localSheetId="7" hidden="1">#REF!</definedName>
    <definedName name="XRefPaste112Row" hidden="1">#REF!</definedName>
    <definedName name="XRefPaste117Row" localSheetId="6" hidden="1">#REF!</definedName>
    <definedName name="XRefPaste117Row" localSheetId="10" hidden="1">#REF!</definedName>
    <definedName name="XRefPaste117Row" localSheetId="7" hidden="1">#REF!</definedName>
    <definedName name="XRefPaste117Row" hidden="1">#REF!</definedName>
    <definedName name="XRefPaste118Row" localSheetId="6" hidden="1">#REF!</definedName>
    <definedName name="XRefPaste118Row" localSheetId="10" hidden="1">#REF!</definedName>
    <definedName name="XRefPaste118Row" localSheetId="7" hidden="1">#REF!</definedName>
    <definedName name="XRefPaste118Row" hidden="1">#REF!</definedName>
    <definedName name="XRefPaste119Row" localSheetId="6" hidden="1">#REF!</definedName>
    <definedName name="XRefPaste119Row" localSheetId="10" hidden="1">#REF!</definedName>
    <definedName name="XRefPaste119Row" localSheetId="7" hidden="1">#REF!</definedName>
    <definedName name="XRefPaste119Row" hidden="1">#REF!</definedName>
    <definedName name="XRefPaste12" localSheetId="6" hidden="1">#REF!</definedName>
    <definedName name="XRefPaste12" localSheetId="10" hidden="1">#REF!</definedName>
    <definedName name="XRefPaste12" localSheetId="7" hidden="1">#REF!</definedName>
    <definedName name="XRefPaste12" hidden="1">#REF!</definedName>
    <definedName name="XRefPaste120" localSheetId="6" hidden="1">#REF!</definedName>
    <definedName name="XRefPaste120" localSheetId="10" hidden="1">#REF!</definedName>
    <definedName name="XRefPaste120" localSheetId="7" hidden="1">#REF!</definedName>
    <definedName name="XRefPaste120" hidden="1">#REF!</definedName>
    <definedName name="XRefPaste120Row" localSheetId="6" hidden="1">#REF!</definedName>
    <definedName name="XRefPaste120Row" localSheetId="10" hidden="1">#REF!</definedName>
    <definedName name="XRefPaste120Row" localSheetId="7" hidden="1">#REF!</definedName>
    <definedName name="XRefPaste120Row" hidden="1">#REF!</definedName>
    <definedName name="XRefPaste121Row" localSheetId="6" hidden="1">#REF!</definedName>
    <definedName name="XRefPaste121Row" localSheetId="10" hidden="1">#REF!</definedName>
    <definedName name="XRefPaste121Row" localSheetId="7" hidden="1">#REF!</definedName>
    <definedName name="XRefPaste121Row" hidden="1">#REF!</definedName>
    <definedName name="XRefPaste122Row" localSheetId="6" hidden="1">#REF!</definedName>
    <definedName name="XRefPaste122Row" localSheetId="10" hidden="1">#REF!</definedName>
    <definedName name="XRefPaste122Row" localSheetId="7" hidden="1">#REF!</definedName>
    <definedName name="XRefPaste122Row" hidden="1">#REF!</definedName>
    <definedName name="XRefPaste123Row" localSheetId="6" hidden="1">#REF!</definedName>
    <definedName name="XRefPaste123Row" localSheetId="10" hidden="1">#REF!</definedName>
    <definedName name="XRefPaste123Row" localSheetId="7" hidden="1">#REF!</definedName>
    <definedName name="XRefPaste123Row" hidden="1">#REF!</definedName>
    <definedName name="XRefPaste124Row" localSheetId="6" hidden="1">#REF!</definedName>
    <definedName name="XRefPaste124Row" localSheetId="10" hidden="1">#REF!</definedName>
    <definedName name="XRefPaste124Row" localSheetId="7" hidden="1">#REF!</definedName>
    <definedName name="XRefPaste124Row" hidden="1">#REF!</definedName>
    <definedName name="XRefPaste126Row" localSheetId="6" hidden="1">#REF!</definedName>
    <definedName name="XRefPaste126Row" localSheetId="10" hidden="1">#REF!</definedName>
    <definedName name="XRefPaste126Row" localSheetId="7" hidden="1">#REF!</definedName>
    <definedName name="XRefPaste126Row" hidden="1">#REF!</definedName>
    <definedName name="XRefPaste127Row" localSheetId="6" hidden="1">#REF!</definedName>
    <definedName name="XRefPaste127Row" localSheetId="10" hidden="1">#REF!</definedName>
    <definedName name="XRefPaste127Row" localSheetId="7" hidden="1">#REF!</definedName>
    <definedName name="XRefPaste127Row" hidden="1">#REF!</definedName>
    <definedName name="XRefPaste128Row" localSheetId="6" hidden="1">#REF!</definedName>
    <definedName name="XRefPaste128Row" localSheetId="10" hidden="1">#REF!</definedName>
    <definedName name="XRefPaste128Row" localSheetId="7" hidden="1">#REF!</definedName>
    <definedName name="XRefPaste128Row" hidden="1">#REF!</definedName>
    <definedName name="XRefPaste129Row" localSheetId="6" hidden="1">#REF!</definedName>
    <definedName name="XRefPaste129Row" localSheetId="10" hidden="1">#REF!</definedName>
    <definedName name="XRefPaste129Row" localSheetId="7" hidden="1">#REF!</definedName>
    <definedName name="XRefPaste129Row" hidden="1">#REF!</definedName>
    <definedName name="XRefPaste13" localSheetId="6" hidden="1">#REF!</definedName>
    <definedName name="XRefPaste13" localSheetId="10" hidden="1">#REF!</definedName>
    <definedName name="XRefPaste13" localSheetId="7" hidden="1">#REF!</definedName>
    <definedName name="XRefPaste13" hidden="1">#REF!</definedName>
    <definedName name="XRefPaste130Row" localSheetId="6" hidden="1">#REF!</definedName>
    <definedName name="XRefPaste130Row" localSheetId="10" hidden="1">#REF!</definedName>
    <definedName name="XRefPaste130Row" localSheetId="7" hidden="1">#REF!</definedName>
    <definedName name="XRefPaste130Row" hidden="1">#REF!</definedName>
    <definedName name="XRefPaste131Row" localSheetId="6" hidden="1">#REF!</definedName>
    <definedName name="XRefPaste131Row" localSheetId="10" hidden="1">#REF!</definedName>
    <definedName name="XRefPaste131Row" localSheetId="7" hidden="1">#REF!</definedName>
    <definedName name="XRefPaste131Row" hidden="1">#REF!</definedName>
    <definedName name="XRefPaste132Row" localSheetId="6" hidden="1">#REF!</definedName>
    <definedName name="XRefPaste132Row" localSheetId="10" hidden="1">#REF!</definedName>
    <definedName name="XRefPaste132Row" localSheetId="7" hidden="1">#REF!</definedName>
    <definedName name="XRefPaste132Row" hidden="1">#REF!</definedName>
    <definedName name="XRefPaste133Row" localSheetId="6" hidden="1">#REF!</definedName>
    <definedName name="XRefPaste133Row" localSheetId="10" hidden="1">#REF!</definedName>
    <definedName name="XRefPaste133Row" localSheetId="7" hidden="1">#REF!</definedName>
    <definedName name="XRefPaste133Row" hidden="1">#REF!</definedName>
    <definedName name="XRefPaste134Row" localSheetId="6" hidden="1">#REF!</definedName>
    <definedName name="XRefPaste134Row" localSheetId="10" hidden="1">#REF!</definedName>
    <definedName name="XRefPaste134Row" localSheetId="7" hidden="1">#REF!</definedName>
    <definedName name="XRefPaste134Row" hidden="1">#REF!</definedName>
    <definedName name="XRefPaste135Row" localSheetId="6" hidden="1">#REF!</definedName>
    <definedName name="XRefPaste135Row" localSheetId="10" hidden="1">#REF!</definedName>
    <definedName name="XRefPaste135Row" localSheetId="7" hidden="1">#REF!</definedName>
    <definedName name="XRefPaste135Row" hidden="1">#REF!</definedName>
    <definedName name="XRefPaste136Row" localSheetId="6" hidden="1">#REF!</definedName>
    <definedName name="XRefPaste136Row" localSheetId="10" hidden="1">#REF!</definedName>
    <definedName name="XRefPaste136Row" localSheetId="7" hidden="1">#REF!</definedName>
    <definedName name="XRefPaste136Row" hidden="1">#REF!</definedName>
    <definedName name="XRefPaste137Row" localSheetId="6" hidden="1">#REF!</definedName>
    <definedName name="XRefPaste137Row" localSheetId="10" hidden="1">#REF!</definedName>
    <definedName name="XRefPaste137Row" localSheetId="7" hidden="1">#REF!</definedName>
    <definedName name="XRefPaste137Row" hidden="1">#REF!</definedName>
    <definedName name="XRefPaste138Row" localSheetId="6" hidden="1">#REF!</definedName>
    <definedName name="XRefPaste138Row" localSheetId="10" hidden="1">#REF!</definedName>
    <definedName name="XRefPaste138Row" localSheetId="7" hidden="1">#REF!</definedName>
    <definedName name="XRefPaste138Row" hidden="1">#REF!</definedName>
    <definedName name="XRefPaste139Row" localSheetId="6" hidden="1">#REF!</definedName>
    <definedName name="XRefPaste139Row" localSheetId="10" hidden="1">#REF!</definedName>
    <definedName name="XRefPaste139Row" localSheetId="7" hidden="1">#REF!</definedName>
    <definedName name="XRefPaste139Row" hidden="1">#REF!</definedName>
    <definedName name="XRefPaste14" localSheetId="6" hidden="1">#REF!</definedName>
    <definedName name="XRefPaste14" localSheetId="10" hidden="1">#REF!</definedName>
    <definedName name="XRefPaste14" localSheetId="7" hidden="1">#REF!</definedName>
    <definedName name="XRefPaste14" hidden="1">#REF!</definedName>
    <definedName name="XRefPaste15" localSheetId="6" hidden="1">#REF!</definedName>
    <definedName name="XRefPaste15" localSheetId="10" hidden="1">#REF!</definedName>
    <definedName name="XRefPaste15" localSheetId="7" hidden="1">#REF!</definedName>
    <definedName name="XRefPaste15" hidden="1">#REF!</definedName>
    <definedName name="XRefPaste15Row" localSheetId="6" hidden="1">#REF!</definedName>
    <definedName name="XRefPaste15Row" localSheetId="10" hidden="1">#REF!</definedName>
    <definedName name="XRefPaste15Row" localSheetId="7" hidden="1">#REF!</definedName>
    <definedName name="XRefPaste15Row" hidden="1">#REF!</definedName>
    <definedName name="XRefPaste16" localSheetId="6" hidden="1">#REF!</definedName>
    <definedName name="XRefPaste16" localSheetId="10" hidden="1">#REF!</definedName>
    <definedName name="XRefPaste16" localSheetId="7" hidden="1">#REF!</definedName>
    <definedName name="XRefPaste16" hidden="1">#REF!</definedName>
    <definedName name="XRefPaste16Row" localSheetId="6" hidden="1">#REF!</definedName>
    <definedName name="XRefPaste16Row" localSheetId="10" hidden="1">#REF!</definedName>
    <definedName name="XRefPaste16Row" localSheetId="7" hidden="1">#REF!</definedName>
    <definedName name="XRefPaste16Row" hidden="1">#REF!</definedName>
    <definedName name="XRefPaste17Row" localSheetId="6" hidden="1">#REF!</definedName>
    <definedName name="XRefPaste17Row" localSheetId="10" hidden="1">#REF!</definedName>
    <definedName name="XRefPaste17Row" localSheetId="7" hidden="1">#REF!</definedName>
    <definedName name="XRefPaste17Row" hidden="1">#REF!</definedName>
    <definedName name="XRefPaste18" localSheetId="6" hidden="1">#REF!</definedName>
    <definedName name="XRefPaste18" localSheetId="10" hidden="1">#REF!</definedName>
    <definedName name="XRefPaste18" localSheetId="7" hidden="1">#REF!</definedName>
    <definedName name="XRefPaste18" hidden="1">#REF!</definedName>
    <definedName name="XRefPaste18Row" localSheetId="6" hidden="1">#REF!</definedName>
    <definedName name="XRefPaste18Row" localSheetId="10" hidden="1">#REF!</definedName>
    <definedName name="XRefPaste18Row" localSheetId="7" hidden="1">#REF!</definedName>
    <definedName name="XRefPaste18Row" hidden="1">#REF!</definedName>
    <definedName name="XRefPaste19Row" localSheetId="6" hidden="1">#REF!</definedName>
    <definedName name="XRefPaste19Row" localSheetId="10" hidden="1">#REF!</definedName>
    <definedName name="XRefPaste19Row" localSheetId="7" hidden="1">#REF!</definedName>
    <definedName name="XRefPaste19Row" hidden="1">#REF!</definedName>
    <definedName name="XRefPaste1Row" localSheetId="6" hidden="1">#REF!</definedName>
    <definedName name="XRefPaste1Row" localSheetId="10" hidden="1">#REF!</definedName>
    <definedName name="XRefPaste1Row" localSheetId="7" hidden="1">#REF!</definedName>
    <definedName name="XRefPaste1Row" hidden="1">#REF!</definedName>
    <definedName name="XRefPaste2" localSheetId="6" hidden="1">#REF!</definedName>
    <definedName name="XRefPaste2" localSheetId="10" hidden="1">#REF!</definedName>
    <definedName name="XRefPaste2" localSheetId="7" hidden="1">#REF!</definedName>
    <definedName name="XRefPaste2" hidden="1">#REF!</definedName>
    <definedName name="XRefPaste26" localSheetId="6" hidden="1">#REF!</definedName>
    <definedName name="XRefPaste26" localSheetId="10" hidden="1">#REF!</definedName>
    <definedName name="XRefPaste26" localSheetId="7" hidden="1">#REF!</definedName>
    <definedName name="XRefPaste26" hidden="1">#REF!</definedName>
    <definedName name="XRefPaste26Row" localSheetId="6" hidden="1">#REF!</definedName>
    <definedName name="XRefPaste26Row" localSheetId="10" hidden="1">#REF!</definedName>
    <definedName name="XRefPaste26Row" localSheetId="7" hidden="1">#REF!</definedName>
    <definedName name="XRefPaste26Row" hidden="1">#REF!</definedName>
    <definedName name="XRefPaste27Row" localSheetId="6" hidden="1">#REF!</definedName>
    <definedName name="XRefPaste27Row" localSheetId="10" hidden="1">#REF!</definedName>
    <definedName name="XRefPaste27Row" localSheetId="7" hidden="1">#REF!</definedName>
    <definedName name="XRefPaste27Row" hidden="1">#REF!</definedName>
    <definedName name="XRefPaste28" localSheetId="6" hidden="1">#REF!</definedName>
    <definedName name="XRefPaste28" localSheetId="10" hidden="1">#REF!</definedName>
    <definedName name="XRefPaste28" localSheetId="7" hidden="1">#REF!</definedName>
    <definedName name="XRefPaste28" hidden="1">#REF!</definedName>
    <definedName name="XRefPaste28Row" localSheetId="6" hidden="1">#REF!</definedName>
    <definedName name="XRefPaste28Row" localSheetId="10" hidden="1">#REF!</definedName>
    <definedName name="XRefPaste28Row" localSheetId="7" hidden="1">#REF!</definedName>
    <definedName name="XRefPaste28Row" hidden="1">#REF!</definedName>
    <definedName name="XRefPaste29" localSheetId="6" hidden="1">#REF!</definedName>
    <definedName name="XRefPaste29" localSheetId="10" hidden="1">#REF!</definedName>
    <definedName name="XRefPaste29" localSheetId="7" hidden="1">#REF!</definedName>
    <definedName name="XRefPaste29" hidden="1">#REF!</definedName>
    <definedName name="XRefPaste29Row" localSheetId="6" hidden="1">#REF!</definedName>
    <definedName name="XRefPaste29Row" localSheetId="10" hidden="1">#REF!</definedName>
    <definedName name="XRefPaste29Row" localSheetId="7" hidden="1">#REF!</definedName>
    <definedName name="XRefPaste29Row" hidden="1">#REF!</definedName>
    <definedName name="XRefPaste2Row" localSheetId="6" hidden="1">#REF!</definedName>
    <definedName name="XRefPaste2Row" localSheetId="10" hidden="1">#REF!</definedName>
    <definedName name="XRefPaste2Row" localSheetId="7" hidden="1">#REF!</definedName>
    <definedName name="XRefPaste2Row" hidden="1">#REF!</definedName>
    <definedName name="XRefPaste3" localSheetId="6" hidden="1">#REF!</definedName>
    <definedName name="XRefPaste3" localSheetId="10" hidden="1">#REF!</definedName>
    <definedName name="XRefPaste3" localSheetId="7" hidden="1">#REF!</definedName>
    <definedName name="XRefPaste3" hidden="1">#REF!</definedName>
    <definedName name="XRefPaste31" localSheetId="6" hidden="1">#REF!</definedName>
    <definedName name="XRefPaste31" localSheetId="10" hidden="1">#REF!</definedName>
    <definedName name="XRefPaste31" localSheetId="7" hidden="1">#REF!</definedName>
    <definedName name="XRefPaste31" hidden="1">#REF!</definedName>
    <definedName name="XRefPaste31Row" localSheetId="6" hidden="1">#REF!</definedName>
    <definedName name="XRefPaste31Row" localSheetId="10" hidden="1">#REF!</definedName>
    <definedName name="XRefPaste31Row" localSheetId="7" hidden="1">#REF!</definedName>
    <definedName name="XRefPaste31Row" hidden="1">#REF!</definedName>
    <definedName name="XRefPaste32" localSheetId="6" hidden="1">#REF!</definedName>
    <definedName name="XRefPaste32" localSheetId="10" hidden="1">#REF!</definedName>
    <definedName name="XRefPaste32" localSheetId="7" hidden="1">#REF!</definedName>
    <definedName name="XRefPaste32" hidden="1">#REF!</definedName>
    <definedName name="XRefPaste32Row" localSheetId="6" hidden="1">#REF!</definedName>
    <definedName name="XRefPaste32Row" localSheetId="10" hidden="1">#REF!</definedName>
    <definedName name="XRefPaste32Row" localSheetId="7" hidden="1">#REF!</definedName>
    <definedName name="XRefPaste32Row" hidden="1">#REF!</definedName>
    <definedName name="XRefPaste35" localSheetId="6" hidden="1">#REF!</definedName>
    <definedName name="XRefPaste35" localSheetId="10" hidden="1">#REF!</definedName>
    <definedName name="XRefPaste35" localSheetId="7" hidden="1">#REF!</definedName>
    <definedName name="XRefPaste35" hidden="1">#REF!</definedName>
    <definedName name="XRefPaste35Row" localSheetId="6" hidden="1">#REF!</definedName>
    <definedName name="XRefPaste35Row" localSheetId="10" hidden="1">#REF!</definedName>
    <definedName name="XRefPaste35Row" localSheetId="7" hidden="1">#REF!</definedName>
    <definedName name="XRefPaste35Row" hidden="1">#REF!</definedName>
    <definedName name="XRefPaste37Row" localSheetId="6" hidden="1">#REF!</definedName>
    <definedName name="XRefPaste37Row" localSheetId="10" hidden="1">#REF!</definedName>
    <definedName name="XRefPaste37Row" localSheetId="7" hidden="1">#REF!</definedName>
    <definedName name="XRefPaste37Row" hidden="1">#REF!</definedName>
    <definedName name="XRefPaste38" localSheetId="6" hidden="1">#REF!</definedName>
    <definedName name="XRefPaste38" localSheetId="10" hidden="1">#REF!</definedName>
    <definedName name="XRefPaste38" localSheetId="7" hidden="1">#REF!</definedName>
    <definedName name="XRefPaste38" hidden="1">#REF!</definedName>
    <definedName name="XRefPaste38Row" localSheetId="6" hidden="1">#REF!</definedName>
    <definedName name="XRefPaste38Row" localSheetId="10" hidden="1">#REF!</definedName>
    <definedName name="XRefPaste38Row" localSheetId="7" hidden="1">#REF!</definedName>
    <definedName name="XRefPaste38Row" hidden="1">#REF!</definedName>
    <definedName name="XRefPaste39" localSheetId="6" hidden="1">#REF!</definedName>
    <definedName name="XRefPaste39" localSheetId="10" hidden="1">#REF!</definedName>
    <definedName name="XRefPaste39" localSheetId="7" hidden="1">#REF!</definedName>
    <definedName name="XRefPaste39" hidden="1">#REF!</definedName>
    <definedName name="XRefPaste39Row" localSheetId="6" hidden="1">#REF!</definedName>
    <definedName name="XRefPaste39Row" localSheetId="10" hidden="1">#REF!</definedName>
    <definedName name="XRefPaste39Row" localSheetId="7" hidden="1">#REF!</definedName>
    <definedName name="XRefPaste39Row" hidden="1">#REF!</definedName>
    <definedName name="XRefPaste3Row" localSheetId="6" hidden="1">#REF!</definedName>
    <definedName name="XRefPaste3Row" localSheetId="10" hidden="1">#REF!</definedName>
    <definedName name="XRefPaste3Row" localSheetId="7" hidden="1">#REF!</definedName>
    <definedName name="XRefPaste3Row" hidden="1">#REF!</definedName>
    <definedName name="XRefPaste4" localSheetId="6" hidden="1">#REF!</definedName>
    <definedName name="XRefPaste4" localSheetId="10" hidden="1">#REF!</definedName>
    <definedName name="XRefPaste4" localSheetId="7" hidden="1">#REF!</definedName>
    <definedName name="XRefPaste4" hidden="1">#REF!</definedName>
    <definedName name="XRefPaste45" localSheetId="6" hidden="1">#REF!</definedName>
    <definedName name="XRefPaste45" localSheetId="10" hidden="1">#REF!</definedName>
    <definedName name="XRefPaste45" localSheetId="7" hidden="1">#REF!</definedName>
    <definedName name="XRefPaste45" hidden="1">#REF!</definedName>
    <definedName name="XRefPaste4Row" localSheetId="6" hidden="1">#REF!</definedName>
    <definedName name="XRefPaste4Row" localSheetId="10" hidden="1">#REF!</definedName>
    <definedName name="XRefPaste4Row" localSheetId="7" hidden="1">#REF!</definedName>
    <definedName name="XRefPaste4Row" hidden="1">#REF!</definedName>
    <definedName name="XRefPaste5" localSheetId="6" hidden="1">#REF!</definedName>
    <definedName name="XRefPaste5" localSheetId="10" hidden="1">#REF!</definedName>
    <definedName name="XRefPaste5" localSheetId="7" hidden="1">#REF!</definedName>
    <definedName name="XRefPaste5" hidden="1">#REF!</definedName>
    <definedName name="XRefPaste56Row" localSheetId="6" hidden="1">#REF!</definedName>
    <definedName name="XRefPaste56Row" localSheetId="10" hidden="1">#REF!</definedName>
    <definedName name="XRefPaste56Row" localSheetId="7" hidden="1">#REF!</definedName>
    <definedName name="XRefPaste56Row" hidden="1">#REF!</definedName>
    <definedName name="XRefPaste57Row" localSheetId="6" hidden="1">#REF!</definedName>
    <definedName name="XRefPaste57Row" localSheetId="10" hidden="1">#REF!</definedName>
    <definedName name="XRefPaste57Row" localSheetId="7" hidden="1">#REF!</definedName>
    <definedName name="XRefPaste57Row" hidden="1">#REF!</definedName>
    <definedName name="XRefPaste59Row" localSheetId="6" hidden="1">#REF!</definedName>
    <definedName name="XRefPaste59Row" localSheetId="10" hidden="1">#REF!</definedName>
    <definedName name="XRefPaste59Row" localSheetId="7" hidden="1">#REF!</definedName>
    <definedName name="XRefPaste59Row" hidden="1">#REF!</definedName>
    <definedName name="XRefPaste5Row" localSheetId="6" hidden="1">#REF!</definedName>
    <definedName name="XRefPaste5Row" localSheetId="10" hidden="1">#REF!</definedName>
    <definedName name="XRefPaste5Row" localSheetId="7" hidden="1">#REF!</definedName>
    <definedName name="XRefPaste5Row" hidden="1">#REF!</definedName>
    <definedName name="XRefPaste6" localSheetId="6" hidden="1">#REF!</definedName>
    <definedName name="XRefPaste6" localSheetId="10" hidden="1">#REF!</definedName>
    <definedName name="XRefPaste6" localSheetId="7" hidden="1">#REF!</definedName>
    <definedName name="XRefPaste6" hidden="1">#REF!</definedName>
    <definedName name="XRefPaste62Row" localSheetId="6" hidden="1">#REF!</definedName>
    <definedName name="XRefPaste62Row" localSheetId="10" hidden="1">#REF!</definedName>
    <definedName name="XRefPaste62Row" localSheetId="7" hidden="1">#REF!</definedName>
    <definedName name="XRefPaste62Row" hidden="1">#REF!</definedName>
    <definedName name="XRefPaste63Row" localSheetId="6" hidden="1">#REF!</definedName>
    <definedName name="XRefPaste63Row" localSheetId="10" hidden="1">#REF!</definedName>
    <definedName name="XRefPaste63Row" localSheetId="7" hidden="1">#REF!</definedName>
    <definedName name="XRefPaste63Row" hidden="1">#REF!</definedName>
    <definedName name="XRefPaste64Row" localSheetId="6" hidden="1">#REF!</definedName>
    <definedName name="XRefPaste64Row" localSheetId="10" hidden="1">#REF!</definedName>
    <definedName name="XRefPaste64Row" localSheetId="7" hidden="1">#REF!</definedName>
    <definedName name="XRefPaste64Row" hidden="1">#REF!</definedName>
    <definedName name="XRefPaste65Row" localSheetId="6" hidden="1">#REF!</definedName>
    <definedName name="XRefPaste65Row" localSheetId="10" hidden="1">#REF!</definedName>
    <definedName name="XRefPaste65Row" localSheetId="7" hidden="1">#REF!</definedName>
    <definedName name="XRefPaste65Row" hidden="1">#REF!</definedName>
    <definedName name="XRefPaste67Row" localSheetId="6" hidden="1">#REF!</definedName>
    <definedName name="XRefPaste67Row" localSheetId="10" hidden="1">#REF!</definedName>
    <definedName name="XRefPaste67Row" localSheetId="7" hidden="1">#REF!</definedName>
    <definedName name="XRefPaste67Row" hidden="1">#REF!</definedName>
    <definedName name="XRefPaste68Row" localSheetId="6" hidden="1">#REF!</definedName>
    <definedName name="XRefPaste68Row" localSheetId="10" hidden="1">#REF!</definedName>
    <definedName name="XRefPaste68Row" localSheetId="7" hidden="1">#REF!</definedName>
    <definedName name="XRefPaste68Row" hidden="1">#REF!</definedName>
    <definedName name="XRefPaste69Row" localSheetId="6" hidden="1">#REF!</definedName>
    <definedName name="XRefPaste69Row" localSheetId="10" hidden="1">#REF!</definedName>
    <definedName name="XRefPaste69Row" localSheetId="7" hidden="1">#REF!</definedName>
    <definedName name="XRefPaste69Row" hidden="1">#REF!</definedName>
    <definedName name="XRefPaste6Row" localSheetId="6" hidden="1">#REF!</definedName>
    <definedName name="XRefPaste6Row" localSheetId="10" hidden="1">#REF!</definedName>
    <definedName name="XRefPaste6Row" localSheetId="7" hidden="1">#REF!</definedName>
    <definedName name="XRefPaste6Row" hidden="1">#REF!</definedName>
    <definedName name="XRefPaste7" localSheetId="6" hidden="1">#REF!</definedName>
    <definedName name="XRefPaste7" localSheetId="10" hidden="1">#REF!</definedName>
    <definedName name="XRefPaste7" localSheetId="7" hidden="1">#REF!</definedName>
    <definedName name="XRefPaste7" hidden="1">#REF!</definedName>
    <definedName name="XRefPaste70Row" localSheetId="6" hidden="1">#REF!</definedName>
    <definedName name="XRefPaste70Row" localSheetId="10" hidden="1">#REF!</definedName>
    <definedName name="XRefPaste70Row" localSheetId="7" hidden="1">#REF!</definedName>
    <definedName name="XRefPaste70Row" hidden="1">#REF!</definedName>
    <definedName name="XRefPaste71Row" localSheetId="6" hidden="1">#REF!</definedName>
    <definedName name="XRefPaste71Row" localSheetId="10" hidden="1">#REF!</definedName>
    <definedName name="XRefPaste71Row" localSheetId="7" hidden="1">#REF!</definedName>
    <definedName name="XRefPaste71Row" hidden="1">#REF!</definedName>
    <definedName name="XRefPaste75Row" localSheetId="6" hidden="1">#REF!</definedName>
    <definedName name="XRefPaste75Row" localSheetId="10" hidden="1">#REF!</definedName>
    <definedName name="XRefPaste75Row" localSheetId="7" hidden="1">#REF!</definedName>
    <definedName name="XRefPaste75Row" hidden="1">#REF!</definedName>
    <definedName name="XRefPaste7Row" localSheetId="6" hidden="1">#REF!</definedName>
    <definedName name="XRefPaste7Row" localSheetId="10" hidden="1">#REF!</definedName>
    <definedName name="XRefPaste7Row" localSheetId="7" hidden="1">#REF!</definedName>
    <definedName name="XRefPaste7Row" hidden="1">#REF!</definedName>
    <definedName name="XRefPaste8" localSheetId="6" hidden="1">#REF!</definedName>
    <definedName name="XRefPaste8" localSheetId="10" hidden="1">#REF!</definedName>
    <definedName name="XRefPaste8" localSheetId="7" hidden="1">#REF!</definedName>
    <definedName name="XRefPaste8" hidden="1">#REF!</definedName>
    <definedName name="XRefPaste9" localSheetId="6" hidden="1">#REF!</definedName>
    <definedName name="XRefPaste9" localSheetId="10" hidden="1">#REF!</definedName>
    <definedName name="XRefPaste9" localSheetId="7" hidden="1">#REF!</definedName>
    <definedName name="XRefPaste9" hidden="1">#REF!</definedName>
    <definedName name="XRefPaste99Row" localSheetId="6" hidden="1">#REF!</definedName>
    <definedName name="XRefPaste99Row" localSheetId="10" hidden="1">#REF!</definedName>
    <definedName name="XRefPaste99Row" localSheetId="7" hidden="1">#REF!</definedName>
    <definedName name="XRefPaste99Row" hidden="1">#REF!</definedName>
    <definedName name="XRefPasteRangeCount" hidden="1">35</definedName>
    <definedName name="Z" localSheetId="6">#REF!</definedName>
    <definedName name="Z" localSheetId="10">#REF!</definedName>
    <definedName name="Z" localSheetId="7">#REF!</definedName>
    <definedName name="Z">#REF!</definedName>
    <definedName name="Z_1" localSheetId="6">#REF!</definedName>
    <definedName name="Z_1" localSheetId="10">#REF!</definedName>
    <definedName name="Z_1" localSheetId="7">#REF!</definedName>
    <definedName name="Z_1">#REF!</definedName>
    <definedName name="Z_3" localSheetId="6">#REF!</definedName>
    <definedName name="Z_3" localSheetId="10">#REF!</definedName>
    <definedName name="Z_3" localSheetId="7">#REF!</definedName>
    <definedName name="Z_3">#REF!</definedName>
    <definedName name="Z_4AE9E9F1_0866_46A2_A847_9E6C7D59DA97_.wvu.Cols" localSheetId="10" hidden="1">'RECEITA LIQUIDA - MI E ME.'!$D:$K</definedName>
    <definedName name="Z_738AB987_2A5E_430A_806B_07241F9ED8EB_.wvu.Cols" localSheetId="10" hidden="1">'RECEITA LIQUIDA - MI E ME.'!$D:$K</definedName>
    <definedName name="Z_D782BDF8_7D1D_4B25_B396_00A7F5D2C87F_.wvu.Cols" localSheetId="10" hidden="1">'RECEITA LIQUIDA - MI E ME.'!$D:$K</definedName>
    <definedName name="Z757Z120" localSheetId="6">#REF!</definedName>
    <definedName name="Z757Z120" localSheetId="10">#REF!</definedName>
    <definedName name="Z757Z120" localSheetId="7">#REF!</definedName>
    <definedName name="Z757Z120">#REF!</definedName>
    <definedName name="ZZ" localSheetId="6">#REF!</definedName>
    <definedName name="ZZ" localSheetId="10">#REF!</definedName>
    <definedName name="ZZ" localSheetId="7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10" i="61" l="1"/>
  <c r="BJ11" i="61"/>
  <c r="M6" i="78"/>
  <c r="BJ10" i="75"/>
  <c r="AT12" i="79"/>
  <c r="AT11" i="79"/>
  <c r="BZ27" i="76"/>
  <c r="BZ8" i="76"/>
  <c r="BZ29" i="76"/>
  <c r="BZ28" i="76"/>
  <c r="BZ26" i="76"/>
  <c r="BZ25" i="76"/>
  <c r="BZ24" i="76"/>
  <c r="BZ23" i="76"/>
  <c r="BZ22" i="76"/>
  <c r="BZ21" i="76"/>
  <c r="BZ20" i="76"/>
  <c r="BZ18" i="76"/>
  <c r="BZ17" i="76"/>
  <c r="BZ16" i="76"/>
  <c r="BZ15" i="76"/>
  <c r="BZ14" i="76"/>
  <c r="BZ13" i="76"/>
  <c r="BZ12" i="76"/>
  <c r="BZ11" i="76"/>
  <c r="BZ10" i="76"/>
  <c r="BZ9" i="76"/>
  <c r="BJ32" i="76"/>
  <c r="BJ19" i="61" s="1"/>
  <c r="BJ30" i="76"/>
  <c r="BJ19" i="76"/>
  <c r="BJ9" i="31"/>
  <c r="BJ8" i="31"/>
  <c r="BJ20" i="82"/>
  <c r="BJ21" i="82" s="1"/>
  <c r="BJ18" i="82"/>
  <c r="BJ19" i="82" s="1"/>
  <c r="BJ8" i="82"/>
  <c r="BJ9" i="82" s="1"/>
  <c r="BJ64" i="19"/>
  <c r="BJ72" i="19" s="1"/>
  <c r="BZ67" i="19"/>
  <c r="BY67" i="19"/>
  <c r="BJ61" i="19"/>
  <c r="BJ36" i="19"/>
  <c r="BJ30" i="19"/>
  <c r="BJ10" i="19"/>
  <c r="BZ78" i="19"/>
  <c r="BZ71" i="19"/>
  <c r="BZ70" i="19"/>
  <c r="BZ69" i="19"/>
  <c r="BZ68" i="19"/>
  <c r="BZ66" i="19"/>
  <c r="BZ65" i="19"/>
  <c r="BZ63" i="19"/>
  <c r="BZ62" i="19"/>
  <c r="BZ60" i="19"/>
  <c r="BZ59" i="19"/>
  <c r="BZ58" i="19"/>
  <c r="BZ57" i="19"/>
  <c r="BZ56" i="19"/>
  <c r="BZ55" i="19"/>
  <c r="BZ54" i="19"/>
  <c r="BZ53" i="19"/>
  <c r="BZ52" i="19"/>
  <c r="BZ51" i="19"/>
  <c r="BZ50" i="19"/>
  <c r="BZ48" i="19"/>
  <c r="BZ47" i="19"/>
  <c r="BZ46" i="19"/>
  <c r="BZ45" i="19"/>
  <c r="BZ44" i="19"/>
  <c r="BZ43" i="19"/>
  <c r="BZ42" i="19"/>
  <c r="BZ41" i="19"/>
  <c r="BZ40" i="19"/>
  <c r="BZ39" i="19"/>
  <c r="BZ38" i="19"/>
  <c r="BZ37" i="19"/>
  <c r="BZ35" i="19"/>
  <c r="BZ34" i="19"/>
  <c r="BZ33" i="19"/>
  <c r="BZ32" i="19"/>
  <c r="BZ31" i="19"/>
  <c r="BZ29" i="19"/>
  <c r="BZ28" i="19"/>
  <c r="BZ27" i="19"/>
  <c r="BZ26" i="19"/>
  <c r="BZ25" i="19"/>
  <c r="BZ24" i="19"/>
  <c r="BZ23" i="19"/>
  <c r="BZ22" i="19"/>
  <c r="BZ21" i="19"/>
  <c r="BZ20" i="19"/>
  <c r="BZ19" i="19"/>
  <c r="BZ18" i="19"/>
  <c r="BZ17" i="19"/>
  <c r="BZ16" i="19"/>
  <c r="BZ15" i="19"/>
  <c r="BZ14" i="19"/>
  <c r="BZ13" i="19"/>
  <c r="BZ12" i="19"/>
  <c r="BZ11" i="19"/>
  <c r="BZ9" i="19"/>
  <c r="BZ80" i="17"/>
  <c r="BZ79" i="17"/>
  <c r="BZ78" i="17"/>
  <c r="BZ77" i="17"/>
  <c r="BZ76" i="17"/>
  <c r="BZ75" i="17"/>
  <c r="BZ74" i="17"/>
  <c r="BZ72" i="17"/>
  <c r="BZ71" i="17"/>
  <c r="BZ70" i="17"/>
  <c r="BZ69" i="17"/>
  <c r="BZ68" i="17"/>
  <c r="BZ67" i="17"/>
  <c r="BZ66" i="17"/>
  <c r="BZ65" i="17"/>
  <c r="BZ64" i="17"/>
  <c r="BZ63" i="17"/>
  <c r="BZ61" i="17"/>
  <c r="BZ60" i="17"/>
  <c r="BZ59" i="17"/>
  <c r="BZ58" i="17"/>
  <c r="BZ57" i="17"/>
  <c r="BZ56" i="17"/>
  <c r="BZ55" i="17"/>
  <c r="BZ54" i="17"/>
  <c r="BZ53" i="17"/>
  <c r="BZ52" i="17"/>
  <c r="BZ51" i="17"/>
  <c r="BZ50" i="17"/>
  <c r="BZ49" i="17"/>
  <c r="BZ48" i="17"/>
  <c r="BZ42" i="17"/>
  <c r="BZ41" i="17"/>
  <c r="BZ40" i="17"/>
  <c r="BZ39" i="17"/>
  <c r="BZ38" i="17"/>
  <c r="BZ37" i="17"/>
  <c r="BZ36" i="17"/>
  <c r="BZ35" i="17"/>
  <c r="BZ34" i="17"/>
  <c r="BZ33" i="17"/>
  <c r="BZ32" i="17"/>
  <c r="BZ31" i="17"/>
  <c r="BZ30" i="17"/>
  <c r="BZ29" i="17"/>
  <c r="BZ27" i="17"/>
  <c r="BZ26" i="17"/>
  <c r="BZ25" i="17"/>
  <c r="BZ24" i="17"/>
  <c r="BZ23" i="17"/>
  <c r="BZ22" i="17"/>
  <c r="BZ21" i="17"/>
  <c r="BZ20" i="17"/>
  <c r="BZ19" i="17"/>
  <c r="BZ18" i="17"/>
  <c r="BZ17" i="17"/>
  <c r="BZ16" i="17"/>
  <c r="BZ15" i="17"/>
  <c r="BZ14" i="17"/>
  <c r="BZ13" i="17"/>
  <c r="BZ12" i="17"/>
  <c r="BJ22" i="18"/>
  <c r="BJ7" i="31" s="1"/>
  <c r="BJ16" i="18"/>
  <c r="BJ19" i="18" s="1"/>
  <c r="BJ13" i="18"/>
  <c r="BJ6" i="82" s="1"/>
  <c r="BJ12" i="18"/>
  <c r="BJ10" i="61"/>
  <c r="BJ31" i="76" l="1"/>
  <c r="BZ31" i="76" s="1"/>
  <c r="BZ64" i="19"/>
  <c r="BJ10" i="82"/>
  <c r="BJ7" i="82"/>
  <c r="BZ32" i="76"/>
  <c r="BJ12" i="61"/>
  <c r="BJ15" i="61" s="1"/>
  <c r="BJ49" i="19"/>
  <c r="BJ74" i="19" s="1"/>
  <c r="BJ24" i="18"/>
  <c r="BJ33" i="76" l="1"/>
  <c r="BJ18" i="61" s="1"/>
  <c r="BJ29" i="18"/>
  <c r="BJ6" i="31" s="1"/>
  <c r="BJ13" i="61"/>
  <c r="BJ16" i="61" s="1"/>
  <c r="L6" i="78"/>
  <c r="AS12" i="79" l="1"/>
  <c r="AS11" i="79"/>
  <c r="BI11" i="61" l="1"/>
  <c r="BI10" i="61"/>
  <c r="BI10" i="75"/>
  <c r="BI32" i="76"/>
  <c r="BI19" i="61" s="1"/>
  <c r="BZ19" i="61" s="1"/>
  <c r="BI19" i="76"/>
  <c r="BI30" i="76"/>
  <c r="BY27" i="76"/>
  <c r="BI31" i="76" l="1"/>
  <c r="BI33" i="76" s="1"/>
  <c r="BI18" i="61" s="1"/>
  <c r="BZ18" i="61" s="1"/>
  <c r="BI12" i="61"/>
  <c r="BI15" i="61" s="1"/>
  <c r="BI9" i="31"/>
  <c r="BI8" i="31"/>
  <c r="BI19" i="82"/>
  <c r="BI21" i="82"/>
  <c r="BI9" i="82"/>
  <c r="BI7" i="82"/>
  <c r="BI10" i="82"/>
  <c r="BI72" i="19"/>
  <c r="BI61" i="19"/>
  <c r="BI36" i="19"/>
  <c r="BI30" i="19"/>
  <c r="BI10" i="19"/>
  <c r="BI22" i="18"/>
  <c r="BI7" i="31" s="1"/>
  <c r="BI12" i="18"/>
  <c r="BI16" i="18" s="1"/>
  <c r="BI19" i="18" s="1"/>
  <c r="BI24" i="18" s="1"/>
  <c r="BI49" i="19" l="1"/>
  <c r="BI74" i="19" s="1"/>
  <c r="BI13" i="61"/>
  <c r="BI16" i="61" s="1"/>
  <c r="BI29" i="18"/>
  <c r="BI6" i="31" s="1"/>
  <c r="AR12" i="79"/>
  <c r="AR11" i="79"/>
  <c r="BH20" i="61" l="1"/>
  <c r="BH11" i="61"/>
  <c r="BH10" i="61"/>
  <c r="BH12" i="61" s="1"/>
  <c r="BH15" i="61" s="1"/>
  <c r="BZ9" i="75"/>
  <c r="BZ8" i="75"/>
  <c r="BZ7" i="75"/>
  <c r="BZ6" i="75"/>
  <c r="BZ5" i="75"/>
  <c r="BH10" i="75"/>
  <c r="BH32" i="76"/>
  <c r="BH19" i="61" s="1"/>
  <c r="BH29" i="76"/>
  <c r="BH30" i="76" s="1"/>
  <c r="BH14" i="76"/>
  <c r="BH19" i="76" s="1"/>
  <c r="BH10" i="31"/>
  <c r="BH9" i="31"/>
  <c r="BZ9" i="31" s="1"/>
  <c r="BH8" i="31"/>
  <c r="BZ8" i="31" s="1"/>
  <c r="BK11" i="31"/>
  <c r="BH20" i="82"/>
  <c r="BH21" i="82" s="1"/>
  <c r="BH18" i="82"/>
  <c r="BH19" i="82" s="1"/>
  <c r="BK22" i="82"/>
  <c r="BJ22" i="82"/>
  <c r="BI22" i="82"/>
  <c r="BI10" i="31" l="1"/>
  <c r="BI11" i="31" s="1"/>
  <c r="BI14" i="61" s="1"/>
  <c r="BI17" i="61" s="1"/>
  <c r="BI20" i="61"/>
  <c r="BJ20" i="61" s="1"/>
  <c r="BH31" i="76"/>
  <c r="BH33" i="76" s="1"/>
  <c r="BH18" i="61" s="1"/>
  <c r="BH22" i="82"/>
  <c r="BJ10" i="31" l="1"/>
  <c r="BJ11" i="31" s="1"/>
  <c r="BJ14" i="61" s="1"/>
  <c r="BJ17" i="61" s="1"/>
  <c r="BZ20" i="61"/>
  <c r="BH8" i="82"/>
  <c r="BH6" i="82"/>
  <c r="BZ20" i="82"/>
  <c r="BZ18" i="82"/>
  <c r="BH77" i="19"/>
  <c r="BH80" i="19" s="1"/>
  <c r="BH61" i="19"/>
  <c r="BH36" i="19"/>
  <c r="BH30" i="19"/>
  <c r="BH10" i="19"/>
  <c r="BZ73" i="17"/>
  <c r="BZ28" i="17"/>
  <c r="BZ10" i="31" l="1"/>
  <c r="BZ8" i="82"/>
  <c r="BH9" i="82"/>
  <c r="BZ6" i="82"/>
  <c r="BH7" i="82"/>
  <c r="BH10" i="82"/>
  <c r="BZ62" i="17"/>
  <c r="BZ47" i="17"/>
  <c r="BZ11" i="17"/>
  <c r="BZ43" i="17" s="1"/>
  <c r="BI77" i="19"/>
  <c r="BI80" i="19" s="1"/>
  <c r="BJ77" i="19"/>
  <c r="BJ80" i="19" s="1"/>
  <c r="BK77" i="19"/>
  <c r="BH49" i="19"/>
  <c r="BK73" i="17"/>
  <c r="BJ73" i="17"/>
  <c r="BI73" i="17"/>
  <c r="BH73" i="17"/>
  <c r="BK62" i="17"/>
  <c r="BJ62" i="17"/>
  <c r="BI62" i="17"/>
  <c r="BH62" i="17"/>
  <c r="BK47" i="17"/>
  <c r="BJ47" i="17"/>
  <c r="BI47" i="17"/>
  <c r="BH47" i="17"/>
  <c r="BK28" i="17"/>
  <c r="BJ28" i="17"/>
  <c r="BI28" i="17"/>
  <c r="BH28" i="17"/>
  <c r="BK11" i="17"/>
  <c r="BJ11" i="17"/>
  <c r="BI11" i="17"/>
  <c r="BH11" i="17"/>
  <c r="BK43" i="17" l="1"/>
  <c r="BZ81" i="17"/>
  <c r="BI43" i="17"/>
  <c r="BJ81" i="17"/>
  <c r="BI81" i="17"/>
  <c r="BK81" i="17"/>
  <c r="BJ43" i="17"/>
  <c r="BH81" i="17"/>
  <c r="BH43" i="17"/>
  <c r="BZ8" i="18" l="1"/>
  <c r="BZ10" i="18"/>
  <c r="BZ21" i="18"/>
  <c r="BZ20" i="18"/>
  <c r="BZ18" i="18"/>
  <c r="BZ17" i="18"/>
  <c r="BZ15" i="18"/>
  <c r="BZ14" i="18"/>
  <c r="BZ13" i="18"/>
  <c r="BH22" i="18"/>
  <c r="BH12" i="18"/>
  <c r="BH16" i="18" s="1"/>
  <c r="BH19" i="18" s="1"/>
  <c r="AA13" i="80"/>
  <c r="Z13" i="80"/>
  <c r="Y13" i="80"/>
  <c r="X13" i="80"/>
  <c r="AG7" i="80"/>
  <c r="AG6" i="80"/>
  <c r="X8" i="80"/>
  <c r="X15" i="80" s="1"/>
  <c r="AA8" i="80"/>
  <c r="AA15" i="80" s="1"/>
  <c r="Z8" i="80"/>
  <c r="Z14" i="80" s="1"/>
  <c r="Y8" i="80"/>
  <c r="Y14" i="80" s="1"/>
  <c r="BK8" i="77"/>
  <c r="BK7" i="77"/>
  <c r="BK6" i="77"/>
  <c r="BK5" i="77"/>
  <c r="AY9" i="77"/>
  <c r="AX9" i="77"/>
  <c r="AW9" i="77"/>
  <c r="AV9" i="77"/>
  <c r="BZ7" i="76"/>
  <c r="BZ6" i="76"/>
  <c r="BZ22" i="82"/>
  <c r="BZ10" i="82"/>
  <c r="BK17" i="82"/>
  <c r="BJ17" i="82"/>
  <c r="BI17" i="82"/>
  <c r="BH17" i="82"/>
  <c r="BZ77" i="19"/>
  <c r="BZ11" i="61"/>
  <c r="BF17" i="61"/>
  <c r="BF16" i="61"/>
  <c r="BF15" i="61"/>
  <c r="BG20" i="61"/>
  <c r="BY20" i="61" s="1"/>
  <c r="BG77" i="19"/>
  <c r="BG80" i="19" s="1"/>
  <c r="BG64" i="19"/>
  <c r="BF80" i="19"/>
  <c r="BY78" i="19"/>
  <c r="BY71" i="19"/>
  <c r="BY70" i="19"/>
  <c r="BY69" i="19"/>
  <c r="BY68" i="19"/>
  <c r="BY66" i="19"/>
  <c r="BY65" i="19"/>
  <c r="BY63" i="19"/>
  <c r="BY62" i="19"/>
  <c r="BY60" i="19"/>
  <c r="BY59" i="19"/>
  <c r="BY58" i="19"/>
  <c r="BY57" i="19"/>
  <c r="BY56" i="19"/>
  <c r="BY55" i="19"/>
  <c r="BY54" i="19"/>
  <c r="BY53" i="19"/>
  <c r="BY52" i="19"/>
  <c r="BY51" i="19"/>
  <c r="BY50" i="19"/>
  <c r="BY48" i="19"/>
  <c r="BY47" i="19"/>
  <c r="BY46" i="19"/>
  <c r="BY45" i="19"/>
  <c r="BY44" i="19"/>
  <c r="BY43" i="19"/>
  <c r="BY42" i="19"/>
  <c r="BY41" i="19"/>
  <c r="BY40" i="19"/>
  <c r="BY39" i="19"/>
  <c r="BY38" i="19"/>
  <c r="BY37" i="19"/>
  <c r="BY35" i="19"/>
  <c r="BY34" i="19"/>
  <c r="BY33" i="19"/>
  <c r="BY32" i="19"/>
  <c r="BY31" i="19"/>
  <c r="BY29" i="19"/>
  <c r="BY28" i="19"/>
  <c r="BY27" i="19"/>
  <c r="BY26" i="19"/>
  <c r="BY25" i="19"/>
  <c r="BY20" i="19"/>
  <c r="BY24" i="19"/>
  <c r="BY23" i="19"/>
  <c r="BY22" i="19"/>
  <c r="BY21" i="19"/>
  <c r="BY16" i="19"/>
  <c r="BY15" i="19"/>
  <c r="BY14" i="19"/>
  <c r="BY13" i="19"/>
  <c r="BY12" i="19"/>
  <c r="BY19" i="19"/>
  <c r="BY18" i="19"/>
  <c r="BY17" i="19"/>
  <c r="BY11" i="19"/>
  <c r="BY9" i="19"/>
  <c r="BF72" i="19"/>
  <c r="BG61" i="19"/>
  <c r="BF61" i="19"/>
  <c r="BG36" i="19"/>
  <c r="BF36" i="19"/>
  <c r="BG30" i="19"/>
  <c r="BF30" i="19"/>
  <c r="BG10" i="19"/>
  <c r="BF10" i="19"/>
  <c r="BG22" i="82"/>
  <c r="BY20" i="82"/>
  <c r="BY18" i="82"/>
  <c r="BY8" i="82"/>
  <c r="BY6" i="82"/>
  <c r="BY10" i="31"/>
  <c r="BY6" i="31"/>
  <c r="BY28" i="76"/>
  <c r="BY26" i="76"/>
  <c r="BY25" i="76"/>
  <c r="BY24" i="76"/>
  <c r="BY23" i="76"/>
  <c r="BY22" i="76"/>
  <c r="BY21" i="76"/>
  <c r="BY20" i="76"/>
  <c r="BY18" i="76"/>
  <c r="BY17" i="76"/>
  <c r="BY16" i="76"/>
  <c r="BY15" i="76"/>
  <c r="BY13" i="76"/>
  <c r="BY12" i="76"/>
  <c r="BY11" i="76"/>
  <c r="BY10" i="76"/>
  <c r="BY7" i="76"/>
  <c r="BY6" i="76"/>
  <c r="BG29" i="76"/>
  <c r="BY29" i="76" s="1"/>
  <c r="BG14" i="76"/>
  <c r="BY14" i="76" s="1"/>
  <c r="BG9" i="76"/>
  <c r="BY9" i="76" s="1"/>
  <c r="BY22" i="82" l="1"/>
  <c r="BY64" i="19"/>
  <c r="BY72" i="19" s="1"/>
  <c r="BH72" i="19"/>
  <c r="BH74" i="19" s="1"/>
  <c r="BH24" i="18"/>
  <c r="BH7" i="31"/>
  <c r="BZ7" i="31" s="1"/>
  <c r="Z15" i="80"/>
  <c r="Y15" i="80"/>
  <c r="BZ22" i="18"/>
  <c r="BZ12" i="18"/>
  <c r="BZ16" i="18" s="1"/>
  <c r="BZ19" i="18" s="1"/>
  <c r="BZ9" i="82"/>
  <c r="BZ7" i="82"/>
  <c r="BZ19" i="82"/>
  <c r="BZ21" i="82"/>
  <c r="BZ12" i="61"/>
  <c r="BZ15" i="61" s="1"/>
  <c r="BK9" i="77"/>
  <c r="BZ10" i="75"/>
  <c r="BZ33" i="76"/>
  <c r="BZ30" i="76"/>
  <c r="BZ19" i="76"/>
  <c r="BZ80" i="19"/>
  <c r="BZ72" i="19"/>
  <c r="BZ61" i="19"/>
  <c r="BZ36" i="19"/>
  <c r="BZ30" i="19"/>
  <c r="BZ10" i="19"/>
  <c r="AG8" i="80"/>
  <c r="AG15" i="80" s="1"/>
  <c r="X14" i="80"/>
  <c r="AA14" i="80"/>
  <c r="AA16" i="80" s="1"/>
  <c r="BY10" i="82"/>
  <c r="BG72" i="19"/>
  <c r="BY30" i="76"/>
  <c r="BY19" i="76"/>
  <c r="BY77" i="19"/>
  <c r="BY80" i="19" s="1"/>
  <c r="BF49" i="19"/>
  <c r="BF74" i="19" s="1"/>
  <c r="BY10" i="19"/>
  <c r="BY30" i="19"/>
  <c r="BY61" i="19"/>
  <c r="BY36" i="19"/>
  <c r="BG49" i="19"/>
  <c r="BG30" i="76"/>
  <c r="BG19" i="76"/>
  <c r="AQ12" i="79"/>
  <c r="AQ11" i="79"/>
  <c r="BG8" i="75"/>
  <c r="BY8" i="75" s="1"/>
  <c r="BG7" i="75"/>
  <c r="BY7" i="75" s="1"/>
  <c r="BG6" i="75"/>
  <c r="BY6" i="75" s="1"/>
  <c r="BG9" i="75"/>
  <c r="BG5" i="75"/>
  <c r="BY5" i="75" s="1"/>
  <c r="AT9" i="77"/>
  <c r="AS9" i="77"/>
  <c r="AR9" i="77"/>
  <c r="BJ8" i="77"/>
  <c r="BJ7" i="77"/>
  <c r="BJ6" i="77"/>
  <c r="BJ5" i="77"/>
  <c r="AU9" i="77"/>
  <c r="AF7" i="80"/>
  <c r="AF6" i="80"/>
  <c r="BH29" i="18" l="1"/>
  <c r="BH6" i="31" s="1"/>
  <c r="BH13" i="61"/>
  <c r="BZ24" i="18"/>
  <c r="BZ29" i="18" s="1"/>
  <c r="BZ49" i="19"/>
  <c r="BZ74" i="19" s="1"/>
  <c r="AG14" i="80"/>
  <c r="AG16" i="80" s="1"/>
  <c r="BG74" i="19"/>
  <c r="BY49" i="19"/>
  <c r="BY74" i="19" s="1"/>
  <c r="BG31" i="76"/>
  <c r="BG10" i="75"/>
  <c r="BY9" i="75"/>
  <c r="BJ9" i="77"/>
  <c r="AF8" i="80"/>
  <c r="AF14" i="80" s="1"/>
  <c r="BH16" i="61" l="1"/>
  <c r="BZ13" i="61"/>
  <c r="BZ16" i="61" s="1"/>
  <c r="BZ6" i="31"/>
  <c r="BZ11" i="31" s="1"/>
  <c r="BH11" i="31"/>
  <c r="BH14" i="61" s="1"/>
  <c r="M7" i="78"/>
  <c r="M8" i="78" s="1"/>
  <c r="AF15" i="80"/>
  <c r="AF16" i="80" s="1"/>
  <c r="BY31" i="76"/>
  <c r="BY10" i="75"/>
  <c r="BH17" i="61" l="1"/>
  <c r="BZ14" i="61"/>
  <c r="BZ17" i="61" s="1"/>
  <c r="BY13" i="18"/>
  <c r="BG13" i="18" s="1"/>
  <c r="BY22" i="18"/>
  <c r="BY12" i="18"/>
  <c r="BG27" i="18"/>
  <c r="BG21" i="18"/>
  <c r="BG20" i="18"/>
  <c r="BG18" i="18"/>
  <c r="BG8" i="31" s="1"/>
  <c r="BY8" i="31" s="1"/>
  <c r="BG17" i="18"/>
  <c r="BG9" i="31" s="1"/>
  <c r="BY9" i="31" s="1"/>
  <c r="BG15" i="18"/>
  <c r="BG14" i="18"/>
  <c r="BG10" i="18"/>
  <c r="BG11" i="61" s="1"/>
  <c r="BY11" i="61" s="1"/>
  <c r="BG8" i="18"/>
  <c r="BG10" i="61" s="1"/>
  <c r="BX21" i="17"/>
  <c r="BX23" i="17"/>
  <c r="BW21" i="17"/>
  <c r="BW23" i="17"/>
  <c r="BX31" i="17"/>
  <c r="BX35" i="17"/>
  <c r="BX37" i="17"/>
  <c r="BW31" i="17"/>
  <c r="BW35" i="17"/>
  <c r="BW37" i="17"/>
  <c r="BD21" i="17"/>
  <c r="BD11" i="17" s="1"/>
  <c r="BE21" i="17"/>
  <c r="BE23" i="17"/>
  <c r="BD23" i="17"/>
  <c r="BA21" i="17"/>
  <c r="BB21" i="17"/>
  <c r="BC21" i="17"/>
  <c r="BC23" i="17"/>
  <c r="BB23" i="17"/>
  <c r="BA23" i="17"/>
  <c r="AZ21" i="17"/>
  <c r="AZ23" i="17"/>
  <c r="AY21" i="17"/>
  <c r="AY23" i="17"/>
  <c r="AY11" i="17" s="1"/>
  <c r="BC31" i="17"/>
  <c r="BC35" i="17"/>
  <c r="BC37" i="17"/>
  <c r="BB31" i="17"/>
  <c r="BB35" i="17"/>
  <c r="BB37" i="17"/>
  <c r="BA31" i="17"/>
  <c r="BA35" i="17"/>
  <c r="BA37" i="17"/>
  <c r="AZ31" i="17"/>
  <c r="AZ35" i="17"/>
  <c r="AZ37" i="17"/>
  <c r="AY31" i="17"/>
  <c r="AY35" i="17"/>
  <c r="AY37" i="17"/>
  <c r="AX31" i="17"/>
  <c r="AX35" i="17"/>
  <c r="AX37" i="17"/>
  <c r="AW31" i="17"/>
  <c r="AW35" i="17"/>
  <c r="AW37" i="17"/>
  <c r="AV31" i="17"/>
  <c r="AV35" i="17"/>
  <c r="AV37" i="17"/>
  <c r="BC73" i="17"/>
  <c r="BB73" i="17"/>
  <c r="BA73" i="17"/>
  <c r="AZ73" i="17"/>
  <c r="AY73" i="17"/>
  <c r="AX73" i="17"/>
  <c r="AW73" i="17"/>
  <c r="AV73" i="17"/>
  <c r="BC62" i="17"/>
  <c r="BB62" i="17"/>
  <c r="BA62" i="17"/>
  <c r="AZ62" i="17"/>
  <c r="AY62" i="17"/>
  <c r="AX62" i="17"/>
  <c r="AW62" i="17"/>
  <c r="AV62" i="17"/>
  <c r="BC47" i="17"/>
  <c r="BB47" i="17"/>
  <c r="BA47" i="17"/>
  <c r="AZ47" i="17"/>
  <c r="AY47" i="17"/>
  <c r="AX47" i="17"/>
  <c r="AW47" i="17"/>
  <c r="AV47" i="17"/>
  <c r="AX23" i="17"/>
  <c r="AX21" i="17"/>
  <c r="AW21" i="17"/>
  <c r="AW23" i="17"/>
  <c r="AV21" i="17"/>
  <c r="AV23" i="17"/>
  <c r="BD31" i="17"/>
  <c r="BD35" i="17"/>
  <c r="BD37" i="17"/>
  <c r="BE31" i="17"/>
  <c r="BE35" i="17"/>
  <c r="BE37" i="17"/>
  <c r="BF31" i="17"/>
  <c r="BF35" i="17"/>
  <c r="BF37" i="17"/>
  <c r="BF73" i="17"/>
  <c r="BE73" i="17"/>
  <c r="BD73" i="17"/>
  <c r="BF62" i="17"/>
  <c r="BE62" i="17"/>
  <c r="BD62" i="17"/>
  <c r="BF47" i="17"/>
  <c r="BE47" i="17"/>
  <c r="BD47" i="17"/>
  <c r="BF21" i="17"/>
  <c r="BF23" i="17"/>
  <c r="BG62" i="17"/>
  <c r="BG73" i="17"/>
  <c r="BG47" i="17"/>
  <c r="BG28" i="17"/>
  <c r="BG11" i="17"/>
  <c r="BY12" i="17"/>
  <c r="BY80" i="17"/>
  <c r="BY79" i="17"/>
  <c r="BY77" i="17"/>
  <c r="BY75" i="17"/>
  <c r="BY78" i="17"/>
  <c r="BY76" i="17"/>
  <c r="BY74" i="17"/>
  <c r="BY71" i="17"/>
  <c r="BY72" i="17"/>
  <c r="BY70" i="17"/>
  <c r="BY69" i="17"/>
  <c r="BY68" i="17"/>
  <c r="BY67" i="17"/>
  <c r="BY66" i="17"/>
  <c r="BY65" i="17"/>
  <c r="BY63" i="17"/>
  <c r="BY64" i="17"/>
  <c r="BY61" i="17"/>
  <c r="BY59" i="17"/>
  <c r="BY60" i="17"/>
  <c r="BY58" i="17"/>
  <c r="BY57" i="17"/>
  <c r="BY56" i="17"/>
  <c r="BY55" i="17"/>
  <c r="BY54" i="17"/>
  <c r="BY53" i="17"/>
  <c r="BY52" i="17"/>
  <c r="BY51" i="17"/>
  <c r="BY50" i="17"/>
  <c r="BY49" i="17"/>
  <c r="BY48" i="17"/>
  <c r="BY42" i="17"/>
  <c r="BY41" i="17"/>
  <c r="BY40" i="17"/>
  <c r="BY39" i="17"/>
  <c r="BY38" i="17"/>
  <c r="BY37" i="17"/>
  <c r="BY36" i="17"/>
  <c r="BY35" i="17"/>
  <c r="BY34" i="17"/>
  <c r="BY33" i="17"/>
  <c r="BY32" i="17"/>
  <c r="BY31" i="17"/>
  <c r="BY30" i="17"/>
  <c r="BY29" i="17"/>
  <c r="BY27" i="17"/>
  <c r="BY26" i="17"/>
  <c r="BY25" i="17"/>
  <c r="BY24" i="17"/>
  <c r="BY23" i="17"/>
  <c r="BY22" i="17"/>
  <c r="BY21" i="17"/>
  <c r="BY20" i="17"/>
  <c r="BY19" i="17"/>
  <c r="BY18" i="17"/>
  <c r="BY17" i="17"/>
  <c r="BY16" i="17"/>
  <c r="BY15" i="17"/>
  <c r="BY14" i="17"/>
  <c r="BY13" i="17"/>
  <c r="BB28" i="17" l="1"/>
  <c r="BG22" i="18"/>
  <c r="BG7" i="31" s="1"/>
  <c r="BG11" i="31" s="1"/>
  <c r="BG14" i="61" s="1"/>
  <c r="BY10" i="61"/>
  <c r="BY12" i="61" s="1"/>
  <c r="BY15" i="61" s="1"/>
  <c r="BG12" i="61"/>
  <c r="BG15" i="61" s="1"/>
  <c r="BY16" i="18"/>
  <c r="BY19" i="18" s="1"/>
  <c r="BY24" i="18" s="1"/>
  <c r="BY29" i="18" s="1"/>
  <c r="BF11" i="17"/>
  <c r="BD81" i="17"/>
  <c r="AX11" i="17"/>
  <c r="AW11" i="17"/>
  <c r="BE81" i="17"/>
  <c r="BF81" i="17"/>
  <c r="AV11" i="17"/>
  <c r="BC11" i="17"/>
  <c r="BE28" i="17"/>
  <c r="AX81" i="17"/>
  <c r="AW81" i="17"/>
  <c r="BY62" i="17"/>
  <c r="AY81" i="17"/>
  <c r="AW28" i="17"/>
  <c r="AZ81" i="17"/>
  <c r="BC28" i="17"/>
  <c r="BB11" i="17"/>
  <c r="BB43" i="17" s="1"/>
  <c r="BG32" i="76"/>
  <c r="BC81" i="17"/>
  <c r="BG12" i="18"/>
  <c r="BG16" i="18" s="1"/>
  <c r="BG19" i="18" s="1"/>
  <c r="BG24" i="18" s="1"/>
  <c r="BB81" i="17"/>
  <c r="AV81" i="17"/>
  <c r="BA81" i="17"/>
  <c r="BE11" i="17"/>
  <c r="BA11" i="17"/>
  <c r="AZ11" i="17"/>
  <c r="BA28" i="17"/>
  <c r="AZ28" i="17"/>
  <c r="AY28" i="17"/>
  <c r="AY43" i="17" s="1"/>
  <c r="AX28" i="17"/>
  <c r="AV28" i="17"/>
  <c r="BD28" i="17"/>
  <c r="BD43" i="17" s="1"/>
  <c r="BF28" i="17"/>
  <c r="BF43" i="17" s="1"/>
  <c r="BY73" i="17"/>
  <c r="BG81" i="17"/>
  <c r="BY47" i="17"/>
  <c r="BY28" i="17"/>
  <c r="BG43" i="17"/>
  <c r="BY11" i="17"/>
  <c r="BE43" i="17" l="1"/>
  <c r="AX43" i="17"/>
  <c r="BY7" i="31"/>
  <c r="BY11" i="31" s="1"/>
  <c r="BG29" i="18"/>
  <c r="BG13" i="61"/>
  <c r="BY14" i="61"/>
  <c r="BY17" i="61" s="1"/>
  <c r="BG17" i="61"/>
  <c r="AW43" i="17"/>
  <c r="BC43" i="17"/>
  <c r="AV43" i="17"/>
  <c r="BY32" i="76"/>
  <c r="BY33" i="76" s="1"/>
  <c r="BG19" i="61"/>
  <c r="BY19" i="61" s="1"/>
  <c r="BG33" i="76"/>
  <c r="BG18" i="61" s="1"/>
  <c r="BY18" i="61" s="1"/>
  <c r="BA43" i="17"/>
  <c r="AZ43" i="17"/>
  <c r="BY81" i="17"/>
  <c r="BY43" i="17"/>
  <c r="BY13" i="61" l="1"/>
  <c r="BY16" i="61" s="1"/>
  <c r="BG16" i="61"/>
  <c r="W8" i="80"/>
  <c r="V8" i="80"/>
  <c r="U8" i="80"/>
  <c r="W14" i="80" l="1"/>
  <c r="W15" i="80"/>
  <c r="AP11" i="79"/>
  <c r="W16" i="80" l="1"/>
  <c r="AO11" i="79"/>
  <c r="AP12" i="79" s="1"/>
  <c r="L7" i="78" l="1"/>
  <c r="L8" i="78" s="1"/>
  <c r="M11" i="79" l="1"/>
  <c r="L11" i="79"/>
  <c r="K11" i="79"/>
  <c r="E11" i="79"/>
  <c r="D11" i="79"/>
  <c r="J11" i="79" l="1"/>
  <c r="M12" i="79" s="1"/>
  <c r="F11" i="79"/>
  <c r="N11" i="79"/>
  <c r="G11" i="79"/>
  <c r="O11" i="79"/>
  <c r="H11" i="79"/>
  <c r="I11" i="79"/>
  <c r="N12" i="79"/>
  <c r="Q11" i="79"/>
  <c r="R11" i="79"/>
  <c r="S11" i="79"/>
  <c r="T11" i="79"/>
  <c r="U11" i="79"/>
  <c r="V11" i="79"/>
  <c r="W11" i="79"/>
  <c r="X11" i="79"/>
  <c r="Y11" i="79"/>
  <c r="Z11" i="79"/>
  <c r="AA11" i="79"/>
  <c r="AB11" i="79"/>
  <c r="AB12" i="79" s="1"/>
  <c r="AC11" i="79"/>
  <c r="AD11" i="79"/>
  <c r="AE11" i="79"/>
  <c r="AF11" i="79"/>
  <c r="AG11" i="79"/>
  <c r="AH11" i="79"/>
  <c r="AI11" i="79"/>
  <c r="AJ11" i="79"/>
  <c r="AJ12" i="79" s="1"/>
  <c r="AK11" i="79"/>
  <c r="AL11" i="79"/>
  <c r="AO12" i="79" s="1"/>
  <c r="P11" i="79"/>
  <c r="AI12" i="79" l="1"/>
  <c r="AA12" i="79"/>
  <c r="S12" i="79"/>
  <c r="J12" i="79"/>
  <c r="T12" i="79"/>
  <c r="Q12" i="79"/>
  <c r="AF12" i="79"/>
  <c r="X12" i="79"/>
  <c r="AN12" i="79"/>
  <c r="O12" i="79"/>
  <c r="P12" i="79"/>
  <c r="I12" i="79"/>
  <c r="L12" i="79"/>
  <c r="R12" i="79"/>
  <c r="AH12" i="79"/>
  <c r="Z12" i="79"/>
  <c r="AG12" i="79"/>
  <c r="Y12" i="79"/>
  <c r="K12" i="79"/>
  <c r="H12" i="79"/>
  <c r="AE12" i="79"/>
  <c r="W12" i="79"/>
  <c r="AM12" i="79"/>
  <c r="AL12" i="79"/>
  <c r="AD12" i="79"/>
  <c r="V12" i="79"/>
  <c r="G12" i="79"/>
  <c r="AC12" i="79"/>
  <c r="U12" i="79"/>
  <c r="AK12" i="79"/>
  <c r="K7" i="78" l="1"/>
  <c r="K8" i="78" s="1"/>
</calcChain>
</file>

<file path=xl/sharedStrings.xml><?xml version="1.0" encoding="utf-8"?>
<sst xmlns="http://schemas.openxmlformats.org/spreadsheetml/2006/main" count="1857" uniqueCount="516">
  <si>
    <t/>
  </si>
  <si>
    <t>TOTAL</t>
  </si>
  <si>
    <t>Total</t>
  </si>
  <si>
    <t>1T20</t>
  </si>
  <si>
    <t>TI</t>
  </si>
  <si>
    <t>Aumento Capacidade Fabril</t>
  </si>
  <si>
    <t>Reformas/ Legislações - NRs</t>
  </si>
  <si>
    <t>Novos Produtos</t>
  </si>
  <si>
    <t>4T20</t>
  </si>
  <si>
    <t>1T21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</si>
  <si>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</si>
  <si>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</si>
  <si>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</si>
  <si>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</si>
  <si>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</si>
  <si>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</si>
  <si>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</si>
  <si>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</si>
  <si>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</si>
  <si>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</si>
  <si>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</si>
  <si>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</si>
  <si>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</si>
  <si>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</si>
  <si>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</si>
  <si>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</si>
  <si>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</si>
  <si>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</si>
  <si>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</si>
  <si>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</si>
  <si>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</si>
  <si>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</si>
  <si>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</si>
  <si>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</si>
  <si>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</si>
  <si>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</si>
  <si>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</si>
  <si>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</si>
  <si>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2T20</t>
  </si>
  <si>
    <t>3T20</t>
  </si>
  <si>
    <t>2T21</t>
  </si>
  <si>
    <t>3T21</t>
  </si>
  <si>
    <t>4T21</t>
  </si>
  <si>
    <t>ROIC</t>
  </si>
  <si>
    <r>
      <t>Provisão de</t>
    </r>
    <r>
      <rPr>
        <i/>
        <sz val="10"/>
        <rFont val="Arial"/>
        <family val="2"/>
      </rPr>
      <t xml:space="preserve"> impaiment </t>
    </r>
    <r>
      <rPr>
        <sz val="10"/>
        <rFont val="Arial"/>
        <family val="2"/>
      </rPr>
      <t>de ativo não circulante mantido para venda</t>
    </r>
  </si>
  <si>
    <t>NCE</t>
  </si>
  <si>
    <t>Imposto de renda e contribuição social diferidos</t>
  </si>
  <si>
    <t>4T10</t>
  </si>
  <si>
    <t>4T12</t>
  </si>
  <si>
    <t>3T12</t>
  </si>
  <si>
    <t>2T12</t>
  </si>
  <si>
    <t>1T12</t>
  </si>
  <si>
    <t>4T11</t>
  </si>
  <si>
    <t>3T11</t>
  </si>
  <si>
    <t>2T11</t>
  </si>
  <si>
    <t>1T11</t>
  </si>
  <si>
    <t>3T10</t>
  </si>
  <si>
    <t>2T10</t>
  </si>
  <si>
    <t>1T10</t>
  </si>
  <si>
    <t>LUCRO (PREJUIZO) LÍQUIDO DE OPERAÇÕES DESCONTINUADAS </t>
  </si>
  <si>
    <t>LUCRO (PREJUIZO) LÍQUIDO CONSOLIDADO</t>
  </si>
  <si>
    <t>Receita diferida</t>
  </si>
  <si>
    <t>Ganho(Perda) líquido em variação cambial</t>
  </si>
  <si>
    <t>Prejuízo antes dos impostos de operações descontinuadas</t>
  </si>
  <si>
    <t>Resultado na venda de ativos imobilizados</t>
  </si>
  <si>
    <t>Recebimento venda imobilizado</t>
  </si>
  <si>
    <t>(Redução) aumento receita diferida</t>
  </si>
  <si>
    <t>Desapropriação imóvel</t>
  </si>
  <si>
    <t>Ações em tesouraria</t>
  </si>
  <si>
    <t>Redução de capital</t>
  </si>
  <si>
    <t>Ações Preferenciais Classe B</t>
  </si>
  <si>
    <t>1T22</t>
  </si>
  <si>
    <t>Negócios Internacionais</t>
  </si>
  <si>
    <t>Portos &amp; Terminais</t>
  </si>
  <si>
    <t>Reposição &amp; Serviços</t>
  </si>
  <si>
    <t>2T22</t>
  </si>
  <si>
    <t>3T22</t>
  </si>
  <si>
    <t>4T22</t>
  </si>
  <si>
    <t>(A) Proventos</t>
  </si>
  <si>
    <t>(B) Lucro Líquido</t>
  </si>
  <si>
    <t>Payout (%)</t>
  </si>
  <si>
    <t>Cálculo de Payout</t>
  </si>
  <si>
    <t>Cálculo do ROIC</t>
  </si>
  <si>
    <t>Necessidade de Capital de Giro</t>
  </si>
  <si>
    <t>Investimento</t>
  </si>
  <si>
    <t>Imobilizado</t>
  </si>
  <si>
    <t>Intangível</t>
  </si>
  <si>
    <t>NOPAT</t>
  </si>
  <si>
    <t>CAPITAL INVESTIDO</t>
  </si>
  <si>
    <t>Ajuste de avaliação patrimonial</t>
  </si>
  <si>
    <t>CPR - Cédula de Produtor Rural</t>
  </si>
  <si>
    <t>1T23</t>
  </si>
  <si>
    <t>2T23</t>
  </si>
  <si>
    <t>3T23</t>
  </si>
  <si>
    <t>4T23</t>
  </si>
  <si>
    <t>Aquisição de controlada, líquido de caixa adquirido</t>
  </si>
  <si>
    <t>Fazendas</t>
  </si>
  <si>
    <t>CDCA - Certificado de Direitos Creditórios do Agronegócio</t>
  </si>
  <si>
    <t>Fornecedores</t>
  </si>
  <si>
    <t>Receita Líquida</t>
  </si>
  <si>
    <t>CPV</t>
  </si>
  <si>
    <t>Lucro Bruto</t>
  </si>
  <si>
    <t>Lucro/Prejuízo Líquido</t>
  </si>
  <si>
    <t>EBITDA</t>
  </si>
  <si>
    <t>Margem Bruta %</t>
  </si>
  <si>
    <t>Margem Líquida %</t>
  </si>
  <si>
    <t>Margem EBITDA %</t>
  </si>
  <si>
    <t>Disponibilidades (Circulante e Não circulante)</t>
  </si>
  <si>
    <t xml:space="preserve">Investimentos </t>
  </si>
  <si>
    <t>Principais Indicadores</t>
  </si>
  <si>
    <t>(Em milhares de reais, exceto porcentagens)</t>
  </si>
  <si>
    <t>RECEITA OPERACIONAL LÍQUIDA</t>
  </si>
  <si>
    <t>CUSTO DOS PRODUTOS VENDIDOS</t>
  </si>
  <si>
    <t>LUCRO BRUTO</t>
  </si>
  <si>
    <t>Despesas com vendas</t>
  </si>
  <si>
    <t>Gerais e administrativas</t>
  </si>
  <si>
    <t>LUCRO (PREJUÍZO) OPERACIONAL</t>
  </si>
  <si>
    <t>Despesas financeiras</t>
  </si>
  <si>
    <t>Receitas financeiras</t>
  </si>
  <si>
    <t>RESULTADO ANTES DO IR E DA CSLL</t>
  </si>
  <si>
    <t>Imposto de Renda e Contribuição Social Correntes</t>
  </si>
  <si>
    <t>Imposto de Renda e Contribuição Social Diferidos</t>
  </si>
  <si>
    <t>IMPOSTO DE RENDA E CONTRIBUIÇÃO SOCIAL</t>
  </si>
  <si>
    <t>LUCRO (PREJUÍZO) LÍQUIDO DO EXERCÍCIO</t>
  </si>
  <si>
    <t>Outras receitas (despesas) operacionais líquidas</t>
  </si>
  <si>
    <t>Demonstrações Do Resultado Consolidado</t>
  </si>
  <si>
    <t>ATIVO</t>
  </si>
  <si>
    <t>Circulante</t>
  </si>
  <si>
    <t xml:space="preserve"> Títulos e valores mobiliários</t>
  </si>
  <si>
    <t xml:space="preserve"> Títulos e valores mobiliários retidos</t>
  </si>
  <si>
    <t>Aplicações financeiras retidas</t>
  </si>
  <si>
    <t>Aplicações financeiras de liquidez não imediata</t>
  </si>
  <si>
    <t>Contas a receber de clientes</t>
  </si>
  <si>
    <t>Estoques</t>
  </si>
  <si>
    <t>Tributos a recuperar (IR/CSLL)</t>
  </si>
  <si>
    <t>Tributos a recuperar</t>
  </si>
  <si>
    <t>Despesas Antecipadas</t>
  </si>
  <si>
    <t>Adiantamentos a fornecedores</t>
  </si>
  <si>
    <t>Dividendos a receber</t>
  </si>
  <si>
    <t>Instrumentos financeiros derivativos</t>
  </si>
  <si>
    <t>Partes relacionadas</t>
  </si>
  <si>
    <t>Ativo não circulante mantido para venda</t>
  </si>
  <si>
    <t>Não Circulante</t>
  </si>
  <si>
    <t>Títulos e valores mobiliários</t>
  </si>
  <si>
    <t>Despesas antecipadas</t>
  </si>
  <si>
    <t>Imposto de renda e contribuição social a recuperar</t>
  </si>
  <si>
    <t>Depósitos judiciais</t>
  </si>
  <si>
    <t>Tributos diferidos</t>
  </si>
  <si>
    <t>Investimentos</t>
  </si>
  <si>
    <t>Propriedades para investimentos</t>
  </si>
  <si>
    <t>Direito de uso</t>
  </si>
  <si>
    <t>TOTAL DO ATIVO</t>
  </si>
  <si>
    <t>PASSIVO E PATRIMÔNIO LÍQUIDO</t>
  </si>
  <si>
    <t>Financiamentos e empréstimos</t>
  </si>
  <si>
    <t>Debêntures</t>
  </si>
  <si>
    <t>Adiantamento de clientes</t>
  </si>
  <si>
    <t>Tributos a recolher</t>
  </si>
  <si>
    <t>Comissões a pagar</t>
  </si>
  <si>
    <t>Juros sobre capital próprio e Dividendos a pagar</t>
  </si>
  <si>
    <t>Provisão para garantias</t>
  </si>
  <si>
    <t>Provisões para riscos tributários, cíveis e trabalhistas</t>
  </si>
  <si>
    <t>Tributos a recolher (IR/CSLL)</t>
  </si>
  <si>
    <t>Patrimônio Líquido</t>
  </si>
  <si>
    <t>Capital social</t>
  </si>
  <si>
    <t>Reservas de capital</t>
  </si>
  <si>
    <t>Reservas de reavaliação</t>
  </si>
  <si>
    <t>Reserva de lucros</t>
  </si>
  <si>
    <t>Lucro acumulado do período</t>
  </si>
  <si>
    <t>TOTAL DO PASSIVO E DO PATRIMÔNIO LÍQUIDO</t>
  </si>
  <si>
    <t>Balanço Patrimonial Consolidado</t>
  </si>
  <si>
    <t>Despesas Operacionais (R$ mil)</t>
  </si>
  <si>
    <t>Despesas com Vendas</t>
  </si>
  <si>
    <t xml:space="preserve">  % Receita Líquida</t>
  </si>
  <si>
    <t>Despesas Gerais e Administrativas</t>
  </si>
  <si>
    <t>% Receita Líquida</t>
  </si>
  <si>
    <t>Despesa Total</t>
  </si>
  <si>
    <t>Resultado Financeiro (R$ mil)</t>
  </si>
  <si>
    <t>Receitas Financeiras</t>
  </si>
  <si>
    <t xml:space="preserve"> % Receita Líquida</t>
  </si>
  <si>
    <t>Despesas Financeiras</t>
  </si>
  <si>
    <t>Resultado Financeiro Total</t>
  </si>
  <si>
    <t>(Em milhares de reais)</t>
  </si>
  <si>
    <t>LUCRO (PREJUÍZO) ANTES DOS IMPOSTOS</t>
  </si>
  <si>
    <t>LUCRO (PREJUÍZO) LÍQUIDO</t>
  </si>
  <si>
    <t>Despesas (receitas) que não afetam o caixa</t>
  </si>
  <si>
    <t xml:space="preserve">Depreciação e amortização </t>
  </si>
  <si>
    <t>Outras Provisões</t>
  </si>
  <si>
    <t>Custo do imobilizado/intangível baixados</t>
  </si>
  <si>
    <t>Provisão de contingências cíveis, tributárias e trabalhistas</t>
  </si>
  <si>
    <t>Provisões de estoques</t>
  </si>
  <si>
    <t>Provisões de garantias</t>
  </si>
  <si>
    <t>(Ganhos) perdas líquidos com instrumentos financeiros derivativos</t>
  </si>
  <si>
    <t>Encargos sobre empréstimos</t>
  </si>
  <si>
    <t>Crédito Exclusão ICMS Base de Cálculo PIS_Cofins</t>
  </si>
  <si>
    <t>Rendimento sobre aplicação financeira</t>
  </si>
  <si>
    <t>Resultado financeiro</t>
  </si>
  <si>
    <t>Valor justo stock options</t>
  </si>
  <si>
    <t>Despesas com imposto de renda e contribuição social corrente</t>
  </si>
  <si>
    <t>Despesas com imposto de renda e contribuição social diferidos</t>
  </si>
  <si>
    <t xml:space="preserve">Redução (aumento) nas contas de ativos </t>
  </si>
  <si>
    <t>Outras contas a receber</t>
  </si>
  <si>
    <t xml:space="preserve">Aumento (redução) nas contas de passivos </t>
  </si>
  <si>
    <t>Fornecedores nacionais e estrangeiros</t>
  </si>
  <si>
    <t>Recebimentos de caixa por contratos a termo</t>
  </si>
  <si>
    <t>Pagamentos de caixa por contratos a termo</t>
  </si>
  <si>
    <t>Imposto de renda e contribuição social pagos</t>
  </si>
  <si>
    <t xml:space="preserve">Fluxo de caixa das atividades operacionais </t>
  </si>
  <si>
    <t>Aquisição de imobilizado e intangíveis</t>
  </si>
  <si>
    <t>Aplicações financeiras - Circulante</t>
  </si>
  <si>
    <t>Aplicações financeiras retidas - Não Circulante</t>
  </si>
  <si>
    <t>Rendimento de contas patrimoniais</t>
  </si>
  <si>
    <t>Títulos e valores mobiliários Circulante</t>
  </si>
  <si>
    <t>Títulos e valores mobiliários Não Circulante</t>
  </si>
  <si>
    <t xml:space="preserve">Fluxo de caixa das atividades de investimentos </t>
  </si>
  <si>
    <t>Aumento de capital</t>
  </si>
  <si>
    <t>Juros sobre capital próprio pagos</t>
  </si>
  <si>
    <t>Realização Bonus subscrição 2014</t>
  </si>
  <si>
    <t xml:space="preserve">Fluxo de caixa das atividades de financiamentos </t>
  </si>
  <si>
    <t>Aumento do caixa e equivalentes de caixa</t>
  </si>
  <si>
    <t>Demonstração do aumento do caixa e equivalentes de caixa</t>
  </si>
  <si>
    <t>Caixa no início do período</t>
  </si>
  <si>
    <t>Caixa no final do período</t>
  </si>
  <si>
    <t>Variação do caixa e equivalentes de caixa no período</t>
  </si>
  <si>
    <t>Endividamento (R$ mil)</t>
  </si>
  <si>
    <t>EXIM Pré-Embarque</t>
  </si>
  <si>
    <t>FINEM</t>
  </si>
  <si>
    <t>FINAME</t>
  </si>
  <si>
    <t>FINIMP</t>
  </si>
  <si>
    <t>FINEP</t>
  </si>
  <si>
    <t>Outros Empréstimos</t>
  </si>
  <si>
    <t>Capital de Giro</t>
  </si>
  <si>
    <t>Adiantamento contrato de câmbio</t>
  </si>
  <si>
    <t>Curto Prazo</t>
  </si>
  <si>
    <t>Longo Prazo</t>
  </si>
  <si>
    <t>Endividamento Total</t>
  </si>
  <si>
    <t>Resultado Líquido (R$ mil)</t>
  </si>
  <si>
    <t>Lucro do Período</t>
  </si>
  <si>
    <t>(+) Provisão para IR e CS - Corrente e Diferido</t>
  </si>
  <si>
    <t>(-) Receitas Financeiras</t>
  </si>
  <si>
    <t>(+) Despesas Financeiras</t>
  </si>
  <si>
    <t>(+) Depreciações e Amortizações</t>
  </si>
  <si>
    <t>EBITDA*</t>
  </si>
  <si>
    <t>Capex (R$ mil)</t>
  </si>
  <si>
    <t>Mercado Interno</t>
  </si>
  <si>
    <t>Mercado Externo</t>
  </si>
  <si>
    <t>Receita Líquida (%)</t>
  </si>
  <si>
    <t>Outros ativos</t>
  </si>
  <si>
    <t>Obrigações sociais e trabalhistas</t>
  </si>
  <si>
    <t>Imposto de renda e contribuição social a recolher</t>
  </si>
  <si>
    <t>Outros passivos</t>
  </si>
  <si>
    <t>Arrendamentos</t>
  </si>
  <si>
    <t>Juros pagos por financiamentos e empréstimos</t>
  </si>
  <si>
    <t>Amortização de financiamentos e empréstimos</t>
  </si>
  <si>
    <t>Captação de financiamentos e empréstimos</t>
  </si>
  <si>
    <t>Dividendos pagos</t>
  </si>
  <si>
    <t>Opção de venda - contraprestação contingente</t>
  </si>
  <si>
    <t>1T24</t>
  </si>
  <si>
    <t>2T24</t>
  </si>
  <si>
    <t>3T24</t>
  </si>
  <si>
    <t>4T24</t>
  </si>
  <si>
    <t>Contraprestação de arrendamentos pagos</t>
  </si>
  <si>
    <t>Fluxo de Caixa Consolidado</t>
  </si>
  <si>
    <t>Agroindústria</t>
  </si>
  <si>
    <t>Caixa e equivalentes de caixa</t>
  </si>
  <si>
    <t>6M24</t>
  </si>
  <si>
    <t>12M23</t>
  </si>
  <si>
    <t>9M23</t>
  </si>
  <si>
    <t>6M23</t>
  </si>
  <si>
    <t>Perdas pela não recuperabilidade de ativos financeiros</t>
  </si>
  <si>
    <t>IFC</t>
  </si>
  <si>
    <t>Endividamento Líquido/(Caixa líquido positivo)</t>
  </si>
  <si>
    <t>Endividamento Líquido/ (Caixa líquido positivo)</t>
  </si>
  <si>
    <t>6M22</t>
  </si>
  <si>
    <t>9M22</t>
  </si>
  <si>
    <t>12M22</t>
  </si>
  <si>
    <t>9M24</t>
  </si>
  <si>
    <t>Gastos de estruturação de financiamentos</t>
  </si>
  <si>
    <t>Key Indicators</t>
  </si>
  <si>
    <t>(In thousands of Reais, except for percentages)</t>
  </si>
  <si>
    <t>Net Revenue</t>
  </si>
  <si>
    <t>COGS</t>
  </si>
  <si>
    <t>Gross Profit</t>
  </si>
  <si>
    <t>Net Income (Loss)</t>
  </si>
  <si>
    <t>Gross Margin %</t>
  </si>
  <si>
    <t>Net Margin %</t>
  </si>
  <si>
    <t>EBITDA Margin %</t>
  </si>
  <si>
    <t xml:space="preserve">Net Debt </t>
  </si>
  <si>
    <t>Cash and Cash Equivalents</t>
  </si>
  <si>
    <t>Investments</t>
  </si>
  <si>
    <t>1Q10</t>
  </si>
  <si>
    <t>2Q10</t>
  </si>
  <si>
    <t>3Q10</t>
  </si>
  <si>
    <t>1Q11</t>
  </si>
  <si>
    <t>4Q10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</si>
  <si>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</si>
  <si>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</si>
  <si>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</si>
  <si>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</si>
  <si>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</si>
  <si>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</si>
  <si>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</si>
  <si>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</si>
  <si>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</si>
  <si>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</si>
  <si>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</si>
  <si>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</si>
  <si>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</si>
  <si>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</si>
  <si>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</si>
  <si>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</si>
  <si>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</si>
  <si>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</si>
  <si>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</si>
  <si>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</si>
  <si>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</si>
  <si>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</si>
  <si>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</si>
  <si>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</si>
  <si>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</si>
  <si>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</si>
  <si>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</si>
  <si>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</si>
  <si>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</si>
  <si>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</si>
  <si>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</si>
  <si>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</si>
  <si>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</si>
  <si>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</si>
  <si>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</si>
  <si>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</si>
  <si>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</si>
  <si>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</si>
  <si>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</si>
  <si>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</si>
  <si>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</si>
  <si>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</si>
  <si>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</si>
  <si>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</si>
  <si>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</si>
  <si>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</si>
  <si>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</si>
  <si>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</si>
  <si>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</si>
  <si>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</si>
  <si>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</si>
  <si>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</si>
  <si>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</si>
  <si>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</si>
  <si>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</si>
  <si>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Consolidated Balance Sheet</t>
  </si>
  <si>
    <t>ASSETS</t>
  </si>
  <si>
    <t>Current assets</t>
  </si>
  <si>
    <t>Cash and cash equivalents</t>
  </si>
  <si>
    <t>Securities</t>
  </si>
  <si>
    <t>Securities retained</t>
  </si>
  <si>
    <t>Financial investments retained</t>
  </si>
  <si>
    <t>Financial investments with non-immediate liquidity</t>
  </si>
  <si>
    <t>Trade accounts receivable</t>
  </si>
  <si>
    <t>Inventories</t>
  </si>
  <si>
    <t>Taxes recoverable (IR/CSLL)</t>
  </si>
  <si>
    <t>Taxes recoverable</t>
  </si>
  <si>
    <t>Advances to suppliers</t>
  </si>
  <si>
    <t>Prepaid expenses</t>
  </si>
  <si>
    <t>Other credits</t>
  </si>
  <si>
    <t>Dividends receivable</t>
  </si>
  <si>
    <t>Derivative financial instruments</t>
  </si>
  <si>
    <t>Related parts</t>
  </si>
  <si>
    <t>Non-current asset maintained for discontinued operation and selling</t>
  </si>
  <si>
    <t>Non-current assets</t>
  </si>
  <si>
    <t>Recoverable income tax and social contribution</t>
  </si>
  <si>
    <t xml:space="preserve">Court deposits </t>
  </si>
  <si>
    <t>Deferred taxes</t>
  </si>
  <si>
    <t xml:space="preserve">Investment property </t>
  </si>
  <si>
    <t>Property, plant and equipment</t>
  </si>
  <si>
    <t>Intangible assets</t>
  </si>
  <si>
    <t>Right of use</t>
  </si>
  <si>
    <t>TOTAL ASSETS</t>
  </si>
  <si>
    <t>LIABILITIES AND SHAREHOLDERS’ EQUITY</t>
  </si>
  <si>
    <t>Suppliers</t>
  </si>
  <si>
    <t>Financing and loans</t>
  </si>
  <si>
    <t>Debentures</t>
  </si>
  <si>
    <t>Salaries and vacations payable</t>
  </si>
  <si>
    <t>Advances from customers</t>
  </si>
  <si>
    <t>Commissions payable</t>
  </si>
  <si>
    <t>Dividends payable</t>
  </si>
  <si>
    <t>Provision for guarantees</t>
  </si>
  <si>
    <t>Lease Financing</t>
  </si>
  <si>
    <t>Other accounts payable</t>
  </si>
  <si>
    <t>Differed Revenue</t>
  </si>
  <si>
    <t>Provisions</t>
  </si>
  <si>
    <t>Contingent consideration</t>
  </si>
  <si>
    <t>Shareholders’ Equity</t>
  </si>
  <si>
    <t>Capital stock</t>
  </si>
  <si>
    <t>Actions in treasury</t>
  </si>
  <si>
    <t xml:space="preserve">Capital reserves </t>
  </si>
  <si>
    <t xml:space="preserve">Revaluation reserves </t>
  </si>
  <si>
    <t>Equity valuation adjustments</t>
  </si>
  <si>
    <t>Profit reserve</t>
  </si>
  <si>
    <t>Income for the period</t>
  </si>
  <si>
    <t>TOTAL LIABILITIES AND SHAREHOLDERS’ EQUITY</t>
  </si>
  <si>
    <t>Consolidated Statements Of Income</t>
  </si>
  <si>
    <t xml:space="preserve">NET OPERATING REVENUES </t>
  </si>
  <si>
    <t>COST OF GOODS SOLD</t>
  </si>
  <si>
    <t>Selling Expenses</t>
  </si>
  <si>
    <t>General and Administrative Expenses</t>
  </si>
  <si>
    <t>Other operating revenues</t>
  </si>
  <si>
    <t xml:space="preserve">OPERATING INCOME (LOSS) </t>
  </si>
  <si>
    <t>Financial expenses</t>
  </si>
  <si>
    <t>Financial revenues</t>
  </si>
  <si>
    <t xml:space="preserve">PROFIT BEFORE INCOME TAX AND SOCIAL CONTRIBUTION </t>
  </si>
  <si>
    <t>Income and social contribution taxes - Current</t>
  </si>
  <si>
    <t>Income and social contribution taxes - Deferred</t>
  </si>
  <si>
    <t xml:space="preserve">INCOME AND SOCIAL CONTRIBUTION TAXES </t>
  </si>
  <si>
    <t>NET INCOME (LOSS) FOR THE YEAR</t>
  </si>
  <si>
    <t>NET INCOME (LOSS) FROM DISCONTINUED OPERATIONS</t>
  </si>
  <si>
    <t>CONSOLIDATED NET INCOME (LOSS)</t>
  </si>
  <si>
    <t>Consolidated Cash Flow</t>
  </si>
  <si>
    <t>(In thousands of reais)</t>
  </si>
  <si>
    <t>PROFIT (LOSS) BEFORE TAXES</t>
  </si>
  <si>
    <t xml:space="preserve">NET INCOME (LOSS) </t>
  </si>
  <si>
    <t xml:space="preserve">Expenses (revenues) not affecting cash </t>
  </si>
  <si>
    <t>Depreciation and amortization</t>
  </si>
  <si>
    <t>Provision for civil, tax and labor contingencies</t>
  </si>
  <si>
    <t>Inventory provisions</t>
  </si>
  <si>
    <t>Guarantee provisions</t>
  </si>
  <si>
    <t>Credit provisions for expected losses</t>
  </si>
  <si>
    <t>Net (gains) losses from derivative financial instruments</t>
  </si>
  <si>
    <t>Cost of property, plant and equipment /intangible assets written off</t>
  </si>
  <si>
    <t>Result on sale of fixed assets</t>
  </si>
  <si>
    <t>Financial result</t>
  </si>
  <si>
    <t xml:space="preserve">Loan charges </t>
  </si>
  <si>
    <t>Credit Exclusion ICMS Calculation Base PIS_Cofins</t>
  </si>
  <si>
    <t xml:space="preserve">Provision for impairment of non-current assets held for sale </t>
  </si>
  <si>
    <t xml:space="preserve">Earnings from financial investments </t>
  </si>
  <si>
    <t>Net result on currency variation</t>
  </si>
  <si>
    <t>Fair value of stock options</t>
  </si>
  <si>
    <t>Pre-tax loss from discontinued operations</t>
  </si>
  <si>
    <t>Current income tax and social contribution expenses</t>
  </si>
  <si>
    <t>Deferred income tax and social contribution expenses</t>
  </si>
  <si>
    <t>Reduction (increase) in asset accounts</t>
  </si>
  <si>
    <t>Other accounts receivable</t>
  </si>
  <si>
    <t>Increase (reduction) in liability accounts</t>
  </si>
  <si>
    <t xml:space="preserve">Brazilian and foreign suppliers </t>
  </si>
  <si>
    <t>Salaries and vacation pay</t>
  </si>
  <si>
    <t>Interest paid on loans</t>
  </si>
  <si>
    <t>Cash receipt by forward contracts</t>
  </si>
  <si>
    <t>Cash payment for forward contracts</t>
  </si>
  <si>
    <t>Income and social contribution taxes paid</t>
  </si>
  <si>
    <t xml:space="preserve">Result on deferred revenue </t>
  </si>
  <si>
    <t>Cash flow from operating activities</t>
  </si>
  <si>
    <t>Acquisition of property, plant and equipment and intangible assets</t>
  </si>
  <si>
    <t>Financial investments - Current</t>
  </si>
  <si>
    <t>Acquisition of subsidiary, net of cash acquired</t>
  </si>
  <si>
    <t>Financial investments retained - Non-current</t>
  </si>
  <si>
    <t>Receipt of property plant and equipment</t>
  </si>
  <si>
    <t>Property expropriation</t>
  </si>
  <si>
    <t>Balance sheet income</t>
  </si>
  <si>
    <t>Securities - Current</t>
  </si>
  <si>
    <t>Securities – Non-Current</t>
  </si>
  <si>
    <t>Cash flow from investments</t>
  </si>
  <si>
    <t>Capital increase</t>
  </si>
  <si>
    <t>Dividend payment</t>
  </si>
  <si>
    <t>Loans repaid</t>
  </si>
  <si>
    <t>Loans raised</t>
  </si>
  <si>
    <t>Capital Reduction</t>
  </si>
  <si>
    <t>Subscription bonus 2014</t>
  </si>
  <si>
    <t>Payment of operating leases</t>
  </si>
  <si>
    <t>Cash flow from financing</t>
  </si>
  <si>
    <t>Increase in cash and cash equivalents</t>
  </si>
  <si>
    <t>Statement of cash and cash equivalents increase</t>
  </si>
  <si>
    <t>Cash at the beginning of the period</t>
  </si>
  <si>
    <t>Cash at the end of the period</t>
  </si>
  <si>
    <t>Variation in cash and cash equivalents in the period</t>
  </si>
  <si>
    <t>Interest on equity paid</t>
  </si>
  <si>
    <t>Financing arrangement fees</t>
  </si>
  <si>
    <t>SG&amp;A (R$ Thousands)</t>
  </si>
  <si>
    <t xml:space="preserve"> % Net Revenue</t>
  </si>
  <si>
    <t>% Net Revenue</t>
  </si>
  <si>
    <t>Financial Results (R$ Thousands)</t>
  </si>
  <si>
    <t>Net Income (R$ thousands)</t>
  </si>
  <si>
    <t>Net Income/Loss</t>
  </si>
  <si>
    <t>(+) Provision for Current and Deferred Income and Social Contribution Taxes</t>
  </si>
  <si>
    <t>(-) Financial Revenue</t>
  </si>
  <si>
    <t>(+) Financial Expenses</t>
  </si>
  <si>
    <t>(+) Depreciation and Amortization</t>
  </si>
  <si>
    <t>Indebtedness (R$ thousands)</t>
  </si>
  <si>
    <t>EXIM Pre boarding</t>
  </si>
  <si>
    <t>CDCA - Agribusiness Credit Rights Certificate</t>
  </si>
  <si>
    <t>RPC - Rural Producer Certificate</t>
  </si>
  <si>
    <t>Other Loans</t>
  </si>
  <si>
    <t>Working Capital</t>
  </si>
  <si>
    <t>Exchange contract advance</t>
  </si>
  <si>
    <t>Short Term</t>
  </si>
  <si>
    <t>Class B Preferencial Stocks</t>
  </si>
  <si>
    <t>Long Term</t>
  </si>
  <si>
    <t>Total Indebtedness</t>
  </si>
  <si>
    <t>ROIC Calculation</t>
  </si>
  <si>
    <t>Working Capital Requirement</t>
  </si>
  <si>
    <t>Investment</t>
  </si>
  <si>
    <t>CAPITAL EMPLOYED</t>
  </si>
  <si>
    <t>Farms</t>
  </si>
  <si>
    <t>International Businesses</t>
  </si>
  <si>
    <t>Ports and Terminals</t>
  </si>
  <si>
    <t>Agribusiness</t>
  </si>
  <si>
    <t>Replacement and Services</t>
  </si>
  <si>
    <t>Investments (CAPEX) (R$ mil)</t>
  </si>
  <si>
    <t>Increased Manufacturing Capacity</t>
  </si>
  <si>
    <t>New products</t>
  </si>
  <si>
    <t>Information Technology</t>
  </si>
  <si>
    <t>Reforms / Legislation - NRs</t>
  </si>
  <si>
    <t>Internal Market</t>
  </si>
  <si>
    <t>External Market</t>
  </si>
  <si>
    <t>Net Revenue (%)</t>
  </si>
  <si>
    <t>Payout Calculation</t>
  </si>
  <si>
    <t>(A) Earnings</t>
  </si>
  <si>
    <t>(B)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</si>
</sst>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69" formatCode="0.0%"/>
    <numFmt numFmtId="170" formatCode="_(* #,##0_);_(* \(#,##0\);_(* &quot;-&quot;?_);_(@_)"/>
    <numFmt numFmtId="171" formatCode="_(* #,##0.00_);_(* \(#,##0.00\);_(* \-??_);_(@_)"/>
    <numFmt numFmtId="172" formatCode="_([$€-2]* #,##0.00_);_([$€-2]* \(#,##0.00\);_([$€-2]* \-??_)"/>
    <numFmt numFmtId="173" formatCode="0."/>
    <numFmt numFmtId="174" formatCode="0%_);\(0%\)"/>
    <numFmt numFmtId="175" formatCode="_-* #,##0&quot; zł&quot;_-;\-* #,##0&quot; zł&quot;_-;_-* &quot;- zł&quot;_-;_-@_-"/>
    <numFmt numFmtId="176" formatCode="_-* #,##0.00&quot; zł&quot;_-;\-* #,##0.00&quot; zł&quot;_-;_-* \-??&quot; zł&quot;_-;_-@_-"/>
    <numFmt numFmtId="177" formatCode="#.##0,"/>
    <numFmt numFmtId="178" formatCode="\$#,"/>
    <numFmt numFmtId="179" formatCode="dd\-mmm\-yyyy"/>
    <numFmt numFmtId="180" formatCode="_([$€-2]* #,##0.00_);_([$€-2]* \(#,##0.00\);_([$€-2]* &quot;-&quot;??_)"/>
    <numFmt numFmtId="181" formatCode="#,#00"/>
    <numFmt numFmtId="182" formatCode="_(&quot;R$&quot;* #,##0.00_);_(&quot;R$&quot;* \(#,##0.00\);_(&quot;R$&quot;* &quot;-&quot;??_);_(@_)"/>
    <numFmt numFmtId="183" formatCode="General_)"/>
    <numFmt numFmtId="184" formatCode="_(* #,##0_);_(* \(#,##0\);_(* \-??_);_(@_)"/>
    <numFmt numFmtId="185" formatCode="&quot;R$ &quot;#,##0.00_);\(&quot;R$ &quot;#,##0.00\)"/>
    <numFmt numFmtId="186" formatCode="[$-416]mmm\-yy;@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5"/>
      <color indexed="56"/>
      <name val="Calibri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Arial CE"/>
      <family val="2"/>
    </font>
    <font>
      <b/>
      <sz val="10"/>
      <name val="Tahoma"/>
      <family val="2"/>
    </font>
    <font>
      <sz val="8"/>
      <color indexed="1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0"/>
      <name val="MS Sans Serif"/>
      <family val="2"/>
    </font>
    <font>
      <b/>
      <sz val="12"/>
      <color indexed="18"/>
      <name val="Times New Roman"/>
      <family val="1"/>
    </font>
    <font>
      <u/>
      <sz val="10"/>
      <color indexed="12"/>
      <name val="Arial"/>
      <family val="2"/>
    </font>
    <font>
      <sz val="10"/>
      <name val="Geneva"/>
    </font>
    <font>
      <sz val="10"/>
      <name val="Geneva"/>
      <family val="2"/>
    </font>
    <font>
      <b/>
      <sz val="11"/>
      <name val="Times New Roman"/>
      <family val="1"/>
    </font>
    <font>
      <sz val="10"/>
      <name val="Helv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8"/>
      <color theme="3"/>
      <name val="Cambri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21"/>
      <color rgb="FF202124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595959"/>
      <name val="Arial"/>
      <family val="2"/>
    </font>
  </fonts>
  <fills count="8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3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5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9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3" tint="-0.49998474074526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rgb="FF717171"/>
      </top>
      <bottom style="thin">
        <color rgb="FF717171"/>
      </bottom>
      <diagonal/>
    </border>
    <border>
      <left/>
      <right/>
      <top/>
      <bottom style="thin">
        <color theme="3" tint="-0.499984740745262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984740745262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theme="3" tint="-0.499984740745262"/>
      </top>
      <bottom/>
      <diagonal/>
    </border>
    <border>
      <left/>
      <right style="thin">
        <color indexed="9"/>
      </right>
      <top style="medium">
        <color theme="3" tint="-0.499984740745262"/>
      </top>
      <bottom style="thin">
        <color indexed="9"/>
      </bottom>
      <diagonal/>
    </border>
    <border>
      <left/>
      <right style="thin">
        <color theme="0"/>
      </right>
      <top style="medium">
        <color theme="3" tint="-0.499984740745262"/>
      </top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indexed="9"/>
      </left>
      <right style="thin">
        <color theme="0"/>
      </right>
      <top style="medium">
        <color theme="3" tint="-0.499984740745262"/>
      </top>
      <bottom/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medium">
        <color theme="3" tint="-0.499984740745262"/>
      </top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rgb="FF717171"/>
      </top>
      <bottom style="thin">
        <color rgb="FF71717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9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/>
      <bottom style="medium">
        <color theme="3" tint="-0.499984740745262"/>
      </bottom>
      <diagonal/>
    </border>
    <border>
      <left style="thin">
        <color theme="0" tint="-0.14999847407452621"/>
      </left>
      <right/>
      <top style="medium">
        <color theme="3" tint="-0.499984740745262"/>
      </top>
      <bottom/>
      <diagonal/>
    </border>
    <border>
      <left style="thin">
        <color theme="0" tint="-0.14999847407452621"/>
      </left>
      <right/>
      <top/>
      <bottom style="thin">
        <color indexed="9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rgb="FF717171"/>
      </top>
      <bottom style="thin">
        <color rgb="FF71717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medium">
        <color theme="3" tint="-0.499984740745262"/>
      </bottom>
      <diagonal/>
    </border>
    <border>
      <left style="thin">
        <color theme="0" tint="-0.14999847407452621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/>
      </right>
      <top style="medium">
        <color theme="3" tint="-0.499984740745262"/>
      </top>
      <bottom/>
      <diagonal/>
    </border>
    <border>
      <left style="thin">
        <color theme="0" tint="-0.14999847407452621"/>
      </left>
      <right style="thin">
        <color theme="0"/>
      </right>
      <top/>
      <bottom style="thin">
        <color indexed="9"/>
      </bottom>
      <diagonal/>
    </border>
    <border>
      <left style="thin">
        <color theme="0" tint="-0.14999847407452621"/>
      </left>
      <right style="thin">
        <color indexed="9"/>
      </right>
      <top/>
      <bottom style="thin">
        <color indexed="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3" tint="-0.499984740745262"/>
      </bottom>
      <diagonal/>
    </border>
    <border>
      <left style="thin">
        <color theme="0" tint="-0.14999847407452621"/>
      </left>
      <right/>
      <top style="medium">
        <color theme="9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</borders>
  <cellStyleXfs count="2942">
    <xf numFmtId="0" fontId="0" fillId="0" borderId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3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5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7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9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1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7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9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9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5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1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3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7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55" fillId="63" borderId="0" applyNumberFormat="0" applyBorder="0" applyAlignment="0" applyProtection="0"/>
    <xf numFmtId="0" fontId="22" fillId="19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55" fillId="64" borderId="0" applyNumberFormat="0" applyBorder="0" applyAlignment="0" applyProtection="0"/>
    <xf numFmtId="0" fontId="22" fillId="25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7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55" fillId="66" borderId="0" applyNumberFormat="0" applyBorder="0" applyAlignment="0" applyProtection="0"/>
    <xf numFmtId="0" fontId="22" fillId="29" borderId="0" applyNumberFormat="0" applyBorder="0" applyAlignment="0" applyProtection="0"/>
    <xf numFmtId="15" fontId="36" fillId="0" borderId="0">
      <alignment horizontal="center" vertical="center"/>
    </xf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7" borderId="0" applyNumberFormat="0" applyBorder="0" applyAlignment="0" applyProtection="0"/>
    <xf numFmtId="0" fontId="59" fillId="68" borderId="18" applyNumberFormat="0" applyAlignment="0" applyProtection="0"/>
    <xf numFmtId="0" fontId="24" fillId="30" borderId="1" applyNumberFormat="0" applyAlignment="0" applyProtection="0"/>
    <xf numFmtId="0" fontId="59" fillId="68" borderId="18" applyNumberFormat="0" applyAlignment="0" applyProtection="0"/>
    <xf numFmtId="0" fontId="24" fillId="30" borderId="1" applyNumberFormat="0" applyAlignment="0" applyProtection="0"/>
    <xf numFmtId="0" fontId="59" fillId="68" borderId="18" applyNumberFormat="0" applyAlignment="0" applyProtection="0"/>
    <xf numFmtId="0" fontId="60" fillId="68" borderId="18" applyNumberFormat="0" applyAlignment="0" applyProtection="0"/>
    <xf numFmtId="0" fontId="60" fillId="68" borderId="18" applyNumberFormat="0" applyAlignment="0" applyProtection="0"/>
    <xf numFmtId="0" fontId="24" fillId="30" borderId="1" applyNumberFormat="0" applyAlignment="0" applyProtection="0"/>
    <xf numFmtId="0" fontId="59" fillId="68" borderId="18" applyNumberFormat="0" applyAlignment="0" applyProtection="0"/>
    <xf numFmtId="0" fontId="24" fillId="31" borderId="1" applyNumberFormat="0" applyAlignment="0" applyProtection="0"/>
    <xf numFmtId="0" fontId="61" fillId="69" borderId="19" applyNumberFormat="0" applyAlignment="0" applyProtection="0"/>
    <xf numFmtId="0" fontId="25" fillId="32" borderId="2" applyNumberFormat="0" applyAlignment="0" applyProtection="0"/>
    <xf numFmtId="0" fontId="61" fillId="69" borderId="19" applyNumberFormat="0" applyAlignment="0" applyProtection="0"/>
    <xf numFmtId="0" fontId="25" fillId="32" borderId="2" applyNumberFormat="0" applyAlignment="0" applyProtection="0"/>
    <xf numFmtId="0" fontId="61" fillId="69" borderId="19" applyNumberFormat="0" applyAlignment="0" applyProtection="0"/>
    <xf numFmtId="0" fontId="62" fillId="69" borderId="19" applyNumberFormat="0" applyAlignment="0" applyProtection="0"/>
    <xf numFmtId="0" fontId="62" fillId="69" borderId="19" applyNumberFormat="0" applyAlignment="0" applyProtection="0"/>
    <xf numFmtId="0" fontId="25" fillId="32" borderId="2" applyNumberFormat="0" applyAlignment="0" applyProtection="0"/>
    <xf numFmtId="0" fontId="61" fillId="69" borderId="19" applyNumberFormat="0" applyAlignment="0" applyProtection="0"/>
    <xf numFmtId="0" fontId="25" fillId="33" borderId="2" applyNumberFormat="0" applyAlignment="0" applyProtection="0"/>
    <xf numFmtId="0" fontId="63" fillId="0" borderId="20" applyNumberFormat="0" applyFill="0" applyAlignment="0" applyProtection="0"/>
    <xf numFmtId="0" fontId="64" fillId="0" borderId="20" applyNumberFormat="0" applyFill="0" applyAlignment="0" applyProtection="0"/>
    <xf numFmtId="0" fontId="63" fillId="0" borderId="20" applyNumberFormat="0" applyFill="0" applyAlignment="0" applyProtection="0"/>
    <xf numFmtId="0" fontId="26" fillId="0" borderId="3" applyNumberFormat="0" applyFill="0" applyAlignment="0" applyProtection="0"/>
    <xf numFmtId="0" fontId="63" fillId="0" borderId="20" applyNumberFormat="0" applyFill="0" applyAlignment="0" applyProtection="0"/>
    <xf numFmtId="0" fontId="26" fillId="0" borderId="3" applyNumberFormat="0" applyFill="0" applyAlignment="0" applyProtection="0"/>
    <xf numFmtId="0" fontId="64" fillId="0" borderId="20" applyNumberFormat="0" applyFill="0" applyAlignment="0" applyProtection="0"/>
    <xf numFmtId="0" fontId="26" fillId="0" borderId="3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26" fillId="0" borderId="3" applyNumberFormat="0" applyFill="0" applyAlignment="0" applyProtection="0"/>
    <xf numFmtId="0" fontId="63" fillId="0" borderId="20" applyNumberFormat="0" applyFill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7" fontId="37" fillId="0" borderId="0">
      <protection locked="0"/>
    </xf>
    <xf numFmtId="178" fontId="37" fillId="0" borderId="0">
      <protection locked="0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14" fontId="38" fillId="0" borderId="0" applyFont="0" applyFill="0" applyBorder="0" applyAlignment="0" applyProtection="0"/>
    <xf numFmtId="0" fontId="37" fillId="0" borderId="0">
      <protection locked="0"/>
    </xf>
    <xf numFmtId="179" fontId="39" fillId="0" borderId="0">
      <alignment horizontal="center"/>
    </xf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6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8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40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5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7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56" fillId="75" borderId="0" applyNumberFormat="0" applyBorder="0" applyAlignment="0" applyProtection="0"/>
    <xf numFmtId="0" fontId="56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2" borderId="0" applyNumberFormat="0" applyBorder="0" applyAlignment="0" applyProtection="0"/>
    <xf numFmtId="0" fontId="65" fillId="76" borderId="18" applyNumberFormat="0" applyAlignment="0" applyProtection="0"/>
    <xf numFmtId="0" fontId="27" fillId="12" borderId="1" applyNumberFormat="0" applyAlignment="0" applyProtection="0"/>
    <xf numFmtId="0" fontId="65" fillId="76" borderId="18" applyNumberFormat="0" applyAlignment="0" applyProtection="0"/>
    <xf numFmtId="0" fontId="27" fillId="12" borderId="1" applyNumberFormat="0" applyAlignment="0" applyProtection="0"/>
    <xf numFmtId="0" fontId="65" fillId="76" borderId="18" applyNumberFormat="0" applyAlignment="0" applyProtection="0"/>
    <xf numFmtId="0" fontId="66" fillId="76" borderId="18" applyNumberFormat="0" applyAlignment="0" applyProtection="0"/>
    <xf numFmtId="0" fontId="66" fillId="76" borderId="18" applyNumberFormat="0" applyAlignment="0" applyProtection="0"/>
    <xf numFmtId="0" fontId="27" fillId="12" borderId="1" applyNumberFormat="0" applyAlignment="0" applyProtection="0"/>
    <xf numFmtId="0" fontId="65" fillId="76" borderId="18" applyNumberFormat="0" applyAlignment="0" applyProtection="0"/>
    <xf numFmtId="0" fontId="27" fillId="13" borderId="1" applyNumberFormat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1" fontId="37" fillId="0" borderId="0">
      <protection locked="0"/>
    </xf>
    <xf numFmtId="173" fontId="17" fillId="43" borderId="0">
      <alignment horizontal="left" vertical="top"/>
    </xf>
    <xf numFmtId="173" fontId="17" fillId="44" borderId="0">
      <alignment horizontal="left" vertical="top"/>
    </xf>
    <xf numFmtId="173" fontId="17" fillId="43" borderId="0">
      <alignment horizontal="left" vertical="top"/>
    </xf>
    <xf numFmtId="173" fontId="17" fillId="44" borderId="0">
      <alignment horizontal="left"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5" borderId="0" applyNumberFormat="0" applyBorder="0" applyAlignment="0" applyProtection="0"/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6" borderId="0" applyNumberFormat="0" applyBorder="0" applyAlignment="0" applyProtection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8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37" fontId="41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3" fillId="43" borderId="4" applyNumberForma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3" fillId="47" borderId="4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9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9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2" fillId="47" borderId="4" applyNumberFormat="0" applyFont="0" applyAlignment="0" applyProtection="0"/>
    <xf numFmtId="0" fontId="1" fillId="79" borderId="21" applyNumberFormat="0" applyFont="0" applyAlignment="0" applyProtection="0"/>
    <xf numFmtId="0" fontId="42" fillId="47" borderId="4" applyNumberFormat="0" applyFont="0" applyAlignment="0" applyProtection="0"/>
    <xf numFmtId="0" fontId="3" fillId="47" borderId="4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3" fillId="47" borderId="4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183" fontId="43" fillId="0" borderId="0" applyNumberFormat="0" applyAlignment="0">
      <alignment horizontal="center"/>
    </xf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68" borderId="22" applyNumberFormat="0" applyAlignment="0" applyProtection="0"/>
    <xf numFmtId="0" fontId="30" fillId="30" borderId="5" applyNumberFormat="0" applyAlignment="0" applyProtection="0"/>
    <xf numFmtId="0" fontId="71" fillId="68" borderId="22" applyNumberFormat="0" applyAlignment="0" applyProtection="0"/>
    <xf numFmtId="0" fontId="30" fillId="30" borderId="5" applyNumberFormat="0" applyAlignment="0" applyProtection="0"/>
    <xf numFmtId="0" fontId="71" fillId="68" borderId="22" applyNumberFormat="0" applyAlignment="0" applyProtection="0"/>
    <xf numFmtId="0" fontId="72" fillId="68" borderId="22" applyNumberFormat="0" applyAlignment="0" applyProtection="0"/>
    <xf numFmtId="0" fontId="72" fillId="68" borderId="22" applyNumberFormat="0" applyAlignment="0" applyProtection="0"/>
    <xf numFmtId="0" fontId="30" fillId="30" borderId="5" applyNumberFormat="0" applyAlignment="0" applyProtection="0"/>
    <xf numFmtId="0" fontId="71" fillId="68" borderId="22" applyNumberFormat="0" applyAlignment="0" applyProtection="0"/>
    <xf numFmtId="0" fontId="30" fillId="31" borderId="5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20" fillId="43" borderId="0">
      <alignment wrapText="1"/>
    </xf>
    <xf numFmtId="0" fontId="20" fillId="44" borderId="0">
      <alignment wrapText="1"/>
    </xf>
    <xf numFmtId="0" fontId="20" fillId="43" borderId="0">
      <alignment wrapText="1"/>
    </xf>
    <xf numFmtId="0" fontId="20" fillId="44" borderId="0">
      <alignment wrapText="1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Fill="0" applyBorder="0" applyProtection="0">
      <alignment horizontal="left" vertical="top"/>
    </xf>
    <xf numFmtId="0" fontId="77" fillId="0" borderId="0" applyNumberFormat="0" applyFill="0" applyBorder="0" applyAlignment="0" applyProtection="0"/>
    <xf numFmtId="0" fontId="78" fillId="0" borderId="23" applyNumberFormat="0" applyFill="0" applyAlignment="0" applyProtection="0"/>
    <xf numFmtId="0" fontId="16" fillId="0" borderId="6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16" fillId="0" borderId="6" applyNumberFormat="0" applyFill="0" applyAlignment="0" applyProtection="0"/>
    <xf numFmtId="0" fontId="78" fillId="0" borderId="23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34" fillId="0" borderId="7" applyNumberFormat="0" applyFill="0" applyAlignment="0" applyProtection="0"/>
    <xf numFmtId="0" fontId="79" fillId="0" borderId="24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35" fillId="0" borderId="8" applyNumberFormat="0" applyFill="0" applyAlignment="0" applyProtection="0"/>
    <xf numFmtId="0" fontId="80" fillId="0" borderId="25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1" fillId="0" borderId="26" applyNumberFormat="0" applyFill="0" applyAlignment="0" applyProtection="0"/>
    <xf numFmtId="0" fontId="82" fillId="0" borderId="26" applyNumberFormat="0" applyFill="0" applyAlignment="0" applyProtection="0"/>
    <xf numFmtId="0" fontId="81" fillId="0" borderId="26" applyNumberFormat="0" applyFill="0" applyAlignment="0" applyProtection="0"/>
    <xf numFmtId="0" fontId="11" fillId="0" borderId="9" applyNumberFormat="0" applyFill="0" applyAlignment="0" applyProtection="0"/>
    <xf numFmtId="0" fontId="81" fillId="0" borderId="26" applyNumberFormat="0" applyFill="0" applyAlignment="0" applyProtection="0"/>
    <xf numFmtId="0" fontId="11" fillId="0" borderId="9" applyNumberFormat="0" applyFill="0" applyAlignment="0" applyProtection="0"/>
    <xf numFmtId="0" fontId="82" fillId="0" borderId="26" applyNumberFormat="0" applyFill="0" applyAlignment="0" applyProtection="0"/>
    <xf numFmtId="0" fontId="11" fillId="0" borderId="9" applyNumberFormat="0" applyFill="0" applyAlignment="0" applyProtection="0"/>
    <xf numFmtId="0" fontId="82" fillId="0" borderId="26" applyNumberFormat="0" applyFill="0" applyAlignment="0" applyProtection="0"/>
    <xf numFmtId="0" fontId="82" fillId="0" borderId="26" applyNumberFormat="0" applyFill="0" applyAlignment="0" applyProtection="0"/>
    <xf numFmtId="0" fontId="11" fillId="0" borderId="9" applyNumberFormat="0" applyFill="0" applyAlignment="0" applyProtection="0"/>
    <xf numFmtId="0" fontId="37" fillId="0" borderId="10">
      <protection locked="0"/>
    </xf>
    <xf numFmtId="0" fontId="37" fillId="0" borderId="10">
      <protection locked="0"/>
    </xf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21" fillId="0" borderId="0" applyNumberFormat="0" applyBorder="0" applyAlignment="0">
      <protection locked="0"/>
    </xf>
    <xf numFmtId="38" fontId="21" fillId="0" borderId="0" applyNumberFormat="0" applyBorder="0" applyAlignment="0">
      <protection locked="0"/>
    </xf>
    <xf numFmtId="0" fontId="21" fillId="0" borderId="0" applyNumberFormat="0" applyBorder="0" applyAlignment="0">
      <protection locked="0"/>
    </xf>
    <xf numFmtId="166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3" fillId="0" borderId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" fillId="0" borderId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ill="0" applyBorder="0" applyAlignment="0" applyProtection="0"/>
    <xf numFmtId="176" fontId="3" fillId="0" borderId="0" applyFill="0" applyBorder="0" applyAlignment="0" applyProtection="0"/>
  </cellStyleXfs>
  <cellXfs count="267">
    <xf numFmtId="0" fontId="0" fillId="0" borderId="0" xfId="0"/>
    <xf numFmtId="0" fontId="3" fillId="0" borderId="0" xfId="2196" applyFont="1"/>
    <xf numFmtId="168" fontId="3" fillId="0" borderId="0" xfId="2712" applyNumberFormat="1" applyFont="1" applyFill="1" applyBorder="1" applyAlignment="1"/>
    <xf numFmtId="0" fontId="3" fillId="48" borderId="0" xfId="2196" applyFont="1" applyFill="1"/>
    <xf numFmtId="49" fontId="3" fillId="0" borderId="0" xfId="2196" applyNumberFormat="1" applyFont="1" applyAlignment="1">
      <alignment vertical="top"/>
    </xf>
    <xf numFmtId="166" fontId="3" fillId="0" borderId="0" xfId="2712" applyFont="1" applyFill="1" applyBorder="1" applyAlignment="1">
      <alignment horizontal="right"/>
    </xf>
    <xf numFmtId="49" fontId="3" fillId="48" borderId="0" xfId="2196" applyNumberFormat="1" applyFont="1" applyFill="1" applyAlignment="1">
      <alignment vertical="top"/>
    </xf>
    <xf numFmtId="164" fontId="3" fillId="48" borderId="0" xfId="2196" applyNumberFormat="1" applyFont="1" applyFill="1" applyAlignment="1">
      <alignment horizontal="right"/>
    </xf>
    <xf numFmtId="166" fontId="3" fillId="48" borderId="0" xfId="2712" applyFont="1" applyFill="1" applyAlignment="1"/>
    <xf numFmtId="49" fontId="3" fillId="48" borderId="0" xfId="2196" applyNumberFormat="1" applyFont="1" applyFill="1"/>
    <xf numFmtId="49" fontId="9" fillId="0" borderId="0" xfId="2196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18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3" fillId="0" borderId="0" xfId="2197"/>
    <xf numFmtId="0" fontId="3" fillId="0" borderId="0" xfId="2197" applyAlignment="1">
      <alignment vertical="top"/>
    </xf>
    <xf numFmtId="49" fontId="3" fillId="0" borderId="0" xfId="2197" quotePrefix="1" applyNumberFormat="1" applyAlignment="1">
      <alignment horizontal="center"/>
    </xf>
    <xf numFmtId="0" fontId="3" fillId="0" borderId="0" xfId="2197" applyAlignment="1">
      <alignment vertical="center"/>
    </xf>
    <xf numFmtId="0" fontId="3" fillId="80" borderId="0" xfId="0" applyFont="1" applyFill="1"/>
    <xf numFmtId="0" fontId="4" fillId="80" borderId="0" xfId="0" applyFont="1" applyFill="1" applyAlignment="1">
      <alignment horizontal="left" vertical="center" wrapText="1"/>
    </xf>
    <xf numFmtId="0" fontId="0" fillId="0" borderId="0" xfId="0" applyAlignment="1" applyProtection="1">
      <alignment horizontal="left" indent="1"/>
      <protection hidden="1"/>
    </xf>
    <xf numFmtId="0" fontId="83" fillId="80" borderId="0" xfId="0" applyFont="1" applyFill="1"/>
    <xf numFmtId="0" fontId="45" fillId="80" borderId="0" xfId="0" applyFont="1" applyFill="1" applyAlignment="1">
      <alignment vertical="center"/>
    </xf>
    <xf numFmtId="0" fontId="3" fillId="80" borderId="0" xfId="2196" applyFont="1" applyFill="1"/>
    <xf numFmtId="0" fontId="84" fillId="80" borderId="0" xfId="0" applyFont="1" applyFill="1" applyAlignment="1">
      <alignment horizontal="center" vertical="center"/>
    </xf>
    <xf numFmtId="0" fontId="6" fillId="80" borderId="0" xfId="0" applyFont="1" applyFill="1" applyAlignment="1">
      <alignment horizontal="left" vertical="center"/>
    </xf>
    <xf numFmtId="0" fontId="3" fillId="80" borderId="0" xfId="2197" applyFill="1" applyAlignment="1">
      <alignment vertical="center"/>
    </xf>
    <xf numFmtId="0" fontId="9" fillId="0" borderId="0" xfId="2197" applyFont="1" applyAlignment="1">
      <alignment horizontal="center" vertical="top"/>
    </xf>
    <xf numFmtId="0" fontId="1" fillId="0" borderId="0" xfId="0" quotePrefix="1" applyFont="1"/>
    <xf numFmtId="0" fontId="9" fillId="0" borderId="0" xfId="2197" applyFont="1" applyAlignment="1">
      <alignment vertical="top"/>
    </xf>
    <xf numFmtId="0" fontId="12" fillId="0" borderId="27" xfId="0" applyFont="1" applyBorder="1"/>
    <xf numFmtId="0" fontId="85" fillId="0" borderId="0" xfId="0" applyFont="1"/>
    <xf numFmtId="0" fontId="6" fillId="80" borderId="0" xfId="0" applyFont="1" applyFill="1"/>
    <xf numFmtId="0" fontId="81" fillId="0" borderId="0" xfId="0" applyFont="1"/>
    <xf numFmtId="0" fontId="1" fillId="80" borderId="0" xfId="0" applyFont="1" applyFill="1"/>
    <xf numFmtId="0" fontId="86" fillId="0" borderId="0" xfId="0" applyFont="1"/>
    <xf numFmtId="9" fontId="6" fillId="80" borderId="0" xfId="265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3" fillId="0" borderId="0" xfId="2120" applyProtection="1">
      <protection locked="0"/>
    </xf>
    <xf numFmtId="0" fontId="83" fillId="81" borderId="0" xfId="0" applyFont="1" applyFill="1" applyAlignment="1" applyProtection="1">
      <alignment horizontal="left" vertical="center" wrapText="1"/>
      <protection locked="0"/>
    </xf>
    <xf numFmtId="0" fontId="3" fillId="80" borderId="0" xfId="2196" applyFont="1" applyFill="1" applyProtection="1">
      <protection locked="0"/>
    </xf>
    <xf numFmtId="0" fontId="3" fillId="0" borderId="0" xfId="2120" applyAlignment="1" applyProtection="1">
      <alignment horizontal="center" vertical="center"/>
      <protection locked="0"/>
    </xf>
    <xf numFmtId="0" fontId="4" fillId="0" borderId="0" xfId="212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2120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13" xfId="2120" applyFont="1" applyBorder="1" applyAlignment="1">
      <alignment horizontal="left" indent="2"/>
    </xf>
    <xf numFmtId="0" fontId="0" fillId="0" borderId="0" xfId="0" applyAlignment="1">
      <alignment horizontal="center"/>
    </xf>
    <xf numFmtId="18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6" fillId="80" borderId="0" xfId="0" applyFont="1" applyFill="1" applyAlignment="1" applyProtection="1">
      <alignment horizontal="left" vertical="center"/>
      <protection locked="0"/>
    </xf>
    <xf numFmtId="0" fontId="3" fillId="48" borderId="0" xfId="2196" applyFont="1" applyFill="1" applyProtection="1">
      <protection locked="0"/>
    </xf>
    <xf numFmtId="0" fontId="3" fillId="0" borderId="0" xfId="2197" applyProtection="1">
      <protection locked="0"/>
    </xf>
    <xf numFmtId="0" fontId="9" fillId="0" borderId="0" xfId="2197" applyFont="1" applyAlignment="1" applyProtection="1">
      <alignment vertical="top"/>
      <protection locked="0"/>
    </xf>
    <xf numFmtId="49" fontId="3" fillId="0" borderId="0" xfId="2197" quotePrefix="1" applyNumberFormat="1" applyAlignment="1" applyProtection="1">
      <alignment horizontal="center"/>
      <protection locked="0"/>
    </xf>
    <xf numFmtId="168" fontId="3" fillId="0" borderId="0" xfId="2712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2" fillId="0" borderId="27" xfId="0" applyFont="1" applyBorder="1" applyProtection="1">
      <protection locked="0"/>
    </xf>
    <xf numFmtId="184" fontId="0" fillId="0" borderId="0" xfId="0" applyNumberFormat="1" applyProtection="1">
      <protection locked="0"/>
    </xf>
    <xf numFmtId="168" fontId="6" fillId="0" borderId="0" xfId="2825" applyNumberFormat="1" applyFont="1" applyFill="1" applyBorder="1" applyAlignment="1">
      <alignment horizontal="left" vertical="center"/>
    </xf>
    <xf numFmtId="168" fontId="3" fillId="0" borderId="0" xfId="2825" applyNumberFormat="1" applyFont="1" applyBorder="1" applyProtection="1">
      <protection locked="0"/>
    </xf>
    <xf numFmtId="168" fontId="83" fillId="81" borderId="0" xfId="2825" applyNumberFormat="1" applyFont="1" applyFill="1" applyBorder="1" applyAlignment="1" applyProtection="1">
      <alignment horizontal="left" vertical="center" wrapText="1"/>
      <protection locked="0"/>
    </xf>
    <xf numFmtId="168" fontId="2" fillId="0" borderId="0" xfId="2825" applyNumberFormat="1" applyFont="1" applyFill="1" applyBorder="1" applyAlignment="1" applyProtection="1">
      <alignment vertical="center" wrapText="1"/>
      <protection locked="0"/>
    </xf>
    <xf numFmtId="168" fontId="9" fillId="0" borderId="0" xfId="2825" applyNumberFormat="1" applyFont="1" applyFill="1" applyBorder="1" applyAlignment="1" applyProtection="1">
      <alignment horizontal="center" vertical="center"/>
      <protection locked="0"/>
    </xf>
    <xf numFmtId="168" fontId="4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Border="1" applyAlignment="1" applyProtection="1">
      <alignment horizontal="left" indent="3"/>
    </xf>
    <xf numFmtId="168" fontId="1" fillId="0" borderId="0" xfId="2825" applyNumberFormat="1" applyFont="1" applyFill="1" applyBorder="1"/>
    <xf numFmtId="168" fontId="6" fillId="0" borderId="0" xfId="2825" applyNumberFormat="1" applyFont="1" applyFill="1" applyBorder="1"/>
    <xf numFmtId="168" fontId="6" fillId="0" borderId="0" xfId="2825" applyNumberFormat="1" applyFont="1" applyFill="1" applyBorder="1" applyAlignment="1">
      <alignment horizontal="center"/>
    </xf>
    <xf numFmtId="168" fontId="3" fillId="0" borderId="0" xfId="2825" applyNumberFormat="1" applyFont="1" applyFill="1" applyBorder="1"/>
    <xf numFmtId="168" fontId="53" fillId="0" borderId="0" xfId="2825" applyNumberFormat="1" applyFont="1" applyBorder="1" applyAlignment="1" applyProtection="1">
      <alignment horizontal="left" indent="1"/>
      <protection hidden="1"/>
    </xf>
    <xf numFmtId="168" fontId="3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Fill="1" applyBorder="1" applyProtection="1">
      <protection locked="0"/>
    </xf>
    <xf numFmtId="168" fontId="2" fillId="0" borderId="0" xfId="2825" applyNumberFormat="1" applyFont="1" applyFill="1" applyBorder="1" applyAlignment="1" applyProtection="1">
      <alignment horizontal="center" vertical="center" wrapText="1"/>
      <protection locked="0"/>
    </xf>
    <xf numFmtId="168" fontId="3" fillId="0" borderId="16" xfId="2825" applyNumberFormat="1" applyFont="1" applyBorder="1" applyAlignment="1" applyProtection="1">
      <alignment horizontal="center" vertical="center"/>
      <protection locked="0"/>
    </xf>
    <xf numFmtId="168" fontId="9" fillId="0" borderId="0" xfId="2825" applyNumberFormat="1" applyFont="1" applyFill="1" applyBorder="1" applyAlignment="1" applyProtection="1">
      <alignment vertical="center"/>
      <protection locked="0"/>
    </xf>
    <xf numFmtId="168" fontId="3" fillId="0" borderId="11" xfId="2825" applyNumberFormat="1" applyFont="1" applyBorder="1" applyAlignment="1" applyProtection="1">
      <alignment horizontal="center" vertical="center"/>
      <protection locked="0"/>
    </xf>
    <xf numFmtId="168" fontId="3" fillId="0" borderId="17" xfId="2825" applyNumberFormat="1" applyFont="1" applyBorder="1" applyAlignment="1" applyProtection="1">
      <alignment horizontal="center" vertical="center"/>
      <protection locked="0"/>
    </xf>
    <xf numFmtId="168" fontId="0" fillId="0" borderId="0" xfId="0" applyNumberFormat="1" applyProtection="1">
      <protection locked="0"/>
    </xf>
    <xf numFmtId="186" fontId="0" fillId="0" borderId="0" xfId="0" applyNumberFormat="1"/>
    <xf numFmtId="9" fontId="0" fillId="0" borderId="0" xfId="2650" applyFont="1"/>
    <xf numFmtId="168" fontId="0" fillId="0" borderId="0" xfId="2825" applyNumberFormat="1" applyFont="1"/>
    <xf numFmtId="168" fontId="3" fillId="0" borderId="0" xfId="2120" applyNumberFormat="1" applyProtection="1">
      <protection locked="0"/>
    </xf>
    <xf numFmtId="168" fontId="3" fillId="0" borderId="0" xfId="2120" applyNumberFormat="1" applyAlignment="1" applyProtection="1">
      <alignment horizontal="center" vertical="center"/>
      <protection locked="0"/>
    </xf>
    <xf numFmtId="168" fontId="3" fillId="0" borderId="0" xfId="2842" applyNumberFormat="1" applyFont="1" applyFill="1" applyBorder="1" applyAlignment="1" applyProtection="1">
      <protection locked="0"/>
    </xf>
    <xf numFmtId="168" fontId="3" fillId="0" borderId="0" xfId="2842" applyNumberFormat="1" applyFont="1" applyFill="1" applyBorder="1" applyAlignment="1" applyProtection="1"/>
    <xf numFmtId="168" fontId="3" fillId="0" borderId="0" xfId="2842" applyNumberFormat="1" applyFont="1" applyBorder="1" applyAlignment="1" applyProtection="1">
      <alignment horizontal="left" indent="3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82" borderId="28" xfId="0" applyFont="1" applyFill="1" applyBorder="1" applyAlignment="1">
      <alignment horizontal="left" vertical="center"/>
    </xf>
    <xf numFmtId="0" fontId="2" fillId="83" borderId="12" xfId="0" applyFont="1" applyFill="1" applyBorder="1" applyAlignment="1">
      <alignment horizontal="center" vertical="center" wrapText="1"/>
    </xf>
    <xf numFmtId="0" fontId="0" fillId="0" borderId="29" xfId="0" applyBorder="1"/>
    <xf numFmtId="49" fontId="3" fillId="0" borderId="27" xfId="2197" applyNumberFormat="1" applyBorder="1" applyAlignment="1">
      <alignment horizontal="left"/>
    </xf>
    <xf numFmtId="0" fontId="6" fillId="0" borderId="28" xfId="0" applyFont="1" applyBorder="1" applyAlignment="1">
      <alignment horizontal="left" vertical="center"/>
    </xf>
    <xf numFmtId="170" fontId="6" fillId="0" borderId="30" xfId="0" applyNumberFormat="1" applyFont="1" applyBorder="1" applyAlignment="1">
      <alignment horizontal="right" vertical="center"/>
    </xf>
    <xf numFmtId="170" fontId="6" fillId="0" borderId="28" xfId="0" applyNumberFormat="1" applyFont="1" applyBorder="1" applyAlignment="1">
      <alignment horizontal="right" vertical="center"/>
    </xf>
    <xf numFmtId="169" fontId="6" fillId="80" borderId="28" xfId="0" applyNumberFormat="1" applyFont="1" applyFill="1" applyBorder="1" applyAlignment="1">
      <alignment horizontal="right" vertical="center"/>
    </xf>
    <xf numFmtId="168" fontId="6" fillId="0" borderId="28" xfId="2842" applyNumberFormat="1" applyFont="1" applyFill="1" applyBorder="1" applyAlignment="1">
      <alignment horizontal="right" vertical="center"/>
    </xf>
    <xf numFmtId="0" fontId="4" fillId="82" borderId="31" xfId="2120" applyFont="1" applyFill="1" applyBorder="1" applyAlignment="1">
      <alignment horizontal="left" vertical="center"/>
    </xf>
    <xf numFmtId="49" fontId="3" fillId="48" borderId="0" xfId="2197" applyNumberFormat="1" applyFill="1" applyAlignment="1">
      <alignment vertical="top"/>
    </xf>
    <xf numFmtId="168" fontId="3" fillId="48" borderId="0" xfId="2712" applyNumberFormat="1" applyFont="1" applyFill="1" applyBorder="1" applyAlignment="1"/>
    <xf numFmtId="49" fontId="3" fillId="48" borderId="0" xfId="2197" quotePrefix="1" applyNumberFormat="1" applyFill="1" applyAlignment="1">
      <alignment horizontal="left" vertical="top"/>
    </xf>
    <xf numFmtId="0" fontId="3" fillId="48" borderId="0" xfId="2197" applyFill="1"/>
    <xf numFmtId="168" fontId="4" fillId="82" borderId="31" xfId="2842" applyNumberFormat="1" applyFont="1" applyFill="1" applyBorder="1" applyAlignment="1">
      <alignment horizontal="left" vertical="center"/>
    </xf>
    <xf numFmtId="164" fontId="3" fillId="48" borderId="0" xfId="2197" applyNumberFormat="1" applyFill="1" applyAlignment="1">
      <alignment horizontal="right"/>
    </xf>
    <xf numFmtId="0" fontId="3" fillId="80" borderId="0" xfId="2197" applyFill="1" applyProtection="1">
      <protection locked="0"/>
    </xf>
    <xf numFmtId="0" fontId="4" fillId="0" borderId="32" xfId="2712" applyNumberFormat="1" applyFont="1" applyFill="1" applyBorder="1" applyAlignment="1">
      <alignment vertical="center"/>
    </xf>
    <xf numFmtId="168" fontId="4" fillId="0" borderId="32" xfId="2712" applyNumberFormat="1" applyFont="1" applyFill="1" applyBorder="1" applyAlignment="1">
      <alignment horizontal="left" vertical="center"/>
    </xf>
    <xf numFmtId="0" fontId="88" fillId="0" borderId="29" xfId="0" applyFont="1" applyBorder="1"/>
    <xf numFmtId="168" fontId="4" fillId="0" borderId="13" xfId="2842" applyNumberFormat="1" applyFont="1" applyFill="1" applyBorder="1" applyAlignment="1" applyProtection="1">
      <alignment horizontal="right"/>
    </xf>
    <xf numFmtId="168" fontId="3" fillId="0" borderId="0" xfId="2842" applyNumberFormat="1" applyFont="1" applyFill="1" applyBorder="1" applyAlignment="1" applyProtection="1">
      <alignment horizontal="left" indent="3"/>
    </xf>
    <xf numFmtId="0" fontId="4" fillId="0" borderId="15" xfId="2120" applyFont="1" applyBorder="1" applyAlignment="1">
      <alignment horizontal="left"/>
    </xf>
    <xf numFmtId="168" fontId="4" fillId="0" borderId="0" xfId="2842" applyNumberFormat="1" applyFont="1" applyBorder="1" applyAlignment="1" applyProtection="1">
      <alignment horizontal="right"/>
      <protection locked="0"/>
    </xf>
    <xf numFmtId="168" fontId="3" fillId="0" borderId="14" xfId="2842" applyNumberFormat="1" applyFont="1" applyBorder="1" applyProtection="1"/>
    <xf numFmtId="168" fontId="4" fillId="0" borderId="0" xfId="2842" applyNumberFormat="1" applyFont="1" applyBorder="1" applyAlignment="1" applyProtection="1">
      <alignment horizontal="left"/>
    </xf>
    <xf numFmtId="168" fontId="4" fillId="0" borderId="15" xfId="2842" applyNumberFormat="1" applyFont="1" applyBorder="1" applyAlignment="1" applyProtection="1">
      <alignment horizontal="left"/>
    </xf>
    <xf numFmtId="168" fontId="2" fillId="83" borderId="12" xfId="2842" applyNumberFormat="1" applyFont="1" applyFill="1" applyBorder="1" applyAlignment="1" applyProtection="1">
      <alignment horizontal="center" vertical="center" wrapText="1"/>
      <protection locked="0"/>
    </xf>
    <xf numFmtId="0" fontId="89" fillId="0" borderId="29" xfId="0" applyFont="1" applyBorder="1"/>
    <xf numFmtId="0" fontId="54" fillId="0" borderId="29" xfId="0" applyFont="1" applyBorder="1"/>
    <xf numFmtId="168" fontId="6" fillId="0" borderId="27" xfId="2842" applyNumberFormat="1" applyFont="1" applyFill="1" applyBorder="1"/>
    <xf numFmtId="168" fontId="2" fillId="83" borderId="12" xfId="2842" applyNumberFormat="1" applyFont="1" applyFill="1" applyBorder="1" applyAlignment="1">
      <alignment horizontal="center" vertical="center" wrapText="1"/>
    </xf>
    <xf numFmtId="168" fontId="6" fillId="0" borderId="28" xfId="0" applyNumberFormat="1" applyFont="1" applyBorder="1" applyAlignment="1">
      <alignment horizontal="left" vertical="center"/>
    </xf>
    <xf numFmtId="168" fontId="1" fillId="0" borderId="0" xfId="2842" applyNumberFormat="1" applyFont="1" applyFill="1" applyBorder="1"/>
    <xf numFmtId="0" fontId="13" fillId="0" borderId="28" xfId="0" applyFont="1" applyBorder="1" applyAlignment="1">
      <alignment horizontal="left" vertical="center"/>
    </xf>
    <xf numFmtId="0" fontId="13" fillId="0" borderId="0" xfId="0" applyFont="1"/>
    <xf numFmtId="0" fontId="6" fillId="0" borderId="33" xfId="0" applyFont="1" applyBorder="1" applyAlignment="1">
      <alignment horizontal="left" vertical="center"/>
    </xf>
    <xf numFmtId="49" fontId="3" fillId="48" borderId="0" xfId="2197" applyNumberFormat="1" applyFill="1"/>
    <xf numFmtId="167" fontId="6" fillId="0" borderId="28" xfId="0" applyNumberFormat="1" applyFont="1" applyBorder="1" applyAlignment="1">
      <alignment horizontal="left" vertical="center"/>
    </xf>
    <xf numFmtId="167" fontId="4" fillId="82" borderId="31" xfId="2842" applyNumberFormat="1" applyFont="1" applyFill="1" applyBorder="1" applyAlignment="1">
      <alignment horizontal="left" vertical="center"/>
    </xf>
    <xf numFmtId="49" fontId="3" fillId="0" borderId="0" xfId="2197" applyNumberFormat="1" applyAlignment="1">
      <alignment horizontal="left"/>
    </xf>
    <xf numFmtId="168" fontId="6" fillId="0" borderId="33" xfId="0" applyNumberFormat="1" applyFont="1" applyBorder="1" applyAlignment="1">
      <alignment horizontal="left" vertical="center"/>
    </xf>
    <xf numFmtId="9" fontId="6" fillId="80" borderId="28" xfId="0" applyNumberFormat="1" applyFont="1" applyFill="1" applyBorder="1" applyAlignment="1">
      <alignment horizontal="right" vertical="center"/>
    </xf>
    <xf numFmtId="0" fontId="90" fillId="0" borderId="0" xfId="0" applyFont="1"/>
    <xf numFmtId="0" fontId="0" fillId="80" borderId="0" xfId="0" applyFill="1"/>
    <xf numFmtId="0" fontId="90" fillId="0" borderId="0" xfId="0" applyFont="1" applyAlignment="1">
      <alignment horizontal="left" vertical="center"/>
    </xf>
    <xf numFmtId="168" fontId="6" fillId="0" borderId="34" xfId="0" applyNumberFormat="1" applyFont="1" applyBorder="1" applyAlignment="1">
      <alignment horizontal="left" vertical="center"/>
    </xf>
    <xf numFmtId="9" fontId="6" fillId="0" borderId="28" xfId="2651" applyFont="1" applyBorder="1" applyAlignment="1">
      <alignment horizontal="right" vertical="center"/>
    </xf>
    <xf numFmtId="9" fontId="6" fillId="0" borderId="33" xfId="2651" applyFont="1" applyBorder="1" applyAlignment="1">
      <alignment horizontal="right" vertical="center"/>
    </xf>
    <xf numFmtId="9" fontId="4" fillId="82" borderId="31" xfId="2651" applyFont="1" applyFill="1" applyBorder="1" applyAlignment="1">
      <alignment horizontal="right" vertical="center"/>
    </xf>
    <xf numFmtId="9" fontId="54" fillId="0" borderId="29" xfId="2651" applyFont="1" applyBorder="1"/>
    <xf numFmtId="9" fontId="0" fillId="0" borderId="0" xfId="2651" applyFont="1"/>
    <xf numFmtId="0" fontId="89" fillId="0" borderId="0" xfId="0" applyFont="1"/>
    <xf numFmtId="0" fontId="5" fillId="0" borderId="28" xfId="0" applyFont="1" applyBorder="1" applyAlignment="1">
      <alignment horizontal="left" vertical="center"/>
    </xf>
    <xf numFmtId="0" fontId="2" fillId="83" borderId="35" xfId="0" applyFont="1" applyFill="1" applyBorder="1" applyAlignment="1">
      <alignment horizontal="center" vertical="center" wrapText="1"/>
    </xf>
    <xf numFmtId="170" fontId="13" fillId="80" borderId="30" xfId="0" applyNumberFormat="1" applyFont="1" applyFill="1" applyBorder="1" applyAlignment="1">
      <alignment horizontal="right" vertical="center"/>
    </xf>
    <xf numFmtId="169" fontId="91" fillId="0" borderId="28" xfId="2651" applyNumberFormat="1" applyFont="1" applyBorder="1"/>
    <xf numFmtId="170" fontId="13" fillId="80" borderId="28" xfId="0" applyNumberFormat="1" applyFont="1" applyFill="1" applyBorder="1" applyAlignment="1">
      <alignment horizontal="right" vertical="center"/>
    </xf>
    <xf numFmtId="169" fontId="92" fillId="0" borderId="32" xfId="2651" applyNumberFormat="1" applyFont="1" applyBorder="1"/>
    <xf numFmtId="169" fontId="91" fillId="0" borderId="32" xfId="2651" applyNumberFormat="1" applyFont="1" applyBorder="1"/>
    <xf numFmtId="168" fontId="93" fillId="0" borderId="0" xfId="2847" applyNumberFormat="1" applyFont="1" applyFill="1" applyAlignment="1">
      <alignment horizontal="right"/>
    </xf>
    <xf numFmtId="168" fontId="3" fillId="0" borderId="0" xfId="2197" applyNumberFormat="1"/>
    <xf numFmtId="168" fontId="0" fillId="0" borderId="0" xfId="0" applyNumberFormat="1"/>
    <xf numFmtId="168" fontId="6" fillId="0" borderId="0" xfId="0" applyNumberFormat="1" applyFont="1" applyProtection="1">
      <protection locked="0"/>
    </xf>
    <xf numFmtId="168" fontId="3" fillId="0" borderId="0" xfId="2842" applyNumberFormat="1" applyFont="1" applyBorder="1" applyAlignment="1" applyProtection="1"/>
    <xf numFmtId="0" fontId="2" fillId="83" borderId="11" xfId="0" applyFont="1" applyFill="1" applyBorder="1" applyAlignment="1">
      <alignment horizontal="center" vertical="center" wrapText="1"/>
    </xf>
    <xf numFmtId="169" fontId="91" fillId="0" borderId="28" xfId="2651" applyNumberFormat="1" applyFont="1" applyFill="1" applyBorder="1"/>
    <xf numFmtId="0" fontId="6" fillId="0" borderId="30" xfId="0" applyFont="1" applyBorder="1" applyAlignment="1">
      <alignment horizontal="left" vertical="center"/>
    </xf>
    <xf numFmtId="49" fontId="3" fillId="0" borderId="0" xfId="2197" applyNumberFormat="1" applyAlignment="1">
      <alignment vertical="top"/>
    </xf>
    <xf numFmtId="168" fontId="2" fillId="83" borderId="40" xfId="2842" applyNumberFormat="1" applyFont="1" applyFill="1" applyBorder="1" applyAlignment="1" applyProtection="1">
      <alignment horizontal="center" vertical="center" wrapText="1"/>
      <protection locked="0"/>
    </xf>
    <xf numFmtId="168" fontId="3" fillId="0" borderId="43" xfId="2825" applyNumberFormat="1" applyFont="1" applyBorder="1" applyAlignment="1" applyProtection="1">
      <alignment horizontal="center" vertical="center"/>
      <protection locked="0"/>
    </xf>
    <xf numFmtId="0" fontId="2" fillId="0" borderId="0" xfId="2197" applyFont="1" applyAlignment="1" applyProtection="1">
      <alignment vertical="center" wrapText="1"/>
      <protection locked="0"/>
    </xf>
    <xf numFmtId="0" fontId="9" fillId="0" borderId="0" xfId="2120" applyFont="1" applyAlignment="1" applyProtection="1">
      <alignment horizontal="center" vertical="center"/>
      <protection locked="0"/>
    </xf>
    <xf numFmtId="0" fontId="4" fillId="0" borderId="0" xfId="2120" applyFont="1" applyAlignment="1" applyProtection="1">
      <alignment horizontal="center" vertical="center"/>
      <protection locked="0"/>
    </xf>
    <xf numFmtId="0" fontId="3" fillId="0" borderId="0" xfId="2120" applyAlignment="1">
      <alignment horizontal="left" indent="3"/>
    </xf>
    <xf numFmtId="0" fontId="3" fillId="80" borderId="0" xfId="2120" applyFill="1" applyAlignment="1">
      <alignment horizontal="left" indent="3"/>
    </xf>
    <xf numFmtId="0" fontId="2" fillId="0" borderId="48" xfId="2197" applyFont="1" applyBorder="1" applyAlignment="1" applyProtection="1">
      <alignment vertical="center" wrapText="1"/>
      <protection locked="0"/>
    </xf>
    <xf numFmtId="0" fontId="9" fillId="0" borderId="48" xfId="2120" applyFont="1" applyBorder="1" applyAlignment="1" applyProtection="1">
      <alignment horizontal="center" vertical="center"/>
      <protection locked="0"/>
    </xf>
    <xf numFmtId="0" fontId="4" fillId="0" borderId="48" xfId="2120" applyFont="1" applyBorder="1" applyAlignment="1" applyProtection="1">
      <alignment horizontal="center" vertical="center"/>
      <protection locked="0"/>
    </xf>
    <xf numFmtId="0" fontId="4" fillId="82" borderId="49" xfId="2120" applyFont="1" applyFill="1" applyBorder="1" applyAlignment="1">
      <alignment horizontal="left" vertical="center"/>
    </xf>
    <xf numFmtId="0" fontId="4" fillId="0" borderId="50" xfId="2120" applyFont="1" applyBorder="1" applyAlignment="1">
      <alignment horizontal="left" indent="2"/>
    </xf>
    <xf numFmtId="0" fontId="3" fillId="0" borderId="48" xfId="2120" applyBorder="1" applyAlignment="1">
      <alignment horizontal="left" indent="3"/>
    </xf>
    <xf numFmtId="0" fontId="3" fillId="80" borderId="48" xfId="2120" applyFill="1" applyBorder="1" applyAlignment="1">
      <alignment horizontal="left" indent="3"/>
    </xf>
    <xf numFmtId="0" fontId="4" fillId="0" borderId="0" xfId="2120" applyFont="1"/>
    <xf numFmtId="0" fontId="3" fillId="0" borderId="0" xfId="2120"/>
    <xf numFmtId="0" fontId="4" fillId="0" borderId="0" xfId="2120" applyFont="1" applyAlignment="1">
      <alignment horizontal="left"/>
    </xf>
    <xf numFmtId="0" fontId="4" fillId="0" borderId="48" xfId="2120" applyFont="1" applyBorder="1"/>
    <xf numFmtId="0" fontId="3" fillId="0" borderId="48" xfId="2120" applyBorder="1"/>
    <xf numFmtId="0" fontId="4" fillId="0" borderId="48" xfId="2120" applyFont="1" applyBorder="1" applyAlignment="1">
      <alignment horizontal="left"/>
    </xf>
    <xf numFmtId="0" fontId="4" fillId="0" borderId="52" xfId="2120" applyFont="1" applyBorder="1" applyAlignment="1">
      <alignment horizontal="left"/>
    </xf>
    <xf numFmtId="0" fontId="88" fillId="0" borderId="53" xfId="0" applyFont="1" applyBorder="1"/>
    <xf numFmtId="0" fontId="3" fillId="0" borderId="48" xfId="2120" applyBorder="1" applyProtection="1">
      <protection locked="0"/>
    </xf>
    <xf numFmtId="49" fontId="3" fillId="0" borderId="56" xfId="2196" applyNumberFormat="1" applyFont="1" applyBorder="1" applyAlignment="1">
      <alignment vertical="top"/>
    </xf>
    <xf numFmtId="49" fontId="9" fillId="0" borderId="56" xfId="2196" applyNumberFormat="1" applyFont="1" applyBorder="1" applyAlignment="1">
      <alignment horizontal="center"/>
    </xf>
    <xf numFmtId="49" fontId="3" fillId="48" borderId="56" xfId="2196" applyNumberFormat="1" applyFont="1" applyFill="1" applyBorder="1" applyAlignment="1">
      <alignment vertical="top"/>
    </xf>
    <xf numFmtId="0" fontId="4" fillId="82" borderId="57" xfId="2120" applyFont="1" applyFill="1" applyBorder="1" applyAlignment="1">
      <alignment horizontal="left" vertical="center"/>
    </xf>
    <xf numFmtId="49" fontId="3" fillId="48" borderId="56" xfId="2197" applyNumberFormat="1" applyFill="1" applyBorder="1" applyAlignment="1">
      <alignment vertical="top"/>
    </xf>
    <xf numFmtId="0" fontId="6" fillId="0" borderId="58" xfId="0" applyFont="1" applyBorder="1" applyAlignment="1">
      <alignment horizontal="left" vertical="center"/>
    </xf>
    <xf numFmtId="0" fontId="0" fillId="0" borderId="59" xfId="0" applyBorder="1"/>
    <xf numFmtId="49" fontId="3" fillId="48" borderId="56" xfId="2197" quotePrefix="1" applyNumberFormat="1" applyFill="1" applyBorder="1" applyAlignment="1">
      <alignment horizontal="left" vertical="top"/>
    </xf>
    <xf numFmtId="0" fontId="3" fillId="48" borderId="56" xfId="2197" applyFill="1" applyBorder="1"/>
    <xf numFmtId="0" fontId="3" fillId="0" borderId="56" xfId="2197" applyBorder="1" applyAlignment="1">
      <alignment vertical="top"/>
    </xf>
    <xf numFmtId="0" fontId="9" fillId="0" borderId="56" xfId="2197" applyFont="1" applyBorder="1" applyAlignment="1">
      <alignment horizontal="center" vertical="top"/>
    </xf>
    <xf numFmtId="0" fontId="4" fillId="0" borderId="60" xfId="2712" applyNumberFormat="1" applyFont="1" applyFill="1" applyBorder="1" applyAlignment="1">
      <alignment vertical="center"/>
    </xf>
    <xf numFmtId="0" fontId="3" fillId="0" borderId="56" xfId="2197" applyBorder="1" applyAlignment="1">
      <alignment vertical="center"/>
    </xf>
    <xf numFmtId="0" fontId="3" fillId="80" borderId="56" xfId="2197" applyFill="1" applyBorder="1" applyAlignment="1">
      <alignment vertical="center"/>
    </xf>
    <xf numFmtId="0" fontId="3" fillId="0" borderId="61" xfId="2197" applyBorder="1"/>
    <xf numFmtId="0" fontId="2" fillId="0" borderId="48" xfId="0" applyFont="1" applyBorder="1" applyAlignment="1">
      <alignment horizontal="center" vertical="center" wrapText="1"/>
    </xf>
    <xf numFmtId="0" fontId="9" fillId="0" borderId="48" xfId="2197" applyFont="1" applyBorder="1" applyAlignment="1">
      <alignment horizontal="center" vertical="top"/>
    </xf>
    <xf numFmtId="0" fontId="2" fillId="0" borderId="48" xfId="0" applyFont="1" applyBorder="1" applyAlignment="1">
      <alignment horizontal="left" vertical="center" wrapText="1"/>
    </xf>
    <xf numFmtId="0" fontId="6" fillId="82" borderId="62" xfId="0" applyFont="1" applyFill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0" fillId="0" borderId="53" xfId="0" applyBorder="1"/>
    <xf numFmtId="0" fontId="6" fillId="0" borderId="48" xfId="0" applyFont="1" applyBorder="1"/>
    <xf numFmtId="0" fontId="13" fillId="0" borderId="3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2" fillId="0" borderId="0" xfId="0" applyFont="1"/>
    <xf numFmtId="0" fontId="2" fillId="83" borderId="66" xfId="0" applyFont="1" applyFill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88" fillId="0" borderId="59" xfId="0" applyFont="1" applyBorder="1"/>
    <xf numFmtId="0" fontId="0" fillId="0" borderId="56" xfId="0" applyBorder="1"/>
    <xf numFmtId="0" fontId="0" fillId="0" borderId="56" xfId="0" applyBorder="1" applyAlignment="1">
      <alignment horizontal="right"/>
    </xf>
    <xf numFmtId="0" fontId="12" fillId="0" borderId="68" xfId="0" applyFont="1" applyBorder="1"/>
    <xf numFmtId="0" fontId="3" fillId="80" borderId="13" xfId="0" applyFont="1" applyFill="1" applyBorder="1"/>
    <xf numFmtId="0" fontId="13" fillId="0" borderId="62" xfId="0" applyFont="1" applyBorder="1" applyAlignment="1">
      <alignment horizontal="left" vertical="center"/>
    </xf>
    <xf numFmtId="0" fontId="12" fillId="0" borderId="48" xfId="0" applyFont="1" applyBorder="1"/>
    <xf numFmtId="0" fontId="0" fillId="0" borderId="61" xfId="0" applyBorder="1"/>
    <xf numFmtId="0" fontId="2" fillId="83" borderId="38" xfId="0" applyFont="1" applyFill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/>
    </xf>
    <xf numFmtId="49" fontId="3" fillId="0" borderId="13" xfId="2197" applyNumberFormat="1" applyBorder="1" applyAlignment="1">
      <alignment horizontal="left"/>
    </xf>
    <xf numFmtId="0" fontId="0" fillId="0" borderId="13" xfId="0" applyBorder="1"/>
    <xf numFmtId="0" fontId="6" fillId="0" borderId="15" xfId="0" applyFont="1" applyBorder="1"/>
    <xf numFmtId="49" fontId="3" fillId="0" borderId="15" xfId="2197" applyNumberFormat="1" applyBorder="1" applyAlignment="1">
      <alignment horizontal="left"/>
    </xf>
    <xf numFmtId="0" fontId="6" fillId="0" borderId="71" xfId="0" applyFont="1" applyBorder="1" applyAlignment="1">
      <alignment horizontal="left" vertical="center"/>
    </xf>
    <xf numFmtId="0" fontId="54" fillId="0" borderId="53" xfId="0" applyFont="1" applyBorder="1"/>
    <xf numFmtId="49" fontId="3" fillId="0" borderId="48" xfId="2197" applyNumberFormat="1" applyBorder="1" applyAlignment="1">
      <alignment horizontal="left"/>
    </xf>
    <xf numFmtId="0" fontId="0" fillId="0" borderId="39" xfId="0" applyBorder="1"/>
    <xf numFmtId="0" fontId="2" fillId="84" borderId="36" xfId="0" applyFont="1" applyFill="1" applyBorder="1" applyAlignment="1">
      <alignment horizontal="center" vertical="center" wrapText="1"/>
    </xf>
    <xf numFmtId="0" fontId="2" fillId="84" borderId="37" xfId="0" applyFont="1" applyFill="1" applyBorder="1" applyAlignment="1">
      <alignment horizontal="center" vertical="center" wrapText="1"/>
    </xf>
    <xf numFmtId="0" fontId="2" fillId="83" borderId="48" xfId="0" applyFont="1" applyFill="1" applyBorder="1" applyAlignment="1">
      <alignment horizontal="center" vertical="center" wrapText="1"/>
    </xf>
    <xf numFmtId="0" fontId="2" fillId="83" borderId="51" xfId="0" applyFont="1" applyFill="1" applyBorder="1" applyAlignment="1">
      <alignment horizontal="center" vertical="center" wrapText="1"/>
    </xf>
    <xf numFmtId="0" fontId="2" fillId="83" borderId="11" xfId="0" applyFont="1" applyFill="1" applyBorder="1" applyAlignment="1">
      <alignment horizontal="center" vertical="center" wrapText="1"/>
    </xf>
    <xf numFmtId="0" fontId="2" fillId="83" borderId="12" xfId="0" applyFont="1" applyFill="1" applyBorder="1" applyAlignment="1">
      <alignment horizontal="center" vertical="center" wrapText="1"/>
    </xf>
    <xf numFmtId="0" fontId="2" fillId="83" borderId="0" xfId="0" applyFont="1" applyFill="1" applyAlignment="1">
      <alignment horizontal="center" vertical="center" wrapText="1"/>
    </xf>
    <xf numFmtId="0" fontId="2" fillId="83" borderId="38" xfId="0" applyFont="1" applyFill="1" applyBorder="1" applyAlignment="1">
      <alignment horizontal="center" vertical="center" wrapText="1"/>
    </xf>
    <xf numFmtId="0" fontId="2" fillId="83" borderId="56" xfId="0" applyFont="1" applyFill="1" applyBorder="1" applyAlignment="1">
      <alignment horizontal="center" vertical="center" wrapText="1"/>
    </xf>
    <xf numFmtId="0" fontId="2" fillId="83" borderId="55" xfId="0" applyFont="1" applyFill="1" applyBorder="1" applyAlignment="1">
      <alignment horizontal="center" vertical="center" wrapText="1"/>
    </xf>
    <xf numFmtId="0" fontId="2" fillId="83" borderId="54" xfId="0" applyFont="1" applyFill="1" applyBorder="1" applyAlignment="1">
      <alignment horizontal="center" vertical="center" wrapText="1"/>
    </xf>
    <xf numFmtId="168" fontId="2" fillId="83" borderId="39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38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64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65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44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45" xfId="2842" applyNumberFormat="1" applyFont="1" applyFill="1" applyBorder="1" applyAlignment="1" applyProtection="1">
      <alignment horizontal="center" vertical="center" wrapText="1"/>
      <protection locked="0"/>
    </xf>
    <xf numFmtId="0" fontId="2" fillId="83" borderId="48" xfId="0" applyFont="1" applyFill="1" applyBorder="1" applyAlignment="1" applyProtection="1">
      <alignment horizontal="center" vertical="center" wrapText="1"/>
      <protection locked="0"/>
    </xf>
    <xf numFmtId="0" fontId="2" fillId="83" borderId="51" xfId="0" applyFont="1" applyFill="1" applyBorder="1" applyAlignment="1" applyProtection="1">
      <alignment horizontal="center" vertical="center" wrapText="1"/>
      <protection locked="0"/>
    </xf>
    <xf numFmtId="0" fontId="2" fillId="83" borderId="39" xfId="0" applyFont="1" applyFill="1" applyBorder="1" applyAlignment="1" applyProtection="1">
      <alignment horizontal="center" vertical="center" wrapText="1"/>
      <protection locked="0"/>
    </xf>
    <xf numFmtId="0" fontId="2" fillId="83" borderId="38" xfId="0" applyFont="1" applyFill="1" applyBorder="1" applyAlignment="1" applyProtection="1">
      <alignment horizontal="center" vertical="center" wrapText="1"/>
      <protection locked="0"/>
    </xf>
    <xf numFmtId="168" fontId="2" fillId="83" borderId="46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47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41" xfId="2842" applyNumberFormat="1" applyFont="1" applyFill="1" applyBorder="1" applyAlignment="1" applyProtection="1">
      <alignment horizontal="center" vertical="center" wrapText="1"/>
      <protection locked="0"/>
    </xf>
    <xf numFmtId="168" fontId="2" fillId="83" borderId="42" xfId="2842" applyNumberFormat="1" applyFont="1" applyFill="1" applyBorder="1" applyAlignment="1" applyProtection="1">
      <alignment horizontal="center" vertical="center" wrapText="1"/>
      <protection locked="0"/>
    </xf>
    <xf numFmtId="0" fontId="2" fillId="83" borderId="30" xfId="0" applyFont="1" applyFill="1" applyBorder="1" applyAlignment="1">
      <alignment horizontal="center" vertical="center" wrapText="1"/>
    </xf>
    <xf numFmtId="0" fontId="2" fillId="83" borderId="69" xfId="0" applyFont="1" applyFill="1" applyBorder="1" applyAlignment="1">
      <alignment horizontal="center" vertical="center" wrapText="1"/>
    </xf>
    <xf numFmtId="0" fontId="2" fillId="83" borderId="63" xfId="0" applyFont="1" applyFill="1" applyBorder="1" applyAlignment="1">
      <alignment horizontal="center" vertical="center" wrapText="1"/>
    </xf>
    <xf numFmtId="0" fontId="2" fillId="83" borderId="15" xfId="0" applyFont="1" applyFill="1" applyBorder="1" applyAlignment="1">
      <alignment horizontal="center" vertical="center" wrapText="1"/>
    </xf>
  </cellXfs>
  <cellStyles count="2942">
    <cellStyle name="20% - Ênfase1" xfId="1" builtinId="30" customBuiltin="1"/>
    <cellStyle name="20% - Ênfase1 10" xfId="2" xr:uid="{00000000-0005-0000-0000-000001000000}"/>
    <cellStyle name="20% - Ênfase1 10 2" xfId="3" xr:uid="{00000000-0005-0000-0000-000002000000}"/>
    <cellStyle name="20% - Ênfase1 10 3" xfId="4" xr:uid="{00000000-0005-0000-0000-000003000000}"/>
    <cellStyle name="20% - Ênfase1 11" xfId="5" xr:uid="{00000000-0005-0000-0000-000004000000}"/>
    <cellStyle name="20% - Ênfase1 11 2" xfId="6" xr:uid="{00000000-0005-0000-0000-000005000000}"/>
    <cellStyle name="20% - Ênfase1 11 3" xfId="7" xr:uid="{00000000-0005-0000-0000-000006000000}"/>
    <cellStyle name="20% - Ênfase1 12" xfId="8" xr:uid="{00000000-0005-0000-0000-000007000000}"/>
    <cellStyle name="20% - Ênfase1 13" xfId="9" xr:uid="{00000000-0005-0000-0000-000008000000}"/>
    <cellStyle name="20% - Ênfase1 14" xfId="10" xr:uid="{00000000-0005-0000-0000-000009000000}"/>
    <cellStyle name="20% - Ênfase1 15" xfId="11" xr:uid="{00000000-0005-0000-0000-00000A000000}"/>
    <cellStyle name="20% - Ênfase1 16" xfId="12" xr:uid="{00000000-0005-0000-0000-00000B000000}"/>
    <cellStyle name="20% - Ênfase1 17" xfId="13" xr:uid="{00000000-0005-0000-0000-00000C000000}"/>
    <cellStyle name="20% - Ênfase1 2" xfId="14" xr:uid="{00000000-0005-0000-0000-00000D000000}"/>
    <cellStyle name="20% - Ênfase1 2 2" xfId="15" xr:uid="{00000000-0005-0000-0000-00000E000000}"/>
    <cellStyle name="20% - Ênfase1 2 2 2" xfId="16" xr:uid="{00000000-0005-0000-0000-00000F000000}"/>
    <cellStyle name="20% - Ênfase1 2 2 2 2" xfId="17" xr:uid="{00000000-0005-0000-0000-000010000000}"/>
    <cellStyle name="20% - Ênfase1 2 2 2 2 2" xfId="18" xr:uid="{00000000-0005-0000-0000-000011000000}"/>
    <cellStyle name="20% - Ênfase1 2 2 2 3" xfId="19" xr:uid="{00000000-0005-0000-0000-000012000000}"/>
    <cellStyle name="20% - Ênfase1 2 2 2 3 2" xfId="20" xr:uid="{00000000-0005-0000-0000-000013000000}"/>
    <cellStyle name="20% - Ênfase1 2 2 2 4" xfId="21" xr:uid="{00000000-0005-0000-0000-000014000000}"/>
    <cellStyle name="20% - Ênfase1 2 2 3" xfId="22" xr:uid="{00000000-0005-0000-0000-000015000000}"/>
    <cellStyle name="20% - Ênfase1 2 2 3 2" xfId="23" xr:uid="{00000000-0005-0000-0000-000016000000}"/>
    <cellStyle name="20% - Ênfase1 2 2 4" xfId="24" xr:uid="{00000000-0005-0000-0000-000017000000}"/>
    <cellStyle name="20% - Ênfase1 2 2 4 2" xfId="25" xr:uid="{00000000-0005-0000-0000-000018000000}"/>
    <cellStyle name="20% - Ênfase1 2 2 5" xfId="26" xr:uid="{00000000-0005-0000-0000-000019000000}"/>
    <cellStyle name="20% - Ênfase1 2 3" xfId="27" xr:uid="{00000000-0005-0000-0000-00001A000000}"/>
    <cellStyle name="20% - Ênfase1 2 3 2" xfId="28" xr:uid="{00000000-0005-0000-0000-00001B000000}"/>
    <cellStyle name="20% - Ênfase1 2 3 2 2" xfId="29" xr:uid="{00000000-0005-0000-0000-00001C000000}"/>
    <cellStyle name="20% - Ênfase1 2 3 3" xfId="30" xr:uid="{00000000-0005-0000-0000-00001D000000}"/>
    <cellStyle name="20% - Ênfase1 2 3 3 2" xfId="31" xr:uid="{00000000-0005-0000-0000-00001E000000}"/>
    <cellStyle name="20% - Ênfase1 2 3 4" xfId="32" xr:uid="{00000000-0005-0000-0000-00001F000000}"/>
    <cellStyle name="20% - Ênfase1 2 4" xfId="33" xr:uid="{00000000-0005-0000-0000-000020000000}"/>
    <cellStyle name="20% - Ênfase1 2 4 2" xfId="34" xr:uid="{00000000-0005-0000-0000-000021000000}"/>
    <cellStyle name="20% - Ênfase1 2 5" xfId="35" xr:uid="{00000000-0005-0000-0000-000022000000}"/>
    <cellStyle name="20% - Ênfase1 2 5 2" xfId="36" xr:uid="{00000000-0005-0000-0000-000023000000}"/>
    <cellStyle name="20% - Ênfase1 2 6" xfId="37" xr:uid="{00000000-0005-0000-0000-000024000000}"/>
    <cellStyle name="20% - Ênfase1 2 7" xfId="38" xr:uid="{00000000-0005-0000-0000-000025000000}"/>
    <cellStyle name="20% - Ênfase1 2_BP_Consolidação" xfId="39" xr:uid="{00000000-0005-0000-0000-000026000000}"/>
    <cellStyle name="20% - Ênfase1 3" xfId="40" xr:uid="{00000000-0005-0000-0000-000027000000}"/>
    <cellStyle name="20% - Ênfase1 3 2" xfId="41" xr:uid="{00000000-0005-0000-0000-000028000000}"/>
    <cellStyle name="20% - Ênfase1 3 2 2" xfId="42" xr:uid="{00000000-0005-0000-0000-000029000000}"/>
    <cellStyle name="20% - Ênfase1 3 2 2 2" xfId="43" xr:uid="{00000000-0005-0000-0000-00002A000000}"/>
    <cellStyle name="20% - Ênfase1 3 2 3" xfId="44" xr:uid="{00000000-0005-0000-0000-00002B000000}"/>
    <cellStyle name="20% - Ênfase1 3 2 3 2" xfId="45" xr:uid="{00000000-0005-0000-0000-00002C000000}"/>
    <cellStyle name="20% - Ênfase1 3 2 4" xfId="46" xr:uid="{00000000-0005-0000-0000-00002D000000}"/>
    <cellStyle name="20% - Ênfase1 3 3" xfId="47" xr:uid="{00000000-0005-0000-0000-00002E000000}"/>
    <cellStyle name="20% - Ênfase1 3 3 2" xfId="48" xr:uid="{00000000-0005-0000-0000-00002F000000}"/>
    <cellStyle name="20% - Ênfase1 3 4" xfId="49" xr:uid="{00000000-0005-0000-0000-000030000000}"/>
    <cellStyle name="20% - Ênfase1 3 4 2" xfId="50" xr:uid="{00000000-0005-0000-0000-000031000000}"/>
    <cellStyle name="20% - Ênfase1 3 5" xfId="51" xr:uid="{00000000-0005-0000-0000-000032000000}"/>
    <cellStyle name="20% - Ênfase1 3 6" xfId="52" xr:uid="{00000000-0005-0000-0000-000033000000}"/>
    <cellStyle name="20% - Ênfase1 3_BP_Consolidação" xfId="53" xr:uid="{00000000-0005-0000-0000-000034000000}"/>
    <cellStyle name="20% - Ênfase1 4" xfId="54" xr:uid="{00000000-0005-0000-0000-000035000000}"/>
    <cellStyle name="20% - Ênfase1 4 2" xfId="55" xr:uid="{00000000-0005-0000-0000-000036000000}"/>
    <cellStyle name="20% - Ênfase1 4 2 2" xfId="56" xr:uid="{00000000-0005-0000-0000-000037000000}"/>
    <cellStyle name="20% - Ênfase1 4 2 2 2" xfId="57" xr:uid="{00000000-0005-0000-0000-000038000000}"/>
    <cellStyle name="20% - Ênfase1 4 2 3" xfId="58" xr:uid="{00000000-0005-0000-0000-000039000000}"/>
    <cellStyle name="20% - Ênfase1 4 2 3 2" xfId="59" xr:uid="{00000000-0005-0000-0000-00003A000000}"/>
    <cellStyle name="20% - Ênfase1 4 2 4" xfId="60" xr:uid="{00000000-0005-0000-0000-00003B000000}"/>
    <cellStyle name="20% - Ênfase1 4 3" xfId="61" xr:uid="{00000000-0005-0000-0000-00003C000000}"/>
    <cellStyle name="20% - Ênfase1 4 3 2" xfId="62" xr:uid="{00000000-0005-0000-0000-00003D000000}"/>
    <cellStyle name="20% - Ênfase1 4 4" xfId="63" xr:uid="{00000000-0005-0000-0000-00003E000000}"/>
    <cellStyle name="20% - Ênfase1 4 5" xfId="64" xr:uid="{00000000-0005-0000-0000-00003F000000}"/>
    <cellStyle name="20% - Ênfase1 4 6" xfId="65" xr:uid="{00000000-0005-0000-0000-000040000000}"/>
    <cellStyle name="20% - Ênfase1 5" xfId="66" xr:uid="{00000000-0005-0000-0000-000041000000}"/>
    <cellStyle name="20% - Ênfase1 5 2" xfId="67" xr:uid="{00000000-0005-0000-0000-000042000000}"/>
    <cellStyle name="20% - Ênfase1 5 2 2" xfId="68" xr:uid="{00000000-0005-0000-0000-000043000000}"/>
    <cellStyle name="20% - Ênfase1 5 2 3" xfId="69" xr:uid="{00000000-0005-0000-0000-000044000000}"/>
    <cellStyle name="20% - Ênfase1 5 3" xfId="70" xr:uid="{00000000-0005-0000-0000-000045000000}"/>
    <cellStyle name="20% - Ênfase1 5 3 2" xfId="71" xr:uid="{00000000-0005-0000-0000-000046000000}"/>
    <cellStyle name="20% - Ênfase1 5 4" xfId="72" xr:uid="{00000000-0005-0000-0000-000047000000}"/>
    <cellStyle name="20% - Ênfase1 5 5" xfId="73" xr:uid="{00000000-0005-0000-0000-000048000000}"/>
    <cellStyle name="20% - Ênfase1 6" xfId="74" xr:uid="{00000000-0005-0000-0000-000049000000}"/>
    <cellStyle name="20% - Ênfase1 7" xfId="75" xr:uid="{00000000-0005-0000-0000-00004A000000}"/>
    <cellStyle name="20% - Ênfase1 7 2" xfId="76" xr:uid="{00000000-0005-0000-0000-00004B000000}"/>
    <cellStyle name="20% - Ênfase1 7 2 2" xfId="77" xr:uid="{00000000-0005-0000-0000-00004C000000}"/>
    <cellStyle name="20% - Ênfase1 7 2 2 2" xfId="78" xr:uid="{00000000-0005-0000-0000-00004D000000}"/>
    <cellStyle name="20% - Ênfase1 7 2 2 2 2" xfId="79" xr:uid="{00000000-0005-0000-0000-00004E000000}"/>
    <cellStyle name="20% - Ênfase1 7 2 2 2 3" xfId="80" xr:uid="{00000000-0005-0000-0000-00004F000000}"/>
    <cellStyle name="20% - Ênfase1 7 2 2 3" xfId="81" xr:uid="{00000000-0005-0000-0000-000050000000}"/>
    <cellStyle name="20% - Ênfase1 7 2 2 4" xfId="82" xr:uid="{00000000-0005-0000-0000-000051000000}"/>
    <cellStyle name="20% - Ênfase1 7 2 3" xfId="83" xr:uid="{00000000-0005-0000-0000-000052000000}"/>
    <cellStyle name="20% - Ênfase1 7 2 3 2" xfId="84" xr:uid="{00000000-0005-0000-0000-000053000000}"/>
    <cellStyle name="20% - Ênfase1 7 2 3 3" xfId="85" xr:uid="{00000000-0005-0000-0000-000054000000}"/>
    <cellStyle name="20% - Ênfase1 7 2 4" xfId="86" xr:uid="{00000000-0005-0000-0000-000055000000}"/>
    <cellStyle name="20% - Ênfase1 7 2 5" xfId="87" xr:uid="{00000000-0005-0000-0000-000056000000}"/>
    <cellStyle name="20% - Ênfase1 7 2 6" xfId="88" xr:uid="{00000000-0005-0000-0000-000057000000}"/>
    <cellStyle name="20% - Ênfase1 7 3" xfId="89" xr:uid="{00000000-0005-0000-0000-000058000000}"/>
    <cellStyle name="20% - Ênfase1 7 3 2" xfId="90" xr:uid="{00000000-0005-0000-0000-000059000000}"/>
    <cellStyle name="20% - Ênfase1 7 3 2 2" xfId="91" xr:uid="{00000000-0005-0000-0000-00005A000000}"/>
    <cellStyle name="20% - Ênfase1 7 3 2 2 2" xfId="92" xr:uid="{00000000-0005-0000-0000-00005B000000}"/>
    <cellStyle name="20% - Ênfase1 7 3 2 2 3" xfId="93" xr:uid="{00000000-0005-0000-0000-00005C000000}"/>
    <cellStyle name="20% - Ênfase1 7 3 2 3" xfId="94" xr:uid="{00000000-0005-0000-0000-00005D000000}"/>
    <cellStyle name="20% - Ênfase1 7 3 2 4" xfId="95" xr:uid="{00000000-0005-0000-0000-00005E000000}"/>
    <cellStyle name="20% - Ênfase1 7 3 3" xfId="96" xr:uid="{00000000-0005-0000-0000-00005F000000}"/>
    <cellStyle name="20% - Ênfase1 7 3 3 2" xfId="97" xr:uid="{00000000-0005-0000-0000-000060000000}"/>
    <cellStyle name="20% - Ênfase1 7 3 3 3" xfId="98" xr:uid="{00000000-0005-0000-0000-000061000000}"/>
    <cellStyle name="20% - Ênfase1 7 3 4" xfId="99" xr:uid="{00000000-0005-0000-0000-000062000000}"/>
    <cellStyle name="20% - Ênfase1 7 3 5" xfId="100" xr:uid="{00000000-0005-0000-0000-000063000000}"/>
    <cellStyle name="20% - Ênfase1 7 4" xfId="101" xr:uid="{00000000-0005-0000-0000-000064000000}"/>
    <cellStyle name="20% - Ênfase1 7 4 2" xfId="102" xr:uid="{00000000-0005-0000-0000-000065000000}"/>
    <cellStyle name="20% - Ênfase1 7 4 2 2" xfId="103" xr:uid="{00000000-0005-0000-0000-000066000000}"/>
    <cellStyle name="20% - Ênfase1 7 4 2 3" xfId="104" xr:uid="{00000000-0005-0000-0000-000067000000}"/>
    <cellStyle name="20% - Ênfase1 7 4 3" xfId="105" xr:uid="{00000000-0005-0000-0000-000068000000}"/>
    <cellStyle name="20% - Ênfase1 7 4 4" xfId="106" xr:uid="{00000000-0005-0000-0000-000069000000}"/>
    <cellStyle name="20% - Ênfase1 7 5" xfId="107" xr:uid="{00000000-0005-0000-0000-00006A000000}"/>
    <cellStyle name="20% - Ênfase1 7 5 2" xfId="108" xr:uid="{00000000-0005-0000-0000-00006B000000}"/>
    <cellStyle name="20% - Ênfase1 7 5 3" xfId="109" xr:uid="{00000000-0005-0000-0000-00006C000000}"/>
    <cellStyle name="20% - Ênfase1 7 6" xfId="110" xr:uid="{00000000-0005-0000-0000-00006D000000}"/>
    <cellStyle name="20% - Ênfase1 7 7" xfId="111" xr:uid="{00000000-0005-0000-0000-00006E000000}"/>
    <cellStyle name="20% - Ênfase1 7 8" xfId="112" xr:uid="{00000000-0005-0000-0000-00006F000000}"/>
    <cellStyle name="20% - Ênfase1 8" xfId="113" xr:uid="{00000000-0005-0000-0000-000070000000}"/>
    <cellStyle name="20% - Ênfase1 8 2" xfId="114" xr:uid="{00000000-0005-0000-0000-000071000000}"/>
    <cellStyle name="20% - Ênfase1 8 2 2" xfId="115" xr:uid="{00000000-0005-0000-0000-000072000000}"/>
    <cellStyle name="20% - Ênfase1 8 2 3" xfId="116" xr:uid="{00000000-0005-0000-0000-000073000000}"/>
    <cellStyle name="20% - Ênfase1 8 3" xfId="117" xr:uid="{00000000-0005-0000-0000-000074000000}"/>
    <cellStyle name="20% - Ênfase1 8 3 2" xfId="118" xr:uid="{00000000-0005-0000-0000-000075000000}"/>
    <cellStyle name="20% - Ênfase1 8 4" xfId="119" xr:uid="{00000000-0005-0000-0000-000076000000}"/>
    <cellStyle name="20% - Ênfase1 8 5" xfId="120" xr:uid="{00000000-0005-0000-0000-000077000000}"/>
    <cellStyle name="20% - Ênfase1 9" xfId="121" xr:uid="{00000000-0005-0000-0000-000078000000}"/>
    <cellStyle name="20% - Ênfase1 9 2" xfId="122" xr:uid="{00000000-0005-0000-0000-000079000000}"/>
    <cellStyle name="20% - Ênfase1 9 2 2" xfId="123" xr:uid="{00000000-0005-0000-0000-00007A000000}"/>
    <cellStyle name="20% - Ênfase1 9 2 2 2" xfId="124" xr:uid="{00000000-0005-0000-0000-00007B000000}"/>
    <cellStyle name="20% - Ênfase1 9 2 2 2 2" xfId="125" xr:uid="{00000000-0005-0000-0000-00007C000000}"/>
    <cellStyle name="20% - Ênfase1 9 2 2 2 3" xfId="126" xr:uid="{00000000-0005-0000-0000-00007D000000}"/>
    <cellStyle name="20% - Ênfase1 9 2 2 3" xfId="127" xr:uid="{00000000-0005-0000-0000-00007E000000}"/>
    <cellStyle name="20% - Ênfase1 9 2 2 4" xfId="128" xr:uid="{00000000-0005-0000-0000-00007F000000}"/>
    <cellStyle name="20% - Ênfase1 9 2 3" xfId="129" xr:uid="{00000000-0005-0000-0000-000080000000}"/>
    <cellStyle name="20% - Ênfase1 9 2 3 2" xfId="130" xr:uid="{00000000-0005-0000-0000-000081000000}"/>
    <cellStyle name="20% - Ênfase1 9 2 3 3" xfId="131" xr:uid="{00000000-0005-0000-0000-000082000000}"/>
    <cellStyle name="20% - Ênfase1 9 2 4" xfId="132" xr:uid="{00000000-0005-0000-0000-000083000000}"/>
    <cellStyle name="20% - Ênfase1 9 2 5" xfId="133" xr:uid="{00000000-0005-0000-0000-000084000000}"/>
    <cellStyle name="20% - Ênfase1 9 2 6" xfId="134" xr:uid="{00000000-0005-0000-0000-000085000000}"/>
    <cellStyle name="20% - Ênfase1 9 3" xfId="135" xr:uid="{00000000-0005-0000-0000-000086000000}"/>
    <cellStyle name="20% - Ênfase1 9 3 2" xfId="136" xr:uid="{00000000-0005-0000-0000-000087000000}"/>
    <cellStyle name="20% - Ênfase1 9 3 2 2" xfId="137" xr:uid="{00000000-0005-0000-0000-000088000000}"/>
    <cellStyle name="20% - Ênfase1 9 3 2 3" xfId="138" xr:uid="{00000000-0005-0000-0000-000089000000}"/>
    <cellStyle name="20% - Ênfase1 9 3 3" xfId="139" xr:uid="{00000000-0005-0000-0000-00008A000000}"/>
    <cellStyle name="20% - Ênfase1 9 3 4" xfId="140" xr:uid="{00000000-0005-0000-0000-00008B000000}"/>
    <cellStyle name="20% - Ênfase1 9 4" xfId="141" xr:uid="{00000000-0005-0000-0000-00008C000000}"/>
    <cellStyle name="20% - Ênfase1 9 4 2" xfId="142" xr:uid="{00000000-0005-0000-0000-00008D000000}"/>
    <cellStyle name="20% - Ênfase1 9 4 3" xfId="143" xr:uid="{00000000-0005-0000-0000-00008E000000}"/>
    <cellStyle name="20% - Ênfase1 9 5" xfId="144" xr:uid="{00000000-0005-0000-0000-00008F000000}"/>
    <cellStyle name="20% - Ênfase1 9 6" xfId="145" xr:uid="{00000000-0005-0000-0000-000090000000}"/>
    <cellStyle name="20% - Ênfase1 9 7" xfId="146" xr:uid="{00000000-0005-0000-0000-000091000000}"/>
    <cellStyle name="20% - Ênfase2" xfId="147" builtinId="34" customBuiltin="1"/>
    <cellStyle name="20% - Ênfase2 10" xfId="148" xr:uid="{00000000-0005-0000-0000-000093000000}"/>
    <cellStyle name="20% - Ênfase2 10 2" xfId="149" xr:uid="{00000000-0005-0000-0000-000094000000}"/>
    <cellStyle name="20% - Ênfase2 10 3" xfId="150" xr:uid="{00000000-0005-0000-0000-000095000000}"/>
    <cellStyle name="20% - Ênfase2 11" xfId="151" xr:uid="{00000000-0005-0000-0000-000096000000}"/>
    <cellStyle name="20% - Ênfase2 11 2" xfId="152" xr:uid="{00000000-0005-0000-0000-000097000000}"/>
    <cellStyle name="20% - Ênfase2 11 3" xfId="153" xr:uid="{00000000-0005-0000-0000-000098000000}"/>
    <cellStyle name="20% - Ênfase2 12" xfId="154" xr:uid="{00000000-0005-0000-0000-000099000000}"/>
    <cellStyle name="20% - Ênfase2 13" xfId="155" xr:uid="{00000000-0005-0000-0000-00009A000000}"/>
    <cellStyle name="20% - Ênfase2 14" xfId="156" xr:uid="{00000000-0005-0000-0000-00009B000000}"/>
    <cellStyle name="20% - Ênfase2 15" xfId="157" xr:uid="{00000000-0005-0000-0000-00009C000000}"/>
    <cellStyle name="20% - Ênfase2 16" xfId="158" xr:uid="{00000000-0005-0000-0000-00009D000000}"/>
    <cellStyle name="20% - Ênfase2 17" xfId="159" xr:uid="{00000000-0005-0000-0000-00009E000000}"/>
    <cellStyle name="20% - Ênfase2 2" xfId="160" xr:uid="{00000000-0005-0000-0000-00009F000000}"/>
    <cellStyle name="20% - Ênfase2 2 2" xfId="161" xr:uid="{00000000-0005-0000-0000-0000A0000000}"/>
    <cellStyle name="20% - Ênfase2 2 2 2" xfId="162" xr:uid="{00000000-0005-0000-0000-0000A1000000}"/>
    <cellStyle name="20% - Ênfase2 2 2 2 2" xfId="163" xr:uid="{00000000-0005-0000-0000-0000A2000000}"/>
    <cellStyle name="20% - Ênfase2 2 2 2 2 2" xfId="164" xr:uid="{00000000-0005-0000-0000-0000A3000000}"/>
    <cellStyle name="20% - Ênfase2 2 2 2 3" xfId="165" xr:uid="{00000000-0005-0000-0000-0000A4000000}"/>
    <cellStyle name="20% - Ênfase2 2 2 2 3 2" xfId="166" xr:uid="{00000000-0005-0000-0000-0000A5000000}"/>
    <cellStyle name="20% - Ênfase2 2 2 2 4" xfId="167" xr:uid="{00000000-0005-0000-0000-0000A6000000}"/>
    <cellStyle name="20% - Ênfase2 2 2 3" xfId="168" xr:uid="{00000000-0005-0000-0000-0000A7000000}"/>
    <cellStyle name="20% - Ênfase2 2 2 3 2" xfId="169" xr:uid="{00000000-0005-0000-0000-0000A8000000}"/>
    <cellStyle name="20% - Ênfase2 2 2 4" xfId="170" xr:uid="{00000000-0005-0000-0000-0000A9000000}"/>
    <cellStyle name="20% - Ênfase2 2 2 4 2" xfId="171" xr:uid="{00000000-0005-0000-0000-0000AA000000}"/>
    <cellStyle name="20% - Ênfase2 2 2 5" xfId="172" xr:uid="{00000000-0005-0000-0000-0000AB000000}"/>
    <cellStyle name="20% - Ênfase2 2 3" xfId="173" xr:uid="{00000000-0005-0000-0000-0000AC000000}"/>
    <cellStyle name="20% - Ênfase2 2 3 2" xfId="174" xr:uid="{00000000-0005-0000-0000-0000AD000000}"/>
    <cellStyle name="20% - Ênfase2 2 3 2 2" xfId="175" xr:uid="{00000000-0005-0000-0000-0000AE000000}"/>
    <cellStyle name="20% - Ênfase2 2 3 3" xfId="176" xr:uid="{00000000-0005-0000-0000-0000AF000000}"/>
    <cellStyle name="20% - Ênfase2 2 3 3 2" xfId="177" xr:uid="{00000000-0005-0000-0000-0000B0000000}"/>
    <cellStyle name="20% - Ênfase2 2 3 4" xfId="178" xr:uid="{00000000-0005-0000-0000-0000B1000000}"/>
    <cellStyle name="20% - Ênfase2 2 4" xfId="179" xr:uid="{00000000-0005-0000-0000-0000B2000000}"/>
    <cellStyle name="20% - Ênfase2 2 4 2" xfId="180" xr:uid="{00000000-0005-0000-0000-0000B3000000}"/>
    <cellStyle name="20% - Ênfase2 2 5" xfId="181" xr:uid="{00000000-0005-0000-0000-0000B4000000}"/>
    <cellStyle name="20% - Ênfase2 2 5 2" xfId="182" xr:uid="{00000000-0005-0000-0000-0000B5000000}"/>
    <cellStyle name="20% - Ênfase2 2 6" xfId="183" xr:uid="{00000000-0005-0000-0000-0000B6000000}"/>
    <cellStyle name="20% - Ênfase2 2 7" xfId="184" xr:uid="{00000000-0005-0000-0000-0000B7000000}"/>
    <cellStyle name="20% - Ênfase2 2_BP_Consolidação" xfId="185" xr:uid="{00000000-0005-0000-0000-0000B8000000}"/>
    <cellStyle name="20% - Ênfase2 3" xfId="186" xr:uid="{00000000-0005-0000-0000-0000B9000000}"/>
    <cellStyle name="20% - Ênfase2 3 2" xfId="187" xr:uid="{00000000-0005-0000-0000-0000BA000000}"/>
    <cellStyle name="20% - Ênfase2 3 2 2" xfId="188" xr:uid="{00000000-0005-0000-0000-0000BB000000}"/>
    <cellStyle name="20% - Ênfase2 3 2 2 2" xfId="189" xr:uid="{00000000-0005-0000-0000-0000BC000000}"/>
    <cellStyle name="20% - Ênfase2 3 2 3" xfId="190" xr:uid="{00000000-0005-0000-0000-0000BD000000}"/>
    <cellStyle name="20% - Ênfase2 3 2 3 2" xfId="191" xr:uid="{00000000-0005-0000-0000-0000BE000000}"/>
    <cellStyle name="20% - Ênfase2 3 2 4" xfId="192" xr:uid="{00000000-0005-0000-0000-0000BF000000}"/>
    <cellStyle name="20% - Ênfase2 3 3" xfId="193" xr:uid="{00000000-0005-0000-0000-0000C0000000}"/>
    <cellStyle name="20% - Ênfase2 3 3 2" xfId="194" xr:uid="{00000000-0005-0000-0000-0000C1000000}"/>
    <cellStyle name="20% - Ênfase2 3 4" xfId="195" xr:uid="{00000000-0005-0000-0000-0000C2000000}"/>
    <cellStyle name="20% - Ênfase2 3 4 2" xfId="196" xr:uid="{00000000-0005-0000-0000-0000C3000000}"/>
    <cellStyle name="20% - Ênfase2 3 5" xfId="197" xr:uid="{00000000-0005-0000-0000-0000C4000000}"/>
    <cellStyle name="20% - Ênfase2 3 6" xfId="198" xr:uid="{00000000-0005-0000-0000-0000C5000000}"/>
    <cellStyle name="20% - Ênfase2 3_BP_Consolidação" xfId="199" xr:uid="{00000000-0005-0000-0000-0000C6000000}"/>
    <cellStyle name="20% - Ênfase2 4" xfId="200" xr:uid="{00000000-0005-0000-0000-0000C7000000}"/>
    <cellStyle name="20% - Ênfase2 4 2" xfId="201" xr:uid="{00000000-0005-0000-0000-0000C8000000}"/>
    <cellStyle name="20% - Ênfase2 4 2 2" xfId="202" xr:uid="{00000000-0005-0000-0000-0000C9000000}"/>
    <cellStyle name="20% - Ênfase2 4 2 2 2" xfId="203" xr:uid="{00000000-0005-0000-0000-0000CA000000}"/>
    <cellStyle name="20% - Ênfase2 4 2 3" xfId="204" xr:uid="{00000000-0005-0000-0000-0000CB000000}"/>
    <cellStyle name="20% - Ênfase2 4 2 3 2" xfId="205" xr:uid="{00000000-0005-0000-0000-0000CC000000}"/>
    <cellStyle name="20% - Ênfase2 4 2 4" xfId="206" xr:uid="{00000000-0005-0000-0000-0000CD000000}"/>
    <cellStyle name="20% - Ênfase2 4 3" xfId="207" xr:uid="{00000000-0005-0000-0000-0000CE000000}"/>
    <cellStyle name="20% - Ênfase2 4 3 2" xfId="208" xr:uid="{00000000-0005-0000-0000-0000CF000000}"/>
    <cellStyle name="20% - Ênfase2 4 4" xfId="209" xr:uid="{00000000-0005-0000-0000-0000D0000000}"/>
    <cellStyle name="20% - Ênfase2 4 5" xfId="210" xr:uid="{00000000-0005-0000-0000-0000D1000000}"/>
    <cellStyle name="20% - Ênfase2 4 6" xfId="211" xr:uid="{00000000-0005-0000-0000-0000D2000000}"/>
    <cellStyle name="20% - Ênfase2 5" xfId="212" xr:uid="{00000000-0005-0000-0000-0000D3000000}"/>
    <cellStyle name="20% - Ênfase2 5 2" xfId="213" xr:uid="{00000000-0005-0000-0000-0000D4000000}"/>
    <cellStyle name="20% - Ênfase2 5 2 2" xfId="214" xr:uid="{00000000-0005-0000-0000-0000D5000000}"/>
    <cellStyle name="20% - Ênfase2 5 2 3" xfId="215" xr:uid="{00000000-0005-0000-0000-0000D6000000}"/>
    <cellStyle name="20% - Ênfase2 5 3" xfId="216" xr:uid="{00000000-0005-0000-0000-0000D7000000}"/>
    <cellStyle name="20% - Ênfase2 5 3 2" xfId="217" xr:uid="{00000000-0005-0000-0000-0000D8000000}"/>
    <cellStyle name="20% - Ênfase2 5 4" xfId="218" xr:uid="{00000000-0005-0000-0000-0000D9000000}"/>
    <cellStyle name="20% - Ênfase2 5 5" xfId="219" xr:uid="{00000000-0005-0000-0000-0000DA000000}"/>
    <cellStyle name="20% - Ênfase2 6" xfId="220" xr:uid="{00000000-0005-0000-0000-0000DB000000}"/>
    <cellStyle name="20% - Ênfase2 7" xfId="221" xr:uid="{00000000-0005-0000-0000-0000DC000000}"/>
    <cellStyle name="20% - Ênfase2 7 2" xfId="222" xr:uid="{00000000-0005-0000-0000-0000DD000000}"/>
    <cellStyle name="20% - Ênfase2 7 2 2" xfId="223" xr:uid="{00000000-0005-0000-0000-0000DE000000}"/>
    <cellStyle name="20% - Ênfase2 7 2 2 2" xfId="224" xr:uid="{00000000-0005-0000-0000-0000DF000000}"/>
    <cellStyle name="20% - Ênfase2 7 2 2 2 2" xfId="225" xr:uid="{00000000-0005-0000-0000-0000E0000000}"/>
    <cellStyle name="20% - Ênfase2 7 2 2 2 3" xfId="226" xr:uid="{00000000-0005-0000-0000-0000E1000000}"/>
    <cellStyle name="20% - Ênfase2 7 2 2 3" xfId="227" xr:uid="{00000000-0005-0000-0000-0000E2000000}"/>
    <cellStyle name="20% - Ênfase2 7 2 2 4" xfId="228" xr:uid="{00000000-0005-0000-0000-0000E3000000}"/>
    <cellStyle name="20% - Ênfase2 7 2 3" xfId="229" xr:uid="{00000000-0005-0000-0000-0000E4000000}"/>
    <cellStyle name="20% - Ênfase2 7 2 3 2" xfId="230" xr:uid="{00000000-0005-0000-0000-0000E5000000}"/>
    <cellStyle name="20% - Ênfase2 7 2 3 3" xfId="231" xr:uid="{00000000-0005-0000-0000-0000E6000000}"/>
    <cellStyle name="20% - Ênfase2 7 2 4" xfId="232" xr:uid="{00000000-0005-0000-0000-0000E7000000}"/>
    <cellStyle name="20% - Ênfase2 7 2 5" xfId="233" xr:uid="{00000000-0005-0000-0000-0000E8000000}"/>
    <cellStyle name="20% - Ênfase2 7 2 6" xfId="234" xr:uid="{00000000-0005-0000-0000-0000E9000000}"/>
    <cellStyle name="20% - Ênfase2 7 3" xfId="235" xr:uid="{00000000-0005-0000-0000-0000EA000000}"/>
    <cellStyle name="20% - Ênfase2 7 3 2" xfId="236" xr:uid="{00000000-0005-0000-0000-0000EB000000}"/>
    <cellStyle name="20% - Ênfase2 7 3 2 2" xfId="237" xr:uid="{00000000-0005-0000-0000-0000EC000000}"/>
    <cellStyle name="20% - Ênfase2 7 3 2 2 2" xfId="238" xr:uid="{00000000-0005-0000-0000-0000ED000000}"/>
    <cellStyle name="20% - Ênfase2 7 3 2 2 3" xfId="239" xr:uid="{00000000-0005-0000-0000-0000EE000000}"/>
    <cellStyle name="20% - Ênfase2 7 3 2 3" xfId="240" xr:uid="{00000000-0005-0000-0000-0000EF000000}"/>
    <cellStyle name="20% - Ênfase2 7 3 2 4" xfId="241" xr:uid="{00000000-0005-0000-0000-0000F0000000}"/>
    <cellStyle name="20% - Ênfase2 7 3 3" xfId="242" xr:uid="{00000000-0005-0000-0000-0000F1000000}"/>
    <cellStyle name="20% - Ênfase2 7 3 3 2" xfId="243" xr:uid="{00000000-0005-0000-0000-0000F2000000}"/>
    <cellStyle name="20% - Ênfase2 7 3 3 3" xfId="244" xr:uid="{00000000-0005-0000-0000-0000F3000000}"/>
    <cellStyle name="20% - Ênfase2 7 3 4" xfId="245" xr:uid="{00000000-0005-0000-0000-0000F4000000}"/>
    <cellStyle name="20% - Ênfase2 7 3 5" xfId="246" xr:uid="{00000000-0005-0000-0000-0000F5000000}"/>
    <cellStyle name="20% - Ênfase2 7 4" xfId="247" xr:uid="{00000000-0005-0000-0000-0000F6000000}"/>
    <cellStyle name="20% - Ênfase2 7 4 2" xfId="248" xr:uid="{00000000-0005-0000-0000-0000F7000000}"/>
    <cellStyle name="20% - Ênfase2 7 4 2 2" xfId="249" xr:uid="{00000000-0005-0000-0000-0000F8000000}"/>
    <cellStyle name="20% - Ênfase2 7 4 2 3" xfId="250" xr:uid="{00000000-0005-0000-0000-0000F9000000}"/>
    <cellStyle name="20% - Ênfase2 7 4 3" xfId="251" xr:uid="{00000000-0005-0000-0000-0000FA000000}"/>
    <cellStyle name="20% - Ênfase2 7 4 4" xfId="252" xr:uid="{00000000-0005-0000-0000-0000FB000000}"/>
    <cellStyle name="20% - Ênfase2 7 5" xfId="253" xr:uid="{00000000-0005-0000-0000-0000FC000000}"/>
    <cellStyle name="20% - Ênfase2 7 5 2" xfId="254" xr:uid="{00000000-0005-0000-0000-0000FD000000}"/>
    <cellStyle name="20% - Ênfase2 7 5 3" xfId="255" xr:uid="{00000000-0005-0000-0000-0000FE000000}"/>
    <cellStyle name="20% - Ênfase2 7 6" xfId="256" xr:uid="{00000000-0005-0000-0000-0000FF000000}"/>
    <cellStyle name="20% - Ênfase2 7 7" xfId="257" xr:uid="{00000000-0005-0000-0000-000000010000}"/>
    <cellStyle name="20% - Ênfase2 7 8" xfId="258" xr:uid="{00000000-0005-0000-0000-000001010000}"/>
    <cellStyle name="20% - Ênfase2 8" xfId="259" xr:uid="{00000000-0005-0000-0000-000002010000}"/>
    <cellStyle name="20% - Ênfase2 8 2" xfId="260" xr:uid="{00000000-0005-0000-0000-000003010000}"/>
    <cellStyle name="20% - Ênfase2 8 2 2" xfId="261" xr:uid="{00000000-0005-0000-0000-000004010000}"/>
    <cellStyle name="20% - Ênfase2 8 2 3" xfId="262" xr:uid="{00000000-0005-0000-0000-000005010000}"/>
    <cellStyle name="20% - Ênfase2 8 3" xfId="263" xr:uid="{00000000-0005-0000-0000-000006010000}"/>
    <cellStyle name="20% - Ênfase2 8 3 2" xfId="264" xr:uid="{00000000-0005-0000-0000-000007010000}"/>
    <cellStyle name="20% - Ênfase2 8 4" xfId="265" xr:uid="{00000000-0005-0000-0000-000008010000}"/>
    <cellStyle name="20% - Ênfase2 8 5" xfId="266" xr:uid="{00000000-0005-0000-0000-000009010000}"/>
    <cellStyle name="20% - Ênfase2 9" xfId="267" xr:uid="{00000000-0005-0000-0000-00000A010000}"/>
    <cellStyle name="20% - Ênfase2 9 2" xfId="268" xr:uid="{00000000-0005-0000-0000-00000B010000}"/>
    <cellStyle name="20% - Ênfase2 9 2 2" xfId="269" xr:uid="{00000000-0005-0000-0000-00000C010000}"/>
    <cellStyle name="20% - Ênfase2 9 2 2 2" xfId="270" xr:uid="{00000000-0005-0000-0000-00000D010000}"/>
    <cellStyle name="20% - Ênfase2 9 2 2 2 2" xfId="271" xr:uid="{00000000-0005-0000-0000-00000E010000}"/>
    <cellStyle name="20% - Ênfase2 9 2 2 2 3" xfId="272" xr:uid="{00000000-0005-0000-0000-00000F010000}"/>
    <cellStyle name="20% - Ênfase2 9 2 2 3" xfId="273" xr:uid="{00000000-0005-0000-0000-000010010000}"/>
    <cellStyle name="20% - Ênfase2 9 2 2 4" xfId="274" xr:uid="{00000000-0005-0000-0000-000011010000}"/>
    <cellStyle name="20% - Ênfase2 9 2 3" xfId="275" xr:uid="{00000000-0005-0000-0000-000012010000}"/>
    <cellStyle name="20% - Ênfase2 9 2 3 2" xfId="276" xr:uid="{00000000-0005-0000-0000-000013010000}"/>
    <cellStyle name="20% - Ênfase2 9 2 3 3" xfId="277" xr:uid="{00000000-0005-0000-0000-000014010000}"/>
    <cellStyle name="20% - Ênfase2 9 2 4" xfId="278" xr:uid="{00000000-0005-0000-0000-000015010000}"/>
    <cellStyle name="20% - Ênfase2 9 2 5" xfId="279" xr:uid="{00000000-0005-0000-0000-000016010000}"/>
    <cellStyle name="20% - Ênfase2 9 2 6" xfId="280" xr:uid="{00000000-0005-0000-0000-000017010000}"/>
    <cellStyle name="20% - Ênfase2 9 3" xfId="281" xr:uid="{00000000-0005-0000-0000-000018010000}"/>
    <cellStyle name="20% - Ênfase2 9 3 2" xfId="282" xr:uid="{00000000-0005-0000-0000-000019010000}"/>
    <cellStyle name="20% - Ênfase2 9 3 2 2" xfId="283" xr:uid="{00000000-0005-0000-0000-00001A010000}"/>
    <cellStyle name="20% - Ênfase2 9 3 2 3" xfId="284" xr:uid="{00000000-0005-0000-0000-00001B010000}"/>
    <cellStyle name="20% - Ênfase2 9 3 3" xfId="285" xr:uid="{00000000-0005-0000-0000-00001C010000}"/>
    <cellStyle name="20% - Ênfase2 9 3 4" xfId="286" xr:uid="{00000000-0005-0000-0000-00001D010000}"/>
    <cellStyle name="20% - Ênfase2 9 4" xfId="287" xr:uid="{00000000-0005-0000-0000-00001E010000}"/>
    <cellStyle name="20% - Ênfase2 9 4 2" xfId="288" xr:uid="{00000000-0005-0000-0000-00001F010000}"/>
    <cellStyle name="20% - Ênfase2 9 4 3" xfId="289" xr:uid="{00000000-0005-0000-0000-000020010000}"/>
    <cellStyle name="20% - Ênfase2 9 5" xfId="290" xr:uid="{00000000-0005-0000-0000-000021010000}"/>
    <cellStyle name="20% - Ênfase2 9 6" xfId="291" xr:uid="{00000000-0005-0000-0000-000022010000}"/>
    <cellStyle name="20% - Ênfase2 9 7" xfId="292" xr:uid="{00000000-0005-0000-0000-000023010000}"/>
    <cellStyle name="20% - Ênfase3" xfId="293" builtinId="38" customBuiltin="1"/>
    <cellStyle name="20% - Ênfase3 10" xfId="294" xr:uid="{00000000-0005-0000-0000-000025010000}"/>
    <cellStyle name="20% - Ênfase3 10 2" xfId="295" xr:uid="{00000000-0005-0000-0000-000026010000}"/>
    <cellStyle name="20% - Ênfase3 10 3" xfId="296" xr:uid="{00000000-0005-0000-0000-000027010000}"/>
    <cellStyle name="20% - Ênfase3 11" xfId="297" xr:uid="{00000000-0005-0000-0000-000028010000}"/>
    <cellStyle name="20% - Ênfase3 11 2" xfId="298" xr:uid="{00000000-0005-0000-0000-000029010000}"/>
    <cellStyle name="20% - Ênfase3 11 3" xfId="299" xr:uid="{00000000-0005-0000-0000-00002A010000}"/>
    <cellStyle name="20% - Ênfase3 12" xfId="300" xr:uid="{00000000-0005-0000-0000-00002B010000}"/>
    <cellStyle name="20% - Ênfase3 13" xfId="301" xr:uid="{00000000-0005-0000-0000-00002C010000}"/>
    <cellStyle name="20% - Ênfase3 14" xfId="302" xr:uid="{00000000-0005-0000-0000-00002D010000}"/>
    <cellStyle name="20% - Ênfase3 15" xfId="303" xr:uid="{00000000-0005-0000-0000-00002E010000}"/>
    <cellStyle name="20% - Ênfase3 16" xfId="304" xr:uid="{00000000-0005-0000-0000-00002F010000}"/>
    <cellStyle name="20% - Ênfase3 17" xfId="305" xr:uid="{00000000-0005-0000-0000-000030010000}"/>
    <cellStyle name="20% - Ênfase3 2" xfId="306" xr:uid="{00000000-0005-0000-0000-000031010000}"/>
    <cellStyle name="20% - Ênfase3 2 2" xfId="307" xr:uid="{00000000-0005-0000-0000-000032010000}"/>
    <cellStyle name="20% - Ênfase3 2 2 2" xfId="308" xr:uid="{00000000-0005-0000-0000-000033010000}"/>
    <cellStyle name="20% - Ênfase3 2 2 2 2" xfId="309" xr:uid="{00000000-0005-0000-0000-000034010000}"/>
    <cellStyle name="20% - Ênfase3 2 2 2 2 2" xfId="310" xr:uid="{00000000-0005-0000-0000-000035010000}"/>
    <cellStyle name="20% - Ênfase3 2 2 2 3" xfId="311" xr:uid="{00000000-0005-0000-0000-000036010000}"/>
    <cellStyle name="20% - Ênfase3 2 2 2 3 2" xfId="312" xr:uid="{00000000-0005-0000-0000-000037010000}"/>
    <cellStyle name="20% - Ênfase3 2 2 2 4" xfId="313" xr:uid="{00000000-0005-0000-0000-000038010000}"/>
    <cellStyle name="20% - Ênfase3 2 2 3" xfId="314" xr:uid="{00000000-0005-0000-0000-000039010000}"/>
    <cellStyle name="20% - Ênfase3 2 2 3 2" xfId="315" xr:uid="{00000000-0005-0000-0000-00003A010000}"/>
    <cellStyle name="20% - Ênfase3 2 2 4" xfId="316" xr:uid="{00000000-0005-0000-0000-00003B010000}"/>
    <cellStyle name="20% - Ênfase3 2 2 4 2" xfId="317" xr:uid="{00000000-0005-0000-0000-00003C010000}"/>
    <cellStyle name="20% - Ênfase3 2 2 5" xfId="318" xr:uid="{00000000-0005-0000-0000-00003D010000}"/>
    <cellStyle name="20% - Ênfase3 2 3" xfId="319" xr:uid="{00000000-0005-0000-0000-00003E010000}"/>
    <cellStyle name="20% - Ênfase3 2 3 2" xfId="320" xr:uid="{00000000-0005-0000-0000-00003F010000}"/>
    <cellStyle name="20% - Ênfase3 2 3 2 2" xfId="321" xr:uid="{00000000-0005-0000-0000-000040010000}"/>
    <cellStyle name="20% - Ênfase3 2 3 3" xfId="322" xr:uid="{00000000-0005-0000-0000-000041010000}"/>
    <cellStyle name="20% - Ênfase3 2 3 3 2" xfId="323" xr:uid="{00000000-0005-0000-0000-000042010000}"/>
    <cellStyle name="20% - Ênfase3 2 3 4" xfId="324" xr:uid="{00000000-0005-0000-0000-000043010000}"/>
    <cellStyle name="20% - Ênfase3 2 4" xfId="325" xr:uid="{00000000-0005-0000-0000-000044010000}"/>
    <cellStyle name="20% - Ênfase3 2 4 2" xfId="326" xr:uid="{00000000-0005-0000-0000-000045010000}"/>
    <cellStyle name="20% - Ênfase3 2 5" xfId="327" xr:uid="{00000000-0005-0000-0000-000046010000}"/>
    <cellStyle name="20% - Ênfase3 2 5 2" xfId="328" xr:uid="{00000000-0005-0000-0000-000047010000}"/>
    <cellStyle name="20% - Ênfase3 2 6" xfId="329" xr:uid="{00000000-0005-0000-0000-000048010000}"/>
    <cellStyle name="20% - Ênfase3 2 7" xfId="330" xr:uid="{00000000-0005-0000-0000-000049010000}"/>
    <cellStyle name="20% - Ênfase3 2_BP_Consolidação" xfId="331" xr:uid="{00000000-0005-0000-0000-00004A010000}"/>
    <cellStyle name="20% - Ênfase3 3" xfId="332" xr:uid="{00000000-0005-0000-0000-00004B010000}"/>
    <cellStyle name="20% - Ênfase3 3 2" xfId="333" xr:uid="{00000000-0005-0000-0000-00004C010000}"/>
    <cellStyle name="20% - Ênfase3 3 2 2" xfId="334" xr:uid="{00000000-0005-0000-0000-00004D010000}"/>
    <cellStyle name="20% - Ênfase3 3 2 2 2" xfId="335" xr:uid="{00000000-0005-0000-0000-00004E010000}"/>
    <cellStyle name="20% - Ênfase3 3 2 3" xfId="336" xr:uid="{00000000-0005-0000-0000-00004F010000}"/>
    <cellStyle name="20% - Ênfase3 3 2 3 2" xfId="337" xr:uid="{00000000-0005-0000-0000-000050010000}"/>
    <cellStyle name="20% - Ênfase3 3 2 4" xfId="338" xr:uid="{00000000-0005-0000-0000-000051010000}"/>
    <cellStyle name="20% - Ênfase3 3 3" xfId="339" xr:uid="{00000000-0005-0000-0000-000052010000}"/>
    <cellStyle name="20% - Ênfase3 3 3 2" xfId="340" xr:uid="{00000000-0005-0000-0000-000053010000}"/>
    <cellStyle name="20% - Ênfase3 3 4" xfId="341" xr:uid="{00000000-0005-0000-0000-000054010000}"/>
    <cellStyle name="20% - Ênfase3 3 4 2" xfId="342" xr:uid="{00000000-0005-0000-0000-000055010000}"/>
    <cellStyle name="20% - Ênfase3 3 5" xfId="343" xr:uid="{00000000-0005-0000-0000-000056010000}"/>
    <cellStyle name="20% - Ênfase3 3 6" xfId="344" xr:uid="{00000000-0005-0000-0000-000057010000}"/>
    <cellStyle name="20% - Ênfase3 3_BP_Consolidação" xfId="345" xr:uid="{00000000-0005-0000-0000-000058010000}"/>
    <cellStyle name="20% - Ênfase3 4" xfId="346" xr:uid="{00000000-0005-0000-0000-000059010000}"/>
    <cellStyle name="20% - Ênfase3 4 2" xfId="347" xr:uid="{00000000-0005-0000-0000-00005A010000}"/>
    <cellStyle name="20% - Ênfase3 4 2 2" xfId="348" xr:uid="{00000000-0005-0000-0000-00005B010000}"/>
    <cellStyle name="20% - Ênfase3 4 2 2 2" xfId="349" xr:uid="{00000000-0005-0000-0000-00005C010000}"/>
    <cellStyle name="20% - Ênfase3 4 2 3" xfId="350" xr:uid="{00000000-0005-0000-0000-00005D010000}"/>
    <cellStyle name="20% - Ênfase3 4 2 3 2" xfId="351" xr:uid="{00000000-0005-0000-0000-00005E010000}"/>
    <cellStyle name="20% - Ênfase3 4 2 4" xfId="352" xr:uid="{00000000-0005-0000-0000-00005F010000}"/>
    <cellStyle name="20% - Ênfase3 4 3" xfId="353" xr:uid="{00000000-0005-0000-0000-000060010000}"/>
    <cellStyle name="20% - Ênfase3 4 3 2" xfId="354" xr:uid="{00000000-0005-0000-0000-000061010000}"/>
    <cellStyle name="20% - Ênfase3 4 4" xfId="355" xr:uid="{00000000-0005-0000-0000-000062010000}"/>
    <cellStyle name="20% - Ênfase3 4 5" xfId="356" xr:uid="{00000000-0005-0000-0000-000063010000}"/>
    <cellStyle name="20% - Ênfase3 4 6" xfId="357" xr:uid="{00000000-0005-0000-0000-000064010000}"/>
    <cellStyle name="20% - Ênfase3 5" xfId="358" xr:uid="{00000000-0005-0000-0000-000065010000}"/>
    <cellStyle name="20% - Ênfase3 5 2" xfId="359" xr:uid="{00000000-0005-0000-0000-000066010000}"/>
    <cellStyle name="20% - Ênfase3 5 2 2" xfId="360" xr:uid="{00000000-0005-0000-0000-000067010000}"/>
    <cellStyle name="20% - Ênfase3 5 2 3" xfId="361" xr:uid="{00000000-0005-0000-0000-000068010000}"/>
    <cellStyle name="20% - Ênfase3 5 3" xfId="362" xr:uid="{00000000-0005-0000-0000-000069010000}"/>
    <cellStyle name="20% - Ênfase3 5 3 2" xfId="363" xr:uid="{00000000-0005-0000-0000-00006A010000}"/>
    <cellStyle name="20% - Ênfase3 5 4" xfId="364" xr:uid="{00000000-0005-0000-0000-00006B010000}"/>
    <cellStyle name="20% - Ênfase3 5 5" xfId="365" xr:uid="{00000000-0005-0000-0000-00006C010000}"/>
    <cellStyle name="20% - Ênfase3 6" xfId="366" xr:uid="{00000000-0005-0000-0000-00006D010000}"/>
    <cellStyle name="20% - Ênfase3 7" xfId="367" xr:uid="{00000000-0005-0000-0000-00006E010000}"/>
    <cellStyle name="20% - Ênfase3 7 2" xfId="368" xr:uid="{00000000-0005-0000-0000-00006F010000}"/>
    <cellStyle name="20% - Ênfase3 7 2 2" xfId="369" xr:uid="{00000000-0005-0000-0000-000070010000}"/>
    <cellStyle name="20% - Ênfase3 7 2 2 2" xfId="370" xr:uid="{00000000-0005-0000-0000-000071010000}"/>
    <cellStyle name="20% - Ênfase3 7 2 2 2 2" xfId="371" xr:uid="{00000000-0005-0000-0000-000072010000}"/>
    <cellStyle name="20% - Ênfase3 7 2 2 2 3" xfId="372" xr:uid="{00000000-0005-0000-0000-000073010000}"/>
    <cellStyle name="20% - Ênfase3 7 2 2 3" xfId="373" xr:uid="{00000000-0005-0000-0000-000074010000}"/>
    <cellStyle name="20% - Ênfase3 7 2 2 4" xfId="374" xr:uid="{00000000-0005-0000-0000-000075010000}"/>
    <cellStyle name="20% - Ênfase3 7 2 3" xfId="375" xr:uid="{00000000-0005-0000-0000-000076010000}"/>
    <cellStyle name="20% - Ênfase3 7 2 3 2" xfId="376" xr:uid="{00000000-0005-0000-0000-000077010000}"/>
    <cellStyle name="20% - Ênfase3 7 2 3 3" xfId="377" xr:uid="{00000000-0005-0000-0000-000078010000}"/>
    <cellStyle name="20% - Ênfase3 7 2 4" xfId="378" xr:uid="{00000000-0005-0000-0000-000079010000}"/>
    <cellStyle name="20% - Ênfase3 7 2 5" xfId="379" xr:uid="{00000000-0005-0000-0000-00007A010000}"/>
    <cellStyle name="20% - Ênfase3 7 2 6" xfId="380" xr:uid="{00000000-0005-0000-0000-00007B010000}"/>
    <cellStyle name="20% - Ênfase3 7 3" xfId="381" xr:uid="{00000000-0005-0000-0000-00007C010000}"/>
    <cellStyle name="20% - Ênfase3 7 3 2" xfId="382" xr:uid="{00000000-0005-0000-0000-00007D010000}"/>
    <cellStyle name="20% - Ênfase3 7 3 2 2" xfId="383" xr:uid="{00000000-0005-0000-0000-00007E010000}"/>
    <cellStyle name="20% - Ênfase3 7 3 2 2 2" xfId="384" xr:uid="{00000000-0005-0000-0000-00007F010000}"/>
    <cellStyle name="20% - Ênfase3 7 3 2 2 3" xfId="385" xr:uid="{00000000-0005-0000-0000-000080010000}"/>
    <cellStyle name="20% - Ênfase3 7 3 2 3" xfId="386" xr:uid="{00000000-0005-0000-0000-000081010000}"/>
    <cellStyle name="20% - Ênfase3 7 3 2 4" xfId="387" xr:uid="{00000000-0005-0000-0000-000082010000}"/>
    <cellStyle name="20% - Ênfase3 7 3 3" xfId="388" xr:uid="{00000000-0005-0000-0000-000083010000}"/>
    <cellStyle name="20% - Ênfase3 7 3 3 2" xfId="389" xr:uid="{00000000-0005-0000-0000-000084010000}"/>
    <cellStyle name="20% - Ênfase3 7 3 3 3" xfId="390" xr:uid="{00000000-0005-0000-0000-000085010000}"/>
    <cellStyle name="20% - Ênfase3 7 3 4" xfId="391" xr:uid="{00000000-0005-0000-0000-000086010000}"/>
    <cellStyle name="20% - Ênfase3 7 3 5" xfId="392" xr:uid="{00000000-0005-0000-0000-000087010000}"/>
    <cellStyle name="20% - Ênfase3 7 4" xfId="393" xr:uid="{00000000-0005-0000-0000-000088010000}"/>
    <cellStyle name="20% - Ênfase3 7 4 2" xfId="394" xr:uid="{00000000-0005-0000-0000-000089010000}"/>
    <cellStyle name="20% - Ênfase3 7 4 2 2" xfId="395" xr:uid="{00000000-0005-0000-0000-00008A010000}"/>
    <cellStyle name="20% - Ênfase3 7 4 2 3" xfId="396" xr:uid="{00000000-0005-0000-0000-00008B010000}"/>
    <cellStyle name="20% - Ênfase3 7 4 3" xfId="397" xr:uid="{00000000-0005-0000-0000-00008C010000}"/>
    <cellStyle name="20% - Ênfase3 7 4 4" xfId="398" xr:uid="{00000000-0005-0000-0000-00008D010000}"/>
    <cellStyle name="20% - Ênfase3 7 5" xfId="399" xr:uid="{00000000-0005-0000-0000-00008E010000}"/>
    <cellStyle name="20% - Ênfase3 7 5 2" xfId="400" xr:uid="{00000000-0005-0000-0000-00008F010000}"/>
    <cellStyle name="20% - Ênfase3 7 5 3" xfId="401" xr:uid="{00000000-0005-0000-0000-000090010000}"/>
    <cellStyle name="20% - Ênfase3 7 6" xfId="402" xr:uid="{00000000-0005-0000-0000-000091010000}"/>
    <cellStyle name="20% - Ênfase3 7 7" xfId="403" xr:uid="{00000000-0005-0000-0000-000092010000}"/>
    <cellStyle name="20% - Ênfase3 7 8" xfId="404" xr:uid="{00000000-0005-0000-0000-000093010000}"/>
    <cellStyle name="20% - Ênfase3 8" xfId="405" xr:uid="{00000000-0005-0000-0000-000094010000}"/>
    <cellStyle name="20% - Ênfase3 8 2" xfId="406" xr:uid="{00000000-0005-0000-0000-000095010000}"/>
    <cellStyle name="20% - Ênfase3 8 2 2" xfId="407" xr:uid="{00000000-0005-0000-0000-000096010000}"/>
    <cellStyle name="20% - Ênfase3 8 2 3" xfId="408" xr:uid="{00000000-0005-0000-0000-000097010000}"/>
    <cellStyle name="20% - Ênfase3 8 3" xfId="409" xr:uid="{00000000-0005-0000-0000-000098010000}"/>
    <cellStyle name="20% - Ênfase3 8 3 2" xfId="410" xr:uid="{00000000-0005-0000-0000-000099010000}"/>
    <cellStyle name="20% - Ênfase3 8 4" xfId="411" xr:uid="{00000000-0005-0000-0000-00009A010000}"/>
    <cellStyle name="20% - Ênfase3 8 5" xfId="412" xr:uid="{00000000-0005-0000-0000-00009B010000}"/>
    <cellStyle name="20% - Ênfase3 9" xfId="413" xr:uid="{00000000-0005-0000-0000-00009C010000}"/>
    <cellStyle name="20% - Ênfase3 9 2" xfId="414" xr:uid="{00000000-0005-0000-0000-00009D010000}"/>
    <cellStyle name="20% - Ênfase3 9 2 2" xfId="415" xr:uid="{00000000-0005-0000-0000-00009E010000}"/>
    <cellStyle name="20% - Ênfase3 9 2 2 2" xfId="416" xr:uid="{00000000-0005-0000-0000-00009F010000}"/>
    <cellStyle name="20% - Ênfase3 9 2 2 2 2" xfId="417" xr:uid="{00000000-0005-0000-0000-0000A0010000}"/>
    <cellStyle name="20% - Ênfase3 9 2 2 2 3" xfId="418" xr:uid="{00000000-0005-0000-0000-0000A1010000}"/>
    <cellStyle name="20% - Ênfase3 9 2 2 3" xfId="419" xr:uid="{00000000-0005-0000-0000-0000A2010000}"/>
    <cellStyle name="20% - Ênfase3 9 2 2 4" xfId="420" xr:uid="{00000000-0005-0000-0000-0000A3010000}"/>
    <cellStyle name="20% - Ênfase3 9 2 3" xfId="421" xr:uid="{00000000-0005-0000-0000-0000A4010000}"/>
    <cellStyle name="20% - Ênfase3 9 2 3 2" xfId="422" xr:uid="{00000000-0005-0000-0000-0000A5010000}"/>
    <cellStyle name="20% - Ênfase3 9 2 3 3" xfId="423" xr:uid="{00000000-0005-0000-0000-0000A6010000}"/>
    <cellStyle name="20% - Ênfase3 9 2 4" xfId="424" xr:uid="{00000000-0005-0000-0000-0000A7010000}"/>
    <cellStyle name="20% - Ênfase3 9 2 5" xfId="425" xr:uid="{00000000-0005-0000-0000-0000A8010000}"/>
    <cellStyle name="20% - Ênfase3 9 2 6" xfId="426" xr:uid="{00000000-0005-0000-0000-0000A9010000}"/>
    <cellStyle name="20% - Ênfase3 9 3" xfId="427" xr:uid="{00000000-0005-0000-0000-0000AA010000}"/>
    <cellStyle name="20% - Ênfase3 9 3 2" xfId="428" xr:uid="{00000000-0005-0000-0000-0000AB010000}"/>
    <cellStyle name="20% - Ênfase3 9 3 2 2" xfId="429" xr:uid="{00000000-0005-0000-0000-0000AC010000}"/>
    <cellStyle name="20% - Ênfase3 9 3 2 3" xfId="430" xr:uid="{00000000-0005-0000-0000-0000AD010000}"/>
    <cellStyle name="20% - Ênfase3 9 3 3" xfId="431" xr:uid="{00000000-0005-0000-0000-0000AE010000}"/>
    <cellStyle name="20% - Ênfase3 9 3 4" xfId="432" xr:uid="{00000000-0005-0000-0000-0000AF010000}"/>
    <cellStyle name="20% - Ênfase3 9 4" xfId="433" xr:uid="{00000000-0005-0000-0000-0000B0010000}"/>
    <cellStyle name="20% - Ênfase3 9 4 2" xfId="434" xr:uid="{00000000-0005-0000-0000-0000B1010000}"/>
    <cellStyle name="20% - Ênfase3 9 4 3" xfId="435" xr:uid="{00000000-0005-0000-0000-0000B2010000}"/>
    <cellStyle name="20% - Ênfase3 9 5" xfId="436" xr:uid="{00000000-0005-0000-0000-0000B3010000}"/>
    <cellStyle name="20% - Ênfase3 9 6" xfId="437" xr:uid="{00000000-0005-0000-0000-0000B4010000}"/>
    <cellStyle name="20% - Ênfase3 9 7" xfId="438" xr:uid="{00000000-0005-0000-0000-0000B5010000}"/>
    <cellStyle name="20% - Ênfase4" xfId="439" builtinId="42" customBuiltin="1"/>
    <cellStyle name="20% - Ênfase4 10" xfId="440" xr:uid="{00000000-0005-0000-0000-0000B7010000}"/>
    <cellStyle name="20% - Ênfase4 10 2" xfId="441" xr:uid="{00000000-0005-0000-0000-0000B8010000}"/>
    <cellStyle name="20% - Ênfase4 10 3" xfId="442" xr:uid="{00000000-0005-0000-0000-0000B9010000}"/>
    <cellStyle name="20% - Ênfase4 11" xfId="443" xr:uid="{00000000-0005-0000-0000-0000BA010000}"/>
    <cellStyle name="20% - Ênfase4 11 2" xfId="444" xr:uid="{00000000-0005-0000-0000-0000BB010000}"/>
    <cellStyle name="20% - Ênfase4 11 3" xfId="445" xr:uid="{00000000-0005-0000-0000-0000BC010000}"/>
    <cellStyle name="20% - Ênfase4 12" xfId="446" xr:uid="{00000000-0005-0000-0000-0000BD010000}"/>
    <cellStyle name="20% - Ênfase4 13" xfId="447" xr:uid="{00000000-0005-0000-0000-0000BE010000}"/>
    <cellStyle name="20% - Ênfase4 14" xfId="448" xr:uid="{00000000-0005-0000-0000-0000BF010000}"/>
    <cellStyle name="20% - Ênfase4 15" xfId="449" xr:uid="{00000000-0005-0000-0000-0000C0010000}"/>
    <cellStyle name="20% - Ênfase4 16" xfId="450" xr:uid="{00000000-0005-0000-0000-0000C1010000}"/>
    <cellStyle name="20% - Ênfase4 17" xfId="451" xr:uid="{00000000-0005-0000-0000-0000C2010000}"/>
    <cellStyle name="20% - Ênfase4 2" xfId="452" xr:uid="{00000000-0005-0000-0000-0000C3010000}"/>
    <cellStyle name="20% - Ênfase4 2 2" xfId="453" xr:uid="{00000000-0005-0000-0000-0000C4010000}"/>
    <cellStyle name="20% - Ênfase4 2 2 2" xfId="454" xr:uid="{00000000-0005-0000-0000-0000C5010000}"/>
    <cellStyle name="20% - Ênfase4 2 2 2 2" xfId="455" xr:uid="{00000000-0005-0000-0000-0000C6010000}"/>
    <cellStyle name="20% - Ênfase4 2 2 2 2 2" xfId="456" xr:uid="{00000000-0005-0000-0000-0000C7010000}"/>
    <cellStyle name="20% - Ênfase4 2 2 2 3" xfId="457" xr:uid="{00000000-0005-0000-0000-0000C8010000}"/>
    <cellStyle name="20% - Ênfase4 2 2 2 3 2" xfId="458" xr:uid="{00000000-0005-0000-0000-0000C9010000}"/>
    <cellStyle name="20% - Ênfase4 2 2 2 4" xfId="459" xr:uid="{00000000-0005-0000-0000-0000CA010000}"/>
    <cellStyle name="20% - Ênfase4 2 2 3" xfId="460" xr:uid="{00000000-0005-0000-0000-0000CB010000}"/>
    <cellStyle name="20% - Ênfase4 2 2 3 2" xfId="461" xr:uid="{00000000-0005-0000-0000-0000CC010000}"/>
    <cellStyle name="20% - Ênfase4 2 2 4" xfId="462" xr:uid="{00000000-0005-0000-0000-0000CD010000}"/>
    <cellStyle name="20% - Ênfase4 2 2 4 2" xfId="463" xr:uid="{00000000-0005-0000-0000-0000CE010000}"/>
    <cellStyle name="20% - Ênfase4 2 2 5" xfId="464" xr:uid="{00000000-0005-0000-0000-0000CF010000}"/>
    <cellStyle name="20% - Ênfase4 2 3" xfId="465" xr:uid="{00000000-0005-0000-0000-0000D0010000}"/>
    <cellStyle name="20% - Ênfase4 2 3 2" xfId="466" xr:uid="{00000000-0005-0000-0000-0000D1010000}"/>
    <cellStyle name="20% - Ênfase4 2 3 2 2" xfId="467" xr:uid="{00000000-0005-0000-0000-0000D2010000}"/>
    <cellStyle name="20% - Ênfase4 2 3 3" xfId="468" xr:uid="{00000000-0005-0000-0000-0000D3010000}"/>
    <cellStyle name="20% - Ênfase4 2 3 3 2" xfId="469" xr:uid="{00000000-0005-0000-0000-0000D4010000}"/>
    <cellStyle name="20% - Ênfase4 2 3 4" xfId="470" xr:uid="{00000000-0005-0000-0000-0000D5010000}"/>
    <cellStyle name="20% - Ênfase4 2 4" xfId="471" xr:uid="{00000000-0005-0000-0000-0000D6010000}"/>
    <cellStyle name="20% - Ênfase4 2 4 2" xfId="472" xr:uid="{00000000-0005-0000-0000-0000D7010000}"/>
    <cellStyle name="20% - Ênfase4 2 5" xfId="473" xr:uid="{00000000-0005-0000-0000-0000D8010000}"/>
    <cellStyle name="20% - Ênfase4 2 5 2" xfId="474" xr:uid="{00000000-0005-0000-0000-0000D9010000}"/>
    <cellStyle name="20% - Ênfase4 2 6" xfId="475" xr:uid="{00000000-0005-0000-0000-0000DA010000}"/>
    <cellStyle name="20% - Ênfase4 2 7" xfId="476" xr:uid="{00000000-0005-0000-0000-0000DB010000}"/>
    <cellStyle name="20% - Ênfase4 2_BP_Consolidação" xfId="477" xr:uid="{00000000-0005-0000-0000-0000DC010000}"/>
    <cellStyle name="20% - Ênfase4 3" xfId="478" xr:uid="{00000000-0005-0000-0000-0000DD010000}"/>
    <cellStyle name="20% - Ênfase4 3 2" xfId="479" xr:uid="{00000000-0005-0000-0000-0000DE010000}"/>
    <cellStyle name="20% - Ênfase4 3 2 2" xfId="480" xr:uid="{00000000-0005-0000-0000-0000DF010000}"/>
    <cellStyle name="20% - Ênfase4 3 2 2 2" xfId="481" xr:uid="{00000000-0005-0000-0000-0000E0010000}"/>
    <cellStyle name="20% - Ênfase4 3 2 3" xfId="482" xr:uid="{00000000-0005-0000-0000-0000E1010000}"/>
    <cellStyle name="20% - Ênfase4 3 2 3 2" xfId="483" xr:uid="{00000000-0005-0000-0000-0000E2010000}"/>
    <cellStyle name="20% - Ênfase4 3 2 4" xfId="484" xr:uid="{00000000-0005-0000-0000-0000E3010000}"/>
    <cellStyle name="20% - Ênfase4 3 3" xfId="485" xr:uid="{00000000-0005-0000-0000-0000E4010000}"/>
    <cellStyle name="20% - Ênfase4 3 3 2" xfId="486" xr:uid="{00000000-0005-0000-0000-0000E5010000}"/>
    <cellStyle name="20% - Ênfase4 3 4" xfId="487" xr:uid="{00000000-0005-0000-0000-0000E6010000}"/>
    <cellStyle name="20% - Ênfase4 3 4 2" xfId="488" xr:uid="{00000000-0005-0000-0000-0000E7010000}"/>
    <cellStyle name="20% - Ênfase4 3 5" xfId="489" xr:uid="{00000000-0005-0000-0000-0000E8010000}"/>
    <cellStyle name="20% - Ênfase4 3 6" xfId="490" xr:uid="{00000000-0005-0000-0000-0000E9010000}"/>
    <cellStyle name="20% - Ênfase4 3_BP_Consolidação" xfId="491" xr:uid="{00000000-0005-0000-0000-0000EA010000}"/>
    <cellStyle name="20% - Ênfase4 4" xfId="492" xr:uid="{00000000-0005-0000-0000-0000EB010000}"/>
    <cellStyle name="20% - Ênfase4 4 2" xfId="493" xr:uid="{00000000-0005-0000-0000-0000EC010000}"/>
    <cellStyle name="20% - Ênfase4 4 2 2" xfId="494" xr:uid="{00000000-0005-0000-0000-0000ED010000}"/>
    <cellStyle name="20% - Ênfase4 4 2 2 2" xfId="495" xr:uid="{00000000-0005-0000-0000-0000EE010000}"/>
    <cellStyle name="20% - Ênfase4 4 2 3" xfId="496" xr:uid="{00000000-0005-0000-0000-0000EF010000}"/>
    <cellStyle name="20% - Ênfase4 4 2 3 2" xfId="497" xr:uid="{00000000-0005-0000-0000-0000F0010000}"/>
    <cellStyle name="20% - Ênfase4 4 2 4" xfId="498" xr:uid="{00000000-0005-0000-0000-0000F1010000}"/>
    <cellStyle name="20% - Ênfase4 4 3" xfId="499" xr:uid="{00000000-0005-0000-0000-0000F2010000}"/>
    <cellStyle name="20% - Ênfase4 4 3 2" xfId="500" xr:uid="{00000000-0005-0000-0000-0000F3010000}"/>
    <cellStyle name="20% - Ênfase4 4 4" xfId="501" xr:uid="{00000000-0005-0000-0000-0000F4010000}"/>
    <cellStyle name="20% - Ênfase4 4 5" xfId="502" xr:uid="{00000000-0005-0000-0000-0000F5010000}"/>
    <cellStyle name="20% - Ênfase4 4 6" xfId="503" xr:uid="{00000000-0005-0000-0000-0000F6010000}"/>
    <cellStyle name="20% - Ênfase4 5" xfId="504" xr:uid="{00000000-0005-0000-0000-0000F7010000}"/>
    <cellStyle name="20% - Ênfase4 5 2" xfId="505" xr:uid="{00000000-0005-0000-0000-0000F8010000}"/>
    <cellStyle name="20% - Ênfase4 5 2 2" xfId="506" xr:uid="{00000000-0005-0000-0000-0000F9010000}"/>
    <cellStyle name="20% - Ênfase4 5 2 3" xfId="507" xr:uid="{00000000-0005-0000-0000-0000FA010000}"/>
    <cellStyle name="20% - Ênfase4 5 3" xfId="508" xr:uid="{00000000-0005-0000-0000-0000FB010000}"/>
    <cellStyle name="20% - Ênfase4 5 3 2" xfId="509" xr:uid="{00000000-0005-0000-0000-0000FC010000}"/>
    <cellStyle name="20% - Ênfase4 5 4" xfId="510" xr:uid="{00000000-0005-0000-0000-0000FD010000}"/>
    <cellStyle name="20% - Ênfase4 5 5" xfId="511" xr:uid="{00000000-0005-0000-0000-0000FE010000}"/>
    <cellStyle name="20% - Ênfase4 6" xfId="512" xr:uid="{00000000-0005-0000-0000-0000FF010000}"/>
    <cellStyle name="20% - Ênfase4 7" xfId="513" xr:uid="{00000000-0005-0000-0000-000000020000}"/>
    <cellStyle name="20% - Ênfase4 7 2" xfId="514" xr:uid="{00000000-0005-0000-0000-000001020000}"/>
    <cellStyle name="20% - Ênfase4 7 2 2" xfId="515" xr:uid="{00000000-0005-0000-0000-000002020000}"/>
    <cellStyle name="20% - Ênfase4 7 2 2 2" xfId="516" xr:uid="{00000000-0005-0000-0000-000003020000}"/>
    <cellStyle name="20% - Ênfase4 7 2 2 2 2" xfId="517" xr:uid="{00000000-0005-0000-0000-000004020000}"/>
    <cellStyle name="20% - Ênfase4 7 2 2 2 3" xfId="518" xr:uid="{00000000-0005-0000-0000-000005020000}"/>
    <cellStyle name="20% - Ênfase4 7 2 2 3" xfId="519" xr:uid="{00000000-0005-0000-0000-000006020000}"/>
    <cellStyle name="20% - Ênfase4 7 2 2 4" xfId="520" xr:uid="{00000000-0005-0000-0000-000007020000}"/>
    <cellStyle name="20% - Ênfase4 7 2 3" xfId="521" xr:uid="{00000000-0005-0000-0000-000008020000}"/>
    <cellStyle name="20% - Ênfase4 7 2 3 2" xfId="522" xr:uid="{00000000-0005-0000-0000-000009020000}"/>
    <cellStyle name="20% - Ênfase4 7 2 3 3" xfId="523" xr:uid="{00000000-0005-0000-0000-00000A020000}"/>
    <cellStyle name="20% - Ênfase4 7 2 4" xfId="524" xr:uid="{00000000-0005-0000-0000-00000B020000}"/>
    <cellStyle name="20% - Ênfase4 7 2 5" xfId="525" xr:uid="{00000000-0005-0000-0000-00000C020000}"/>
    <cellStyle name="20% - Ênfase4 7 2 6" xfId="526" xr:uid="{00000000-0005-0000-0000-00000D020000}"/>
    <cellStyle name="20% - Ênfase4 7 3" xfId="527" xr:uid="{00000000-0005-0000-0000-00000E020000}"/>
    <cellStyle name="20% - Ênfase4 7 3 2" xfId="528" xr:uid="{00000000-0005-0000-0000-00000F020000}"/>
    <cellStyle name="20% - Ênfase4 7 3 2 2" xfId="529" xr:uid="{00000000-0005-0000-0000-000010020000}"/>
    <cellStyle name="20% - Ênfase4 7 3 2 2 2" xfId="530" xr:uid="{00000000-0005-0000-0000-000011020000}"/>
    <cellStyle name="20% - Ênfase4 7 3 2 2 3" xfId="531" xr:uid="{00000000-0005-0000-0000-000012020000}"/>
    <cellStyle name="20% - Ênfase4 7 3 2 3" xfId="532" xr:uid="{00000000-0005-0000-0000-000013020000}"/>
    <cellStyle name="20% - Ênfase4 7 3 2 4" xfId="533" xr:uid="{00000000-0005-0000-0000-000014020000}"/>
    <cellStyle name="20% - Ênfase4 7 3 3" xfId="534" xr:uid="{00000000-0005-0000-0000-000015020000}"/>
    <cellStyle name="20% - Ênfase4 7 3 3 2" xfId="535" xr:uid="{00000000-0005-0000-0000-000016020000}"/>
    <cellStyle name="20% - Ênfase4 7 3 3 3" xfId="536" xr:uid="{00000000-0005-0000-0000-000017020000}"/>
    <cellStyle name="20% - Ênfase4 7 3 4" xfId="537" xr:uid="{00000000-0005-0000-0000-000018020000}"/>
    <cellStyle name="20% - Ênfase4 7 3 5" xfId="538" xr:uid="{00000000-0005-0000-0000-000019020000}"/>
    <cellStyle name="20% - Ênfase4 7 4" xfId="539" xr:uid="{00000000-0005-0000-0000-00001A020000}"/>
    <cellStyle name="20% - Ênfase4 7 4 2" xfId="540" xr:uid="{00000000-0005-0000-0000-00001B020000}"/>
    <cellStyle name="20% - Ênfase4 7 4 2 2" xfId="541" xr:uid="{00000000-0005-0000-0000-00001C020000}"/>
    <cellStyle name="20% - Ênfase4 7 4 2 3" xfId="542" xr:uid="{00000000-0005-0000-0000-00001D020000}"/>
    <cellStyle name="20% - Ênfase4 7 4 3" xfId="543" xr:uid="{00000000-0005-0000-0000-00001E020000}"/>
    <cellStyle name="20% - Ênfase4 7 4 4" xfId="544" xr:uid="{00000000-0005-0000-0000-00001F020000}"/>
    <cellStyle name="20% - Ênfase4 7 5" xfId="545" xr:uid="{00000000-0005-0000-0000-000020020000}"/>
    <cellStyle name="20% - Ênfase4 7 5 2" xfId="546" xr:uid="{00000000-0005-0000-0000-000021020000}"/>
    <cellStyle name="20% - Ênfase4 7 5 3" xfId="547" xr:uid="{00000000-0005-0000-0000-000022020000}"/>
    <cellStyle name="20% - Ênfase4 7 6" xfId="548" xr:uid="{00000000-0005-0000-0000-000023020000}"/>
    <cellStyle name="20% - Ênfase4 7 7" xfId="549" xr:uid="{00000000-0005-0000-0000-000024020000}"/>
    <cellStyle name="20% - Ênfase4 7 8" xfId="550" xr:uid="{00000000-0005-0000-0000-000025020000}"/>
    <cellStyle name="20% - Ênfase4 8" xfId="551" xr:uid="{00000000-0005-0000-0000-000026020000}"/>
    <cellStyle name="20% - Ênfase4 8 2" xfId="552" xr:uid="{00000000-0005-0000-0000-000027020000}"/>
    <cellStyle name="20% - Ênfase4 8 2 2" xfId="553" xr:uid="{00000000-0005-0000-0000-000028020000}"/>
    <cellStyle name="20% - Ênfase4 8 2 3" xfId="554" xr:uid="{00000000-0005-0000-0000-000029020000}"/>
    <cellStyle name="20% - Ênfase4 8 3" xfId="555" xr:uid="{00000000-0005-0000-0000-00002A020000}"/>
    <cellStyle name="20% - Ênfase4 8 3 2" xfId="556" xr:uid="{00000000-0005-0000-0000-00002B020000}"/>
    <cellStyle name="20% - Ênfase4 8 4" xfId="557" xr:uid="{00000000-0005-0000-0000-00002C020000}"/>
    <cellStyle name="20% - Ênfase4 8 5" xfId="558" xr:uid="{00000000-0005-0000-0000-00002D020000}"/>
    <cellStyle name="20% - Ênfase4 9" xfId="559" xr:uid="{00000000-0005-0000-0000-00002E020000}"/>
    <cellStyle name="20% - Ênfase4 9 2" xfId="560" xr:uid="{00000000-0005-0000-0000-00002F020000}"/>
    <cellStyle name="20% - Ênfase4 9 2 2" xfId="561" xr:uid="{00000000-0005-0000-0000-000030020000}"/>
    <cellStyle name="20% - Ênfase4 9 2 2 2" xfId="562" xr:uid="{00000000-0005-0000-0000-000031020000}"/>
    <cellStyle name="20% - Ênfase4 9 2 2 2 2" xfId="563" xr:uid="{00000000-0005-0000-0000-000032020000}"/>
    <cellStyle name="20% - Ênfase4 9 2 2 2 3" xfId="564" xr:uid="{00000000-0005-0000-0000-000033020000}"/>
    <cellStyle name="20% - Ênfase4 9 2 2 3" xfId="565" xr:uid="{00000000-0005-0000-0000-000034020000}"/>
    <cellStyle name="20% - Ênfase4 9 2 2 4" xfId="566" xr:uid="{00000000-0005-0000-0000-000035020000}"/>
    <cellStyle name="20% - Ênfase4 9 2 3" xfId="567" xr:uid="{00000000-0005-0000-0000-000036020000}"/>
    <cellStyle name="20% - Ênfase4 9 2 3 2" xfId="568" xr:uid="{00000000-0005-0000-0000-000037020000}"/>
    <cellStyle name="20% - Ênfase4 9 2 3 3" xfId="569" xr:uid="{00000000-0005-0000-0000-000038020000}"/>
    <cellStyle name="20% - Ênfase4 9 2 4" xfId="570" xr:uid="{00000000-0005-0000-0000-000039020000}"/>
    <cellStyle name="20% - Ênfase4 9 2 5" xfId="571" xr:uid="{00000000-0005-0000-0000-00003A020000}"/>
    <cellStyle name="20% - Ênfase4 9 2 6" xfId="572" xr:uid="{00000000-0005-0000-0000-00003B020000}"/>
    <cellStyle name="20% - Ênfase4 9 3" xfId="573" xr:uid="{00000000-0005-0000-0000-00003C020000}"/>
    <cellStyle name="20% - Ênfase4 9 3 2" xfId="574" xr:uid="{00000000-0005-0000-0000-00003D020000}"/>
    <cellStyle name="20% - Ênfase4 9 3 2 2" xfId="575" xr:uid="{00000000-0005-0000-0000-00003E020000}"/>
    <cellStyle name="20% - Ênfase4 9 3 2 3" xfId="576" xr:uid="{00000000-0005-0000-0000-00003F020000}"/>
    <cellStyle name="20% - Ênfase4 9 3 3" xfId="577" xr:uid="{00000000-0005-0000-0000-000040020000}"/>
    <cellStyle name="20% - Ênfase4 9 3 4" xfId="578" xr:uid="{00000000-0005-0000-0000-000041020000}"/>
    <cellStyle name="20% - Ênfase4 9 4" xfId="579" xr:uid="{00000000-0005-0000-0000-000042020000}"/>
    <cellStyle name="20% - Ênfase4 9 4 2" xfId="580" xr:uid="{00000000-0005-0000-0000-000043020000}"/>
    <cellStyle name="20% - Ênfase4 9 4 3" xfId="581" xr:uid="{00000000-0005-0000-0000-000044020000}"/>
    <cellStyle name="20% - Ênfase4 9 5" xfId="582" xr:uid="{00000000-0005-0000-0000-000045020000}"/>
    <cellStyle name="20% - Ênfase4 9 6" xfId="583" xr:uid="{00000000-0005-0000-0000-000046020000}"/>
    <cellStyle name="20% - Ênfase4 9 7" xfId="584" xr:uid="{00000000-0005-0000-0000-000047020000}"/>
    <cellStyle name="20% - Ênfase5" xfId="585" builtinId="46" customBuiltin="1"/>
    <cellStyle name="20% - Ênfase5 10" xfId="586" xr:uid="{00000000-0005-0000-0000-000049020000}"/>
    <cellStyle name="20% - Ênfase5 10 2" xfId="587" xr:uid="{00000000-0005-0000-0000-00004A020000}"/>
    <cellStyle name="20% - Ênfase5 10 3" xfId="588" xr:uid="{00000000-0005-0000-0000-00004B020000}"/>
    <cellStyle name="20% - Ênfase5 11" xfId="589" xr:uid="{00000000-0005-0000-0000-00004C020000}"/>
    <cellStyle name="20% - Ênfase5 11 2" xfId="590" xr:uid="{00000000-0005-0000-0000-00004D020000}"/>
    <cellStyle name="20% - Ênfase5 11 3" xfId="591" xr:uid="{00000000-0005-0000-0000-00004E020000}"/>
    <cellStyle name="20% - Ênfase5 12" xfId="592" xr:uid="{00000000-0005-0000-0000-00004F020000}"/>
    <cellStyle name="20% - Ênfase5 13" xfId="593" xr:uid="{00000000-0005-0000-0000-000050020000}"/>
    <cellStyle name="20% - Ênfase5 14" xfId="594" xr:uid="{00000000-0005-0000-0000-000051020000}"/>
    <cellStyle name="20% - Ênfase5 15" xfId="595" xr:uid="{00000000-0005-0000-0000-000052020000}"/>
    <cellStyle name="20% - Ênfase5 16" xfId="596" xr:uid="{00000000-0005-0000-0000-000053020000}"/>
    <cellStyle name="20% - Ênfase5 17" xfId="597" xr:uid="{00000000-0005-0000-0000-000054020000}"/>
    <cellStyle name="20% - Ênfase5 2" xfId="598" xr:uid="{00000000-0005-0000-0000-000055020000}"/>
    <cellStyle name="20% - Ênfase5 2 2" xfId="599" xr:uid="{00000000-0005-0000-0000-000056020000}"/>
    <cellStyle name="20% - Ênfase5 2 2 2" xfId="600" xr:uid="{00000000-0005-0000-0000-000057020000}"/>
    <cellStyle name="20% - Ênfase5 2 2 2 2" xfId="601" xr:uid="{00000000-0005-0000-0000-000058020000}"/>
    <cellStyle name="20% - Ênfase5 2 2 2 2 2" xfId="602" xr:uid="{00000000-0005-0000-0000-000059020000}"/>
    <cellStyle name="20% - Ênfase5 2 2 2 3" xfId="603" xr:uid="{00000000-0005-0000-0000-00005A020000}"/>
    <cellStyle name="20% - Ênfase5 2 2 2 3 2" xfId="604" xr:uid="{00000000-0005-0000-0000-00005B020000}"/>
    <cellStyle name="20% - Ênfase5 2 2 2 4" xfId="605" xr:uid="{00000000-0005-0000-0000-00005C020000}"/>
    <cellStyle name="20% - Ênfase5 2 2 3" xfId="606" xr:uid="{00000000-0005-0000-0000-00005D020000}"/>
    <cellStyle name="20% - Ênfase5 2 2 3 2" xfId="607" xr:uid="{00000000-0005-0000-0000-00005E020000}"/>
    <cellStyle name="20% - Ênfase5 2 2 4" xfId="608" xr:uid="{00000000-0005-0000-0000-00005F020000}"/>
    <cellStyle name="20% - Ênfase5 2 2 4 2" xfId="609" xr:uid="{00000000-0005-0000-0000-000060020000}"/>
    <cellStyle name="20% - Ênfase5 2 2 5" xfId="610" xr:uid="{00000000-0005-0000-0000-000061020000}"/>
    <cellStyle name="20% - Ênfase5 2 3" xfId="611" xr:uid="{00000000-0005-0000-0000-000062020000}"/>
    <cellStyle name="20% - Ênfase5 2 3 2" xfId="612" xr:uid="{00000000-0005-0000-0000-000063020000}"/>
    <cellStyle name="20% - Ênfase5 2 3 2 2" xfId="613" xr:uid="{00000000-0005-0000-0000-000064020000}"/>
    <cellStyle name="20% - Ênfase5 2 3 3" xfId="614" xr:uid="{00000000-0005-0000-0000-000065020000}"/>
    <cellStyle name="20% - Ênfase5 2 3 3 2" xfId="615" xr:uid="{00000000-0005-0000-0000-000066020000}"/>
    <cellStyle name="20% - Ênfase5 2 3 4" xfId="616" xr:uid="{00000000-0005-0000-0000-000067020000}"/>
    <cellStyle name="20% - Ênfase5 2 4" xfId="617" xr:uid="{00000000-0005-0000-0000-000068020000}"/>
    <cellStyle name="20% - Ênfase5 2 4 2" xfId="618" xr:uid="{00000000-0005-0000-0000-000069020000}"/>
    <cellStyle name="20% - Ênfase5 2 5" xfId="619" xr:uid="{00000000-0005-0000-0000-00006A020000}"/>
    <cellStyle name="20% - Ênfase5 2 5 2" xfId="620" xr:uid="{00000000-0005-0000-0000-00006B020000}"/>
    <cellStyle name="20% - Ênfase5 2 6" xfId="621" xr:uid="{00000000-0005-0000-0000-00006C020000}"/>
    <cellStyle name="20% - Ênfase5 2 7" xfId="622" xr:uid="{00000000-0005-0000-0000-00006D020000}"/>
    <cellStyle name="20% - Ênfase5 2_BP_Consolidação" xfId="623" xr:uid="{00000000-0005-0000-0000-00006E020000}"/>
    <cellStyle name="20% - Ênfase5 3" xfId="624" xr:uid="{00000000-0005-0000-0000-00006F020000}"/>
    <cellStyle name="20% - Ênfase5 3 2" xfId="625" xr:uid="{00000000-0005-0000-0000-000070020000}"/>
    <cellStyle name="20% - Ênfase5 3 2 2" xfId="626" xr:uid="{00000000-0005-0000-0000-000071020000}"/>
    <cellStyle name="20% - Ênfase5 3 2 2 2" xfId="627" xr:uid="{00000000-0005-0000-0000-000072020000}"/>
    <cellStyle name="20% - Ênfase5 3 2 3" xfId="628" xr:uid="{00000000-0005-0000-0000-000073020000}"/>
    <cellStyle name="20% - Ênfase5 3 2 3 2" xfId="629" xr:uid="{00000000-0005-0000-0000-000074020000}"/>
    <cellStyle name="20% - Ênfase5 3 2 4" xfId="630" xr:uid="{00000000-0005-0000-0000-000075020000}"/>
    <cellStyle name="20% - Ênfase5 3 3" xfId="631" xr:uid="{00000000-0005-0000-0000-000076020000}"/>
    <cellStyle name="20% - Ênfase5 3 3 2" xfId="632" xr:uid="{00000000-0005-0000-0000-000077020000}"/>
    <cellStyle name="20% - Ênfase5 3 4" xfId="633" xr:uid="{00000000-0005-0000-0000-000078020000}"/>
    <cellStyle name="20% - Ênfase5 3 4 2" xfId="634" xr:uid="{00000000-0005-0000-0000-000079020000}"/>
    <cellStyle name="20% - Ênfase5 3 5" xfId="635" xr:uid="{00000000-0005-0000-0000-00007A020000}"/>
    <cellStyle name="20% - Ênfase5 3 6" xfId="636" xr:uid="{00000000-0005-0000-0000-00007B020000}"/>
    <cellStyle name="20% - Ênfase5 3_BP_Consolidação" xfId="637" xr:uid="{00000000-0005-0000-0000-00007C020000}"/>
    <cellStyle name="20% - Ênfase5 4" xfId="638" xr:uid="{00000000-0005-0000-0000-00007D020000}"/>
    <cellStyle name="20% - Ênfase5 4 2" xfId="639" xr:uid="{00000000-0005-0000-0000-00007E020000}"/>
    <cellStyle name="20% - Ênfase5 4 2 2" xfId="640" xr:uid="{00000000-0005-0000-0000-00007F020000}"/>
    <cellStyle name="20% - Ênfase5 4 2 2 2" xfId="641" xr:uid="{00000000-0005-0000-0000-000080020000}"/>
    <cellStyle name="20% - Ênfase5 4 2 3" xfId="642" xr:uid="{00000000-0005-0000-0000-000081020000}"/>
    <cellStyle name="20% - Ênfase5 4 2 3 2" xfId="643" xr:uid="{00000000-0005-0000-0000-000082020000}"/>
    <cellStyle name="20% - Ênfase5 4 2 4" xfId="644" xr:uid="{00000000-0005-0000-0000-000083020000}"/>
    <cellStyle name="20% - Ênfase5 4 3" xfId="645" xr:uid="{00000000-0005-0000-0000-000084020000}"/>
    <cellStyle name="20% - Ênfase5 4 3 2" xfId="646" xr:uid="{00000000-0005-0000-0000-000085020000}"/>
    <cellStyle name="20% - Ênfase5 4 4" xfId="647" xr:uid="{00000000-0005-0000-0000-000086020000}"/>
    <cellStyle name="20% - Ênfase5 4 5" xfId="648" xr:uid="{00000000-0005-0000-0000-000087020000}"/>
    <cellStyle name="20% - Ênfase5 4 6" xfId="649" xr:uid="{00000000-0005-0000-0000-000088020000}"/>
    <cellStyle name="20% - Ênfase5 5" xfId="650" xr:uid="{00000000-0005-0000-0000-000089020000}"/>
    <cellStyle name="20% - Ênfase5 5 2" xfId="651" xr:uid="{00000000-0005-0000-0000-00008A020000}"/>
    <cellStyle name="20% - Ênfase5 5 2 2" xfId="652" xr:uid="{00000000-0005-0000-0000-00008B020000}"/>
    <cellStyle name="20% - Ênfase5 5 2 3" xfId="653" xr:uid="{00000000-0005-0000-0000-00008C020000}"/>
    <cellStyle name="20% - Ênfase5 5 3" xfId="654" xr:uid="{00000000-0005-0000-0000-00008D020000}"/>
    <cellStyle name="20% - Ênfase5 5 3 2" xfId="655" xr:uid="{00000000-0005-0000-0000-00008E020000}"/>
    <cellStyle name="20% - Ênfase5 5 4" xfId="656" xr:uid="{00000000-0005-0000-0000-00008F020000}"/>
    <cellStyle name="20% - Ênfase5 5 5" xfId="657" xr:uid="{00000000-0005-0000-0000-000090020000}"/>
    <cellStyle name="20% - Ênfase5 6" xfId="658" xr:uid="{00000000-0005-0000-0000-000091020000}"/>
    <cellStyle name="20% - Ênfase5 7" xfId="659" xr:uid="{00000000-0005-0000-0000-000092020000}"/>
    <cellStyle name="20% - Ênfase5 7 2" xfId="660" xr:uid="{00000000-0005-0000-0000-000093020000}"/>
    <cellStyle name="20% - Ênfase5 7 2 2" xfId="661" xr:uid="{00000000-0005-0000-0000-000094020000}"/>
    <cellStyle name="20% - Ênfase5 7 2 2 2" xfId="662" xr:uid="{00000000-0005-0000-0000-000095020000}"/>
    <cellStyle name="20% - Ênfase5 7 2 2 2 2" xfId="663" xr:uid="{00000000-0005-0000-0000-000096020000}"/>
    <cellStyle name="20% - Ênfase5 7 2 2 2 3" xfId="664" xr:uid="{00000000-0005-0000-0000-000097020000}"/>
    <cellStyle name="20% - Ênfase5 7 2 2 3" xfId="665" xr:uid="{00000000-0005-0000-0000-000098020000}"/>
    <cellStyle name="20% - Ênfase5 7 2 2 4" xfId="666" xr:uid="{00000000-0005-0000-0000-000099020000}"/>
    <cellStyle name="20% - Ênfase5 7 2 3" xfId="667" xr:uid="{00000000-0005-0000-0000-00009A020000}"/>
    <cellStyle name="20% - Ênfase5 7 2 3 2" xfId="668" xr:uid="{00000000-0005-0000-0000-00009B020000}"/>
    <cellStyle name="20% - Ênfase5 7 2 3 3" xfId="669" xr:uid="{00000000-0005-0000-0000-00009C020000}"/>
    <cellStyle name="20% - Ênfase5 7 2 4" xfId="670" xr:uid="{00000000-0005-0000-0000-00009D020000}"/>
    <cellStyle name="20% - Ênfase5 7 2 5" xfId="671" xr:uid="{00000000-0005-0000-0000-00009E020000}"/>
    <cellStyle name="20% - Ênfase5 7 2 6" xfId="672" xr:uid="{00000000-0005-0000-0000-00009F020000}"/>
    <cellStyle name="20% - Ênfase5 7 3" xfId="673" xr:uid="{00000000-0005-0000-0000-0000A0020000}"/>
    <cellStyle name="20% - Ênfase5 7 3 2" xfId="674" xr:uid="{00000000-0005-0000-0000-0000A1020000}"/>
    <cellStyle name="20% - Ênfase5 7 3 2 2" xfId="675" xr:uid="{00000000-0005-0000-0000-0000A2020000}"/>
    <cellStyle name="20% - Ênfase5 7 3 2 2 2" xfId="676" xr:uid="{00000000-0005-0000-0000-0000A3020000}"/>
    <cellStyle name="20% - Ênfase5 7 3 2 2 3" xfId="677" xr:uid="{00000000-0005-0000-0000-0000A4020000}"/>
    <cellStyle name="20% - Ênfase5 7 3 2 3" xfId="678" xr:uid="{00000000-0005-0000-0000-0000A5020000}"/>
    <cellStyle name="20% - Ênfase5 7 3 2 4" xfId="679" xr:uid="{00000000-0005-0000-0000-0000A6020000}"/>
    <cellStyle name="20% - Ênfase5 7 3 3" xfId="680" xr:uid="{00000000-0005-0000-0000-0000A7020000}"/>
    <cellStyle name="20% - Ênfase5 7 3 3 2" xfId="681" xr:uid="{00000000-0005-0000-0000-0000A8020000}"/>
    <cellStyle name="20% - Ênfase5 7 3 3 3" xfId="682" xr:uid="{00000000-0005-0000-0000-0000A9020000}"/>
    <cellStyle name="20% - Ênfase5 7 3 4" xfId="683" xr:uid="{00000000-0005-0000-0000-0000AA020000}"/>
    <cellStyle name="20% - Ênfase5 7 3 5" xfId="684" xr:uid="{00000000-0005-0000-0000-0000AB020000}"/>
    <cellStyle name="20% - Ênfase5 7 4" xfId="685" xr:uid="{00000000-0005-0000-0000-0000AC020000}"/>
    <cellStyle name="20% - Ênfase5 7 4 2" xfId="686" xr:uid="{00000000-0005-0000-0000-0000AD020000}"/>
    <cellStyle name="20% - Ênfase5 7 4 2 2" xfId="687" xr:uid="{00000000-0005-0000-0000-0000AE020000}"/>
    <cellStyle name="20% - Ênfase5 7 4 2 3" xfId="688" xr:uid="{00000000-0005-0000-0000-0000AF020000}"/>
    <cellStyle name="20% - Ênfase5 7 4 3" xfId="689" xr:uid="{00000000-0005-0000-0000-0000B0020000}"/>
    <cellStyle name="20% - Ênfase5 7 4 4" xfId="690" xr:uid="{00000000-0005-0000-0000-0000B1020000}"/>
    <cellStyle name="20% - Ênfase5 7 5" xfId="691" xr:uid="{00000000-0005-0000-0000-0000B2020000}"/>
    <cellStyle name="20% - Ênfase5 7 5 2" xfId="692" xr:uid="{00000000-0005-0000-0000-0000B3020000}"/>
    <cellStyle name="20% - Ênfase5 7 5 3" xfId="693" xr:uid="{00000000-0005-0000-0000-0000B4020000}"/>
    <cellStyle name="20% - Ênfase5 7 6" xfId="694" xr:uid="{00000000-0005-0000-0000-0000B5020000}"/>
    <cellStyle name="20% - Ênfase5 7 7" xfId="695" xr:uid="{00000000-0005-0000-0000-0000B6020000}"/>
    <cellStyle name="20% - Ênfase5 7 8" xfId="696" xr:uid="{00000000-0005-0000-0000-0000B7020000}"/>
    <cellStyle name="20% - Ênfase5 8" xfId="697" xr:uid="{00000000-0005-0000-0000-0000B8020000}"/>
    <cellStyle name="20% - Ênfase5 8 2" xfId="698" xr:uid="{00000000-0005-0000-0000-0000B9020000}"/>
    <cellStyle name="20% - Ênfase5 8 2 2" xfId="699" xr:uid="{00000000-0005-0000-0000-0000BA020000}"/>
    <cellStyle name="20% - Ênfase5 8 2 3" xfId="700" xr:uid="{00000000-0005-0000-0000-0000BB020000}"/>
    <cellStyle name="20% - Ênfase5 8 3" xfId="701" xr:uid="{00000000-0005-0000-0000-0000BC020000}"/>
    <cellStyle name="20% - Ênfase5 8 3 2" xfId="702" xr:uid="{00000000-0005-0000-0000-0000BD020000}"/>
    <cellStyle name="20% - Ênfase5 8 4" xfId="703" xr:uid="{00000000-0005-0000-0000-0000BE020000}"/>
    <cellStyle name="20% - Ênfase5 8 5" xfId="704" xr:uid="{00000000-0005-0000-0000-0000BF020000}"/>
    <cellStyle name="20% - Ênfase5 9" xfId="705" xr:uid="{00000000-0005-0000-0000-0000C0020000}"/>
    <cellStyle name="20% - Ênfase5 9 2" xfId="706" xr:uid="{00000000-0005-0000-0000-0000C1020000}"/>
    <cellStyle name="20% - Ênfase5 9 2 2" xfId="707" xr:uid="{00000000-0005-0000-0000-0000C2020000}"/>
    <cellStyle name="20% - Ênfase5 9 2 2 2" xfId="708" xr:uid="{00000000-0005-0000-0000-0000C3020000}"/>
    <cellStyle name="20% - Ênfase5 9 2 2 2 2" xfId="709" xr:uid="{00000000-0005-0000-0000-0000C4020000}"/>
    <cellStyle name="20% - Ênfase5 9 2 2 2 3" xfId="710" xr:uid="{00000000-0005-0000-0000-0000C5020000}"/>
    <cellStyle name="20% - Ênfase5 9 2 2 3" xfId="711" xr:uid="{00000000-0005-0000-0000-0000C6020000}"/>
    <cellStyle name="20% - Ênfase5 9 2 2 4" xfId="712" xr:uid="{00000000-0005-0000-0000-0000C7020000}"/>
    <cellStyle name="20% - Ênfase5 9 2 3" xfId="713" xr:uid="{00000000-0005-0000-0000-0000C8020000}"/>
    <cellStyle name="20% - Ênfase5 9 2 3 2" xfId="714" xr:uid="{00000000-0005-0000-0000-0000C9020000}"/>
    <cellStyle name="20% - Ênfase5 9 2 3 3" xfId="715" xr:uid="{00000000-0005-0000-0000-0000CA020000}"/>
    <cellStyle name="20% - Ênfase5 9 2 4" xfId="716" xr:uid="{00000000-0005-0000-0000-0000CB020000}"/>
    <cellStyle name="20% - Ênfase5 9 2 5" xfId="717" xr:uid="{00000000-0005-0000-0000-0000CC020000}"/>
    <cellStyle name="20% - Ênfase5 9 2 6" xfId="718" xr:uid="{00000000-0005-0000-0000-0000CD020000}"/>
    <cellStyle name="20% - Ênfase5 9 3" xfId="719" xr:uid="{00000000-0005-0000-0000-0000CE020000}"/>
    <cellStyle name="20% - Ênfase5 9 3 2" xfId="720" xr:uid="{00000000-0005-0000-0000-0000CF020000}"/>
    <cellStyle name="20% - Ênfase5 9 3 2 2" xfId="721" xr:uid="{00000000-0005-0000-0000-0000D0020000}"/>
    <cellStyle name="20% - Ênfase5 9 3 2 3" xfId="722" xr:uid="{00000000-0005-0000-0000-0000D1020000}"/>
    <cellStyle name="20% - Ênfase5 9 3 3" xfId="723" xr:uid="{00000000-0005-0000-0000-0000D2020000}"/>
    <cellStyle name="20% - Ênfase5 9 3 4" xfId="724" xr:uid="{00000000-0005-0000-0000-0000D3020000}"/>
    <cellStyle name="20% - Ênfase5 9 4" xfId="725" xr:uid="{00000000-0005-0000-0000-0000D4020000}"/>
    <cellStyle name="20% - Ênfase5 9 4 2" xfId="726" xr:uid="{00000000-0005-0000-0000-0000D5020000}"/>
    <cellStyle name="20% - Ênfase5 9 4 3" xfId="727" xr:uid="{00000000-0005-0000-0000-0000D6020000}"/>
    <cellStyle name="20% - Ênfase5 9 5" xfId="728" xr:uid="{00000000-0005-0000-0000-0000D7020000}"/>
    <cellStyle name="20% - Ênfase5 9 6" xfId="729" xr:uid="{00000000-0005-0000-0000-0000D8020000}"/>
    <cellStyle name="20% - Ênfase5 9 7" xfId="730" xr:uid="{00000000-0005-0000-0000-0000D9020000}"/>
    <cellStyle name="20% - Ênfase6" xfId="731" builtinId="50" customBuiltin="1"/>
    <cellStyle name="20% - Ênfase6 10" xfId="732" xr:uid="{00000000-0005-0000-0000-0000DB020000}"/>
    <cellStyle name="20% - Ênfase6 10 2" xfId="733" xr:uid="{00000000-0005-0000-0000-0000DC020000}"/>
    <cellStyle name="20% - Ênfase6 10 3" xfId="734" xr:uid="{00000000-0005-0000-0000-0000DD020000}"/>
    <cellStyle name="20% - Ênfase6 11" xfId="735" xr:uid="{00000000-0005-0000-0000-0000DE020000}"/>
    <cellStyle name="20% - Ênfase6 11 2" xfId="736" xr:uid="{00000000-0005-0000-0000-0000DF020000}"/>
    <cellStyle name="20% - Ênfase6 11 3" xfId="737" xr:uid="{00000000-0005-0000-0000-0000E0020000}"/>
    <cellStyle name="20% - Ênfase6 12" xfId="738" xr:uid="{00000000-0005-0000-0000-0000E1020000}"/>
    <cellStyle name="20% - Ênfase6 13" xfId="739" xr:uid="{00000000-0005-0000-0000-0000E2020000}"/>
    <cellStyle name="20% - Ênfase6 14" xfId="740" xr:uid="{00000000-0005-0000-0000-0000E3020000}"/>
    <cellStyle name="20% - Ênfase6 15" xfId="741" xr:uid="{00000000-0005-0000-0000-0000E4020000}"/>
    <cellStyle name="20% - Ênfase6 16" xfId="742" xr:uid="{00000000-0005-0000-0000-0000E5020000}"/>
    <cellStyle name="20% - Ênfase6 17" xfId="743" xr:uid="{00000000-0005-0000-0000-0000E6020000}"/>
    <cellStyle name="20% - Ênfase6 2" xfId="744" xr:uid="{00000000-0005-0000-0000-0000E7020000}"/>
    <cellStyle name="20% - Ênfase6 2 2" xfId="745" xr:uid="{00000000-0005-0000-0000-0000E8020000}"/>
    <cellStyle name="20% - Ênfase6 2 2 2" xfId="746" xr:uid="{00000000-0005-0000-0000-0000E9020000}"/>
    <cellStyle name="20% - Ênfase6 2 2 2 2" xfId="747" xr:uid="{00000000-0005-0000-0000-0000EA020000}"/>
    <cellStyle name="20% - Ênfase6 2 2 2 2 2" xfId="748" xr:uid="{00000000-0005-0000-0000-0000EB020000}"/>
    <cellStyle name="20% - Ênfase6 2 2 2 3" xfId="749" xr:uid="{00000000-0005-0000-0000-0000EC020000}"/>
    <cellStyle name="20% - Ênfase6 2 2 2 3 2" xfId="750" xr:uid="{00000000-0005-0000-0000-0000ED020000}"/>
    <cellStyle name="20% - Ênfase6 2 2 2 4" xfId="751" xr:uid="{00000000-0005-0000-0000-0000EE020000}"/>
    <cellStyle name="20% - Ênfase6 2 2 3" xfId="752" xr:uid="{00000000-0005-0000-0000-0000EF020000}"/>
    <cellStyle name="20% - Ênfase6 2 2 3 2" xfId="753" xr:uid="{00000000-0005-0000-0000-0000F0020000}"/>
    <cellStyle name="20% - Ênfase6 2 2 4" xfId="754" xr:uid="{00000000-0005-0000-0000-0000F1020000}"/>
    <cellStyle name="20% - Ênfase6 2 2 4 2" xfId="755" xr:uid="{00000000-0005-0000-0000-0000F2020000}"/>
    <cellStyle name="20% - Ênfase6 2 2 5" xfId="756" xr:uid="{00000000-0005-0000-0000-0000F3020000}"/>
    <cellStyle name="20% - Ênfase6 2 3" xfId="757" xr:uid="{00000000-0005-0000-0000-0000F4020000}"/>
    <cellStyle name="20% - Ênfase6 2 3 2" xfId="758" xr:uid="{00000000-0005-0000-0000-0000F5020000}"/>
    <cellStyle name="20% - Ênfase6 2 3 2 2" xfId="759" xr:uid="{00000000-0005-0000-0000-0000F6020000}"/>
    <cellStyle name="20% - Ênfase6 2 3 3" xfId="760" xr:uid="{00000000-0005-0000-0000-0000F7020000}"/>
    <cellStyle name="20% - Ênfase6 2 3 3 2" xfId="761" xr:uid="{00000000-0005-0000-0000-0000F8020000}"/>
    <cellStyle name="20% - Ênfase6 2 3 4" xfId="762" xr:uid="{00000000-0005-0000-0000-0000F9020000}"/>
    <cellStyle name="20% - Ênfase6 2 4" xfId="763" xr:uid="{00000000-0005-0000-0000-0000FA020000}"/>
    <cellStyle name="20% - Ênfase6 2 4 2" xfId="764" xr:uid="{00000000-0005-0000-0000-0000FB020000}"/>
    <cellStyle name="20% - Ênfase6 2 5" xfId="765" xr:uid="{00000000-0005-0000-0000-0000FC020000}"/>
    <cellStyle name="20% - Ênfase6 2 5 2" xfId="766" xr:uid="{00000000-0005-0000-0000-0000FD020000}"/>
    <cellStyle name="20% - Ênfase6 2 6" xfId="767" xr:uid="{00000000-0005-0000-0000-0000FE020000}"/>
    <cellStyle name="20% - Ênfase6 2 7" xfId="768" xr:uid="{00000000-0005-0000-0000-0000FF020000}"/>
    <cellStyle name="20% - Ênfase6 2_BP_Consolidação" xfId="769" xr:uid="{00000000-0005-0000-0000-000000030000}"/>
    <cellStyle name="20% - Ênfase6 3" xfId="770" xr:uid="{00000000-0005-0000-0000-000001030000}"/>
    <cellStyle name="20% - Ênfase6 3 2" xfId="771" xr:uid="{00000000-0005-0000-0000-000002030000}"/>
    <cellStyle name="20% - Ênfase6 3 2 2" xfId="772" xr:uid="{00000000-0005-0000-0000-000003030000}"/>
    <cellStyle name="20% - Ênfase6 3 2 2 2" xfId="773" xr:uid="{00000000-0005-0000-0000-000004030000}"/>
    <cellStyle name="20% - Ênfase6 3 2 3" xfId="774" xr:uid="{00000000-0005-0000-0000-000005030000}"/>
    <cellStyle name="20% - Ênfase6 3 2 3 2" xfId="775" xr:uid="{00000000-0005-0000-0000-000006030000}"/>
    <cellStyle name="20% - Ênfase6 3 2 4" xfId="776" xr:uid="{00000000-0005-0000-0000-000007030000}"/>
    <cellStyle name="20% - Ênfase6 3 3" xfId="777" xr:uid="{00000000-0005-0000-0000-000008030000}"/>
    <cellStyle name="20% - Ênfase6 3 3 2" xfId="778" xr:uid="{00000000-0005-0000-0000-000009030000}"/>
    <cellStyle name="20% - Ênfase6 3 4" xfId="779" xr:uid="{00000000-0005-0000-0000-00000A030000}"/>
    <cellStyle name="20% - Ênfase6 3 4 2" xfId="780" xr:uid="{00000000-0005-0000-0000-00000B030000}"/>
    <cellStyle name="20% - Ênfase6 3 5" xfId="781" xr:uid="{00000000-0005-0000-0000-00000C030000}"/>
    <cellStyle name="20% - Ênfase6 3 6" xfId="782" xr:uid="{00000000-0005-0000-0000-00000D030000}"/>
    <cellStyle name="20% - Ênfase6 3_BP_Consolidação" xfId="783" xr:uid="{00000000-0005-0000-0000-00000E030000}"/>
    <cellStyle name="20% - Ênfase6 4" xfId="784" xr:uid="{00000000-0005-0000-0000-00000F030000}"/>
    <cellStyle name="20% - Ênfase6 4 2" xfId="785" xr:uid="{00000000-0005-0000-0000-000010030000}"/>
    <cellStyle name="20% - Ênfase6 4 2 2" xfId="786" xr:uid="{00000000-0005-0000-0000-000011030000}"/>
    <cellStyle name="20% - Ênfase6 4 2 2 2" xfId="787" xr:uid="{00000000-0005-0000-0000-000012030000}"/>
    <cellStyle name="20% - Ênfase6 4 2 3" xfId="788" xr:uid="{00000000-0005-0000-0000-000013030000}"/>
    <cellStyle name="20% - Ênfase6 4 2 3 2" xfId="789" xr:uid="{00000000-0005-0000-0000-000014030000}"/>
    <cellStyle name="20% - Ênfase6 4 2 4" xfId="790" xr:uid="{00000000-0005-0000-0000-000015030000}"/>
    <cellStyle name="20% - Ênfase6 4 3" xfId="791" xr:uid="{00000000-0005-0000-0000-000016030000}"/>
    <cellStyle name="20% - Ênfase6 4 3 2" xfId="792" xr:uid="{00000000-0005-0000-0000-000017030000}"/>
    <cellStyle name="20% - Ênfase6 4 4" xfId="793" xr:uid="{00000000-0005-0000-0000-000018030000}"/>
    <cellStyle name="20% - Ênfase6 4 5" xfId="794" xr:uid="{00000000-0005-0000-0000-000019030000}"/>
    <cellStyle name="20% - Ênfase6 4 6" xfId="795" xr:uid="{00000000-0005-0000-0000-00001A030000}"/>
    <cellStyle name="20% - Ênfase6 5" xfId="796" xr:uid="{00000000-0005-0000-0000-00001B030000}"/>
    <cellStyle name="20% - Ênfase6 5 2" xfId="797" xr:uid="{00000000-0005-0000-0000-00001C030000}"/>
    <cellStyle name="20% - Ênfase6 5 2 2" xfId="798" xr:uid="{00000000-0005-0000-0000-00001D030000}"/>
    <cellStyle name="20% - Ênfase6 5 2 3" xfId="799" xr:uid="{00000000-0005-0000-0000-00001E030000}"/>
    <cellStyle name="20% - Ênfase6 5 3" xfId="800" xr:uid="{00000000-0005-0000-0000-00001F030000}"/>
    <cellStyle name="20% - Ênfase6 5 3 2" xfId="801" xr:uid="{00000000-0005-0000-0000-000020030000}"/>
    <cellStyle name="20% - Ênfase6 5 4" xfId="802" xr:uid="{00000000-0005-0000-0000-000021030000}"/>
    <cellStyle name="20% - Ênfase6 5 5" xfId="803" xr:uid="{00000000-0005-0000-0000-000022030000}"/>
    <cellStyle name="20% - Ênfase6 6" xfId="804" xr:uid="{00000000-0005-0000-0000-000023030000}"/>
    <cellStyle name="20% - Ênfase6 7" xfId="805" xr:uid="{00000000-0005-0000-0000-000024030000}"/>
    <cellStyle name="20% - Ênfase6 7 2" xfId="806" xr:uid="{00000000-0005-0000-0000-000025030000}"/>
    <cellStyle name="20% - Ênfase6 7 2 2" xfId="807" xr:uid="{00000000-0005-0000-0000-000026030000}"/>
    <cellStyle name="20% - Ênfase6 7 2 2 2" xfId="808" xr:uid="{00000000-0005-0000-0000-000027030000}"/>
    <cellStyle name="20% - Ênfase6 7 2 2 2 2" xfId="809" xr:uid="{00000000-0005-0000-0000-000028030000}"/>
    <cellStyle name="20% - Ênfase6 7 2 2 2 3" xfId="810" xr:uid="{00000000-0005-0000-0000-000029030000}"/>
    <cellStyle name="20% - Ênfase6 7 2 2 3" xfId="811" xr:uid="{00000000-0005-0000-0000-00002A030000}"/>
    <cellStyle name="20% - Ênfase6 7 2 2 4" xfId="812" xr:uid="{00000000-0005-0000-0000-00002B030000}"/>
    <cellStyle name="20% - Ênfase6 7 2 3" xfId="813" xr:uid="{00000000-0005-0000-0000-00002C030000}"/>
    <cellStyle name="20% - Ênfase6 7 2 3 2" xfId="814" xr:uid="{00000000-0005-0000-0000-00002D030000}"/>
    <cellStyle name="20% - Ênfase6 7 2 3 3" xfId="815" xr:uid="{00000000-0005-0000-0000-00002E030000}"/>
    <cellStyle name="20% - Ênfase6 7 2 4" xfId="816" xr:uid="{00000000-0005-0000-0000-00002F030000}"/>
    <cellStyle name="20% - Ênfase6 7 2 5" xfId="817" xr:uid="{00000000-0005-0000-0000-000030030000}"/>
    <cellStyle name="20% - Ênfase6 7 2 6" xfId="818" xr:uid="{00000000-0005-0000-0000-000031030000}"/>
    <cellStyle name="20% - Ênfase6 7 3" xfId="819" xr:uid="{00000000-0005-0000-0000-000032030000}"/>
    <cellStyle name="20% - Ênfase6 7 3 2" xfId="820" xr:uid="{00000000-0005-0000-0000-000033030000}"/>
    <cellStyle name="20% - Ênfase6 7 3 2 2" xfId="821" xr:uid="{00000000-0005-0000-0000-000034030000}"/>
    <cellStyle name="20% - Ênfase6 7 3 2 2 2" xfId="822" xr:uid="{00000000-0005-0000-0000-000035030000}"/>
    <cellStyle name="20% - Ênfase6 7 3 2 2 3" xfId="823" xr:uid="{00000000-0005-0000-0000-000036030000}"/>
    <cellStyle name="20% - Ênfase6 7 3 2 3" xfId="824" xr:uid="{00000000-0005-0000-0000-000037030000}"/>
    <cellStyle name="20% - Ênfase6 7 3 2 4" xfId="825" xr:uid="{00000000-0005-0000-0000-000038030000}"/>
    <cellStyle name="20% - Ênfase6 7 3 3" xfId="826" xr:uid="{00000000-0005-0000-0000-000039030000}"/>
    <cellStyle name="20% - Ênfase6 7 3 3 2" xfId="827" xr:uid="{00000000-0005-0000-0000-00003A030000}"/>
    <cellStyle name="20% - Ênfase6 7 3 3 3" xfId="828" xr:uid="{00000000-0005-0000-0000-00003B030000}"/>
    <cellStyle name="20% - Ênfase6 7 3 4" xfId="829" xr:uid="{00000000-0005-0000-0000-00003C030000}"/>
    <cellStyle name="20% - Ênfase6 7 3 5" xfId="830" xr:uid="{00000000-0005-0000-0000-00003D030000}"/>
    <cellStyle name="20% - Ênfase6 7 4" xfId="831" xr:uid="{00000000-0005-0000-0000-00003E030000}"/>
    <cellStyle name="20% - Ênfase6 7 4 2" xfId="832" xr:uid="{00000000-0005-0000-0000-00003F030000}"/>
    <cellStyle name="20% - Ênfase6 7 4 2 2" xfId="833" xr:uid="{00000000-0005-0000-0000-000040030000}"/>
    <cellStyle name="20% - Ênfase6 7 4 2 3" xfId="834" xr:uid="{00000000-0005-0000-0000-000041030000}"/>
    <cellStyle name="20% - Ênfase6 7 4 3" xfId="835" xr:uid="{00000000-0005-0000-0000-000042030000}"/>
    <cellStyle name="20% - Ênfase6 7 4 4" xfId="836" xr:uid="{00000000-0005-0000-0000-000043030000}"/>
    <cellStyle name="20% - Ênfase6 7 5" xfId="837" xr:uid="{00000000-0005-0000-0000-000044030000}"/>
    <cellStyle name="20% - Ênfase6 7 5 2" xfId="838" xr:uid="{00000000-0005-0000-0000-000045030000}"/>
    <cellStyle name="20% - Ênfase6 7 5 3" xfId="839" xr:uid="{00000000-0005-0000-0000-000046030000}"/>
    <cellStyle name="20% - Ênfase6 7 6" xfId="840" xr:uid="{00000000-0005-0000-0000-000047030000}"/>
    <cellStyle name="20% - Ênfase6 7 7" xfId="841" xr:uid="{00000000-0005-0000-0000-000048030000}"/>
    <cellStyle name="20% - Ênfase6 7 8" xfId="842" xr:uid="{00000000-0005-0000-0000-000049030000}"/>
    <cellStyle name="20% - Ênfase6 8" xfId="843" xr:uid="{00000000-0005-0000-0000-00004A030000}"/>
    <cellStyle name="20% - Ênfase6 8 2" xfId="844" xr:uid="{00000000-0005-0000-0000-00004B030000}"/>
    <cellStyle name="20% - Ênfase6 8 2 2" xfId="845" xr:uid="{00000000-0005-0000-0000-00004C030000}"/>
    <cellStyle name="20% - Ênfase6 8 2 3" xfId="846" xr:uid="{00000000-0005-0000-0000-00004D030000}"/>
    <cellStyle name="20% - Ênfase6 8 3" xfId="847" xr:uid="{00000000-0005-0000-0000-00004E030000}"/>
    <cellStyle name="20% - Ênfase6 8 3 2" xfId="848" xr:uid="{00000000-0005-0000-0000-00004F030000}"/>
    <cellStyle name="20% - Ênfase6 8 4" xfId="849" xr:uid="{00000000-0005-0000-0000-000050030000}"/>
    <cellStyle name="20% - Ênfase6 8 5" xfId="850" xr:uid="{00000000-0005-0000-0000-000051030000}"/>
    <cellStyle name="20% - Ênfase6 9" xfId="851" xr:uid="{00000000-0005-0000-0000-000052030000}"/>
    <cellStyle name="20% - Ênfase6 9 2" xfId="852" xr:uid="{00000000-0005-0000-0000-000053030000}"/>
    <cellStyle name="20% - Ênfase6 9 2 2" xfId="853" xr:uid="{00000000-0005-0000-0000-000054030000}"/>
    <cellStyle name="20% - Ênfase6 9 2 2 2" xfId="854" xr:uid="{00000000-0005-0000-0000-000055030000}"/>
    <cellStyle name="20% - Ênfase6 9 2 2 2 2" xfId="855" xr:uid="{00000000-0005-0000-0000-000056030000}"/>
    <cellStyle name="20% - Ênfase6 9 2 2 2 3" xfId="856" xr:uid="{00000000-0005-0000-0000-000057030000}"/>
    <cellStyle name="20% - Ênfase6 9 2 2 3" xfId="857" xr:uid="{00000000-0005-0000-0000-000058030000}"/>
    <cellStyle name="20% - Ênfase6 9 2 2 4" xfId="858" xr:uid="{00000000-0005-0000-0000-000059030000}"/>
    <cellStyle name="20% - Ênfase6 9 2 3" xfId="859" xr:uid="{00000000-0005-0000-0000-00005A030000}"/>
    <cellStyle name="20% - Ênfase6 9 2 3 2" xfId="860" xr:uid="{00000000-0005-0000-0000-00005B030000}"/>
    <cellStyle name="20% - Ênfase6 9 2 3 3" xfId="861" xr:uid="{00000000-0005-0000-0000-00005C030000}"/>
    <cellStyle name="20% - Ênfase6 9 2 4" xfId="862" xr:uid="{00000000-0005-0000-0000-00005D030000}"/>
    <cellStyle name="20% - Ênfase6 9 2 5" xfId="863" xr:uid="{00000000-0005-0000-0000-00005E030000}"/>
    <cellStyle name="20% - Ênfase6 9 2 6" xfId="864" xr:uid="{00000000-0005-0000-0000-00005F030000}"/>
    <cellStyle name="20% - Ênfase6 9 3" xfId="865" xr:uid="{00000000-0005-0000-0000-000060030000}"/>
    <cellStyle name="20% - Ênfase6 9 3 2" xfId="866" xr:uid="{00000000-0005-0000-0000-000061030000}"/>
    <cellStyle name="20% - Ênfase6 9 3 2 2" xfId="867" xr:uid="{00000000-0005-0000-0000-000062030000}"/>
    <cellStyle name="20% - Ênfase6 9 3 2 3" xfId="868" xr:uid="{00000000-0005-0000-0000-000063030000}"/>
    <cellStyle name="20% - Ênfase6 9 3 3" xfId="869" xr:uid="{00000000-0005-0000-0000-000064030000}"/>
    <cellStyle name="20% - Ênfase6 9 3 4" xfId="870" xr:uid="{00000000-0005-0000-0000-000065030000}"/>
    <cellStyle name="20% - Ênfase6 9 4" xfId="871" xr:uid="{00000000-0005-0000-0000-000066030000}"/>
    <cellStyle name="20% - Ênfase6 9 4 2" xfId="872" xr:uid="{00000000-0005-0000-0000-000067030000}"/>
    <cellStyle name="20% - Ênfase6 9 4 3" xfId="873" xr:uid="{00000000-0005-0000-0000-000068030000}"/>
    <cellStyle name="20% - Ênfase6 9 5" xfId="874" xr:uid="{00000000-0005-0000-0000-000069030000}"/>
    <cellStyle name="20% - Ênfase6 9 6" xfId="875" xr:uid="{00000000-0005-0000-0000-00006A030000}"/>
    <cellStyle name="20% - Ênfase6 9 7" xfId="876" xr:uid="{00000000-0005-0000-0000-00006B030000}"/>
    <cellStyle name="40% - Ênfase1" xfId="877" builtinId="31" customBuiltin="1"/>
    <cellStyle name="40% - Ênfase1 10" xfId="878" xr:uid="{00000000-0005-0000-0000-00006D030000}"/>
    <cellStyle name="40% - Ênfase1 10 2" xfId="879" xr:uid="{00000000-0005-0000-0000-00006E030000}"/>
    <cellStyle name="40% - Ênfase1 10 3" xfId="880" xr:uid="{00000000-0005-0000-0000-00006F030000}"/>
    <cellStyle name="40% - Ênfase1 11" xfId="881" xr:uid="{00000000-0005-0000-0000-000070030000}"/>
    <cellStyle name="40% - Ênfase1 11 2" xfId="882" xr:uid="{00000000-0005-0000-0000-000071030000}"/>
    <cellStyle name="40% - Ênfase1 11 3" xfId="883" xr:uid="{00000000-0005-0000-0000-000072030000}"/>
    <cellStyle name="40% - Ênfase1 12" xfId="884" xr:uid="{00000000-0005-0000-0000-000073030000}"/>
    <cellStyle name="40% - Ênfase1 13" xfId="885" xr:uid="{00000000-0005-0000-0000-000074030000}"/>
    <cellStyle name="40% - Ênfase1 14" xfId="886" xr:uid="{00000000-0005-0000-0000-000075030000}"/>
    <cellStyle name="40% - Ênfase1 15" xfId="887" xr:uid="{00000000-0005-0000-0000-000076030000}"/>
    <cellStyle name="40% - Ênfase1 16" xfId="888" xr:uid="{00000000-0005-0000-0000-000077030000}"/>
    <cellStyle name="40% - Ênfase1 17" xfId="889" xr:uid="{00000000-0005-0000-0000-000078030000}"/>
    <cellStyle name="40% - Ênfase1 2" xfId="890" xr:uid="{00000000-0005-0000-0000-000079030000}"/>
    <cellStyle name="40% - Ênfase1 2 2" xfId="891" xr:uid="{00000000-0005-0000-0000-00007A030000}"/>
    <cellStyle name="40% - Ênfase1 2 2 2" xfId="892" xr:uid="{00000000-0005-0000-0000-00007B030000}"/>
    <cellStyle name="40% - Ênfase1 2 2 2 2" xfId="893" xr:uid="{00000000-0005-0000-0000-00007C030000}"/>
    <cellStyle name="40% - Ênfase1 2 2 2 2 2" xfId="894" xr:uid="{00000000-0005-0000-0000-00007D030000}"/>
    <cellStyle name="40% - Ênfase1 2 2 2 3" xfId="895" xr:uid="{00000000-0005-0000-0000-00007E030000}"/>
    <cellStyle name="40% - Ênfase1 2 2 2 3 2" xfId="896" xr:uid="{00000000-0005-0000-0000-00007F030000}"/>
    <cellStyle name="40% - Ênfase1 2 2 2 4" xfId="897" xr:uid="{00000000-0005-0000-0000-000080030000}"/>
    <cellStyle name="40% - Ênfase1 2 2 3" xfId="898" xr:uid="{00000000-0005-0000-0000-000081030000}"/>
    <cellStyle name="40% - Ênfase1 2 2 3 2" xfId="899" xr:uid="{00000000-0005-0000-0000-000082030000}"/>
    <cellStyle name="40% - Ênfase1 2 2 4" xfId="900" xr:uid="{00000000-0005-0000-0000-000083030000}"/>
    <cellStyle name="40% - Ênfase1 2 2 4 2" xfId="901" xr:uid="{00000000-0005-0000-0000-000084030000}"/>
    <cellStyle name="40% - Ênfase1 2 2 5" xfId="902" xr:uid="{00000000-0005-0000-0000-000085030000}"/>
    <cellStyle name="40% - Ênfase1 2 3" xfId="903" xr:uid="{00000000-0005-0000-0000-000086030000}"/>
    <cellStyle name="40% - Ênfase1 2 3 2" xfId="904" xr:uid="{00000000-0005-0000-0000-000087030000}"/>
    <cellStyle name="40% - Ênfase1 2 3 2 2" xfId="905" xr:uid="{00000000-0005-0000-0000-000088030000}"/>
    <cellStyle name="40% - Ênfase1 2 3 3" xfId="906" xr:uid="{00000000-0005-0000-0000-000089030000}"/>
    <cellStyle name="40% - Ênfase1 2 3 3 2" xfId="907" xr:uid="{00000000-0005-0000-0000-00008A030000}"/>
    <cellStyle name="40% - Ênfase1 2 3 4" xfId="908" xr:uid="{00000000-0005-0000-0000-00008B030000}"/>
    <cellStyle name="40% - Ênfase1 2 4" xfId="909" xr:uid="{00000000-0005-0000-0000-00008C030000}"/>
    <cellStyle name="40% - Ênfase1 2 4 2" xfId="910" xr:uid="{00000000-0005-0000-0000-00008D030000}"/>
    <cellStyle name="40% - Ênfase1 2 5" xfId="911" xr:uid="{00000000-0005-0000-0000-00008E030000}"/>
    <cellStyle name="40% - Ênfase1 2 5 2" xfId="912" xr:uid="{00000000-0005-0000-0000-00008F030000}"/>
    <cellStyle name="40% - Ênfase1 2 6" xfId="913" xr:uid="{00000000-0005-0000-0000-000090030000}"/>
    <cellStyle name="40% - Ênfase1 2 7" xfId="914" xr:uid="{00000000-0005-0000-0000-000091030000}"/>
    <cellStyle name="40% - Ênfase1 2_BP_Consolidação" xfId="915" xr:uid="{00000000-0005-0000-0000-000092030000}"/>
    <cellStyle name="40% - Ênfase1 3" xfId="916" xr:uid="{00000000-0005-0000-0000-000093030000}"/>
    <cellStyle name="40% - Ênfase1 3 2" xfId="917" xr:uid="{00000000-0005-0000-0000-000094030000}"/>
    <cellStyle name="40% - Ênfase1 3 2 2" xfId="918" xr:uid="{00000000-0005-0000-0000-000095030000}"/>
    <cellStyle name="40% - Ênfase1 3 2 2 2" xfId="919" xr:uid="{00000000-0005-0000-0000-000096030000}"/>
    <cellStyle name="40% - Ênfase1 3 2 3" xfId="920" xr:uid="{00000000-0005-0000-0000-000097030000}"/>
    <cellStyle name="40% - Ênfase1 3 2 3 2" xfId="921" xr:uid="{00000000-0005-0000-0000-000098030000}"/>
    <cellStyle name="40% - Ênfase1 3 2 4" xfId="922" xr:uid="{00000000-0005-0000-0000-000099030000}"/>
    <cellStyle name="40% - Ênfase1 3 3" xfId="923" xr:uid="{00000000-0005-0000-0000-00009A030000}"/>
    <cellStyle name="40% - Ênfase1 3 3 2" xfId="924" xr:uid="{00000000-0005-0000-0000-00009B030000}"/>
    <cellStyle name="40% - Ênfase1 3 4" xfId="925" xr:uid="{00000000-0005-0000-0000-00009C030000}"/>
    <cellStyle name="40% - Ênfase1 3 4 2" xfId="926" xr:uid="{00000000-0005-0000-0000-00009D030000}"/>
    <cellStyle name="40% - Ênfase1 3 5" xfId="927" xr:uid="{00000000-0005-0000-0000-00009E030000}"/>
    <cellStyle name="40% - Ênfase1 3 6" xfId="928" xr:uid="{00000000-0005-0000-0000-00009F030000}"/>
    <cellStyle name="40% - Ênfase1 3_BP_Consolidação" xfId="929" xr:uid="{00000000-0005-0000-0000-0000A0030000}"/>
    <cellStyle name="40% - Ênfase1 4" xfId="930" xr:uid="{00000000-0005-0000-0000-0000A1030000}"/>
    <cellStyle name="40% - Ênfase1 4 2" xfId="931" xr:uid="{00000000-0005-0000-0000-0000A2030000}"/>
    <cellStyle name="40% - Ênfase1 4 2 2" xfId="932" xr:uid="{00000000-0005-0000-0000-0000A3030000}"/>
    <cellStyle name="40% - Ênfase1 4 2 2 2" xfId="933" xr:uid="{00000000-0005-0000-0000-0000A4030000}"/>
    <cellStyle name="40% - Ênfase1 4 2 3" xfId="934" xr:uid="{00000000-0005-0000-0000-0000A5030000}"/>
    <cellStyle name="40% - Ênfase1 4 2 3 2" xfId="935" xr:uid="{00000000-0005-0000-0000-0000A6030000}"/>
    <cellStyle name="40% - Ênfase1 4 2 4" xfId="936" xr:uid="{00000000-0005-0000-0000-0000A7030000}"/>
    <cellStyle name="40% - Ênfase1 4 3" xfId="937" xr:uid="{00000000-0005-0000-0000-0000A8030000}"/>
    <cellStyle name="40% - Ênfase1 4 3 2" xfId="938" xr:uid="{00000000-0005-0000-0000-0000A9030000}"/>
    <cellStyle name="40% - Ênfase1 4 4" xfId="939" xr:uid="{00000000-0005-0000-0000-0000AA030000}"/>
    <cellStyle name="40% - Ênfase1 4 5" xfId="940" xr:uid="{00000000-0005-0000-0000-0000AB030000}"/>
    <cellStyle name="40% - Ênfase1 4 6" xfId="941" xr:uid="{00000000-0005-0000-0000-0000AC030000}"/>
    <cellStyle name="40% - Ênfase1 5" xfId="942" xr:uid="{00000000-0005-0000-0000-0000AD030000}"/>
    <cellStyle name="40% - Ênfase1 5 2" xfId="943" xr:uid="{00000000-0005-0000-0000-0000AE030000}"/>
    <cellStyle name="40% - Ênfase1 5 2 2" xfId="944" xr:uid="{00000000-0005-0000-0000-0000AF030000}"/>
    <cellStyle name="40% - Ênfase1 5 2 3" xfId="945" xr:uid="{00000000-0005-0000-0000-0000B0030000}"/>
    <cellStyle name="40% - Ênfase1 5 3" xfId="946" xr:uid="{00000000-0005-0000-0000-0000B1030000}"/>
    <cellStyle name="40% - Ênfase1 5 3 2" xfId="947" xr:uid="{00000000-0005-0000-0000-0000B2030000}"/>
    <cellStyle name="40% - Ênfase1 5 4" xfId="948" xr:uid="{00000000-0005-0000-0000-0000B3030000}"/>
    <cellStyle name="40% - Ênfase1 5 5" xfId="949" xr:uid="{00000000-0005-0000-0000-0000B4030000}"/>
    <cellStyle name="40% - Ênfase1 6" xfId="950" xr:uid="{00000000-0005-0000-0000-0000B5030000}"/>
    <cellStyle name="40% - Ênfase1 7" xfId="951" xr:uid="{00000000-0005-0000-0000-0000B6030000}"/>
    <cellStyle name="40% - Ênfase1 7 2" xfId="952" xr:uid="{00000000-0005-0000-0000-0000B7030000}"/>
    <cellStyle name="40% - Ênfase1 7 2 2" xfId="953" xr:uid="{00000000-0005-0000-0000-0000B8030000}"/>
    <cellStyle name="40% - Ênfase1 7 2 2 2" xfId="954" xr:uid="{00000000-0005-0000-0000-0000B9030000}"/>
    <cellStyle name="40% - Ênfase1 7 2 2 2 2" xfId="955" xr:uid="{00000000-0005-0000-0000-0000BA030000}"/>
    <cellStyle name="40% - Ênfase1 7 2 2 2 3" xfId="956" xr:uid="{00000000-0005-0000-0000-0000BB030000}"/>
    <cellStyle name="40% - Ênfase1 7 2 2 3" xfId="957" xr:uid="{00000000-0005-0000-0000-0000BC030000}"/>
    <cellStyle name="40% - Ênfase1 7 2 2 4" xfId="958" xr:uid="{00000000-0005-0000-0000-0000BD030000}"/>
    <cellStyle name="40% - Ênfase1 7 2 3" xfId="959" xr:uid="{00000000-0005-0000-0000-0000BE030000}"/>
    <cellStyle name="40% - Ênfase1 7 2 3 2" xfId="960" xr:uid="{00000000-0005-0000-0000-0000BF030000}"/>
    <cellStyle name="40% - Ênfase1 7 2 3 3" xfId="961" xr:uid="{00000000-0005-0000-0000-0000C0030000}"/>
    <cellStyle name="40% - Ênfase1 7 2 4" xfId="962" xr:uid="{00000000-0005-0000-0000-0000C1030000}"/>
    <cellStyle name="40% - Ênfase1 7 2 5" xfId="963" xr:uid="{00000000-0005-0000-0000-0000C2030000}"/>
    <cellStyle name="40% - Ênfase1 7 2 6" xfId="964" xr:uid="{00000000-0005-0000-0000-0000C3030000}"/>
    <cellStyle name="40% - Ênfase1 7 3" xfId="965" xr:uid="{00000000-0005-0000-0000-0000C4030000}"/>
    <cellStyle name="40% - Ênfase1 7 3 2" xfId="966" xr:uid="{00000000-0005-0000-0000-0000C5030000}"/>
    <cellStyle name="40% - Ênfase1 7 3 2 2" xfId="967" xr:uid="{00000000-0005-0000-0000-0000C6030000}"/>
    <cellStyle name="40% - Ênfase1 7 3 2 2 2" xfId="968" xr:uid="{00000000-0005-0000-0000-0000C7030000}"/>
    <cellStyle name="40% - Ênfase1 7 3 2 2 3" xfId="969" xr:uid="{00000000-0005-0000-0000-0000C8030000}"/>
    <cellStyle name="40% - Ênfase1 7 3 2 3" xfId="970" xr:uid="{00000000-0005-0000-0000-0000C9030000}"/>
    <cellStyle name="40% - Ênfase1 7 3 2 4" xfId="971" xr:uid="{00000000-0005-0000-0000-0000CA030000}"/>
    <cellStyle name="40% - Ênfase1 7 3 3" xfId="972" xr:uid="{00000000-0005-0000-0000-0000CB030000}"/>
    <cellStyle name="40% - Ênfase1 7 3 3 2" xfId="973" xr:uid="{00000000-0005-0000-0000-0000CC030000}"/>
    <cellStyle name="40% - Ênfase1 7 3 3 3" xfId="974" xr:uid="{00000000-0005-0000-0000-0000CD030000}"/>
    <cellStyle name="40% - Ênfase1 7 3 4" xfId="975" xr:uid="{00000000-0005-0000-0000-0000CE030000}"/>
    <cellStyle name="40% - Ênfase1 7 3 5" xfId="976" xr:uid="{00000000-0005-0000-0000-0000CF030000}"/>
    <cellStyle name="40% - Ênfase1 7 4" xfId="977" xr:uid="{00000000-0005-0000-0000-0000D0030000}"/>
    <cellStyle name="40% - Ênfase1 7 4 2" xfId="978" xr:uid="{00000000-0005-0000-0000-0000D1030000}"/>
    <cellStyle name="40% - Ênfase1 7 4 2 2" xfId="979" xr:uid="{00000000-0005-0000-0000-0000D2030000}"/>
    <cellStyle name="40% - Ênfase1 7 4 2 3" xfId="980" xr:uid="{00000000-0005-0000-0000-0000D3030000}"/>
    <cellStyle name="40% - Ênfase1 7 4 3" xfId="981" xr:uid="{00000000-0005-0000-0000-0000D4030000}"/>
    <cellStyle name="40% - Ênfase1 7 4 4" xfId="982" xr:uid="{00000000-0005-0000-0000-0000D5030000}"/>
    <cellStyle name="40% - Ênfase1 7 5" xfId="983" xr:uid="{00000000-0005-0000-0000-0000D6030000}"/>
    <cellStyle name="40% - Ênfase1 7 5 2" xfId="984" xr:uid="{00000000-0005-0000-0000-0000D7030000}"/>
    <cellStyle name="40% - Ênfase1 7 5 3" xfId="985" xr:uid="{00000000-0005-0000-0000-0000D8030000}"/>
    <cellStyle name="40% - Ênfase1 7 6" xfId="986" xr:uid="{00000000-0005-0000-0000-0000D9030000}"/>
    <cellStyle name="40% - Ênfase1 7 7" xfId="987" xr:uid="{00000000-0005-0000-0000-0000DA030000}"/>
    <cellStyle name="40% - Ênfase1 7 8" xfId="988" xr:uid="{00000000-0005-0000-0000-0000DB030000}"/>
    <cellStyle name="40% - Ênfase1 8" xfId="989" xr:uid="{00000000-0005-0000-0000-0000DC030000}"/>
    <cellStyle name="40% - Ênfase1 8 2" xfId="990" xr:uid="{00000000-0005-0000-0000-0000DD030000}"/>
    <cellStyle name="40% - Ênfase1 8 2 2" xfId="991" xr:uid="{00000000-0005-0000-0000-0000DE030000}"/>
    <cellStyle name="40% - Ênfase1 8 2 3" xfId="992" xr:uid="{00000000-0005-0000-0000-0000DF030000}"/>
    <cellStyle name="40% - Ênfase1 8 3" xfId="993" xr:uid="{00000000-0005-0000-0000-0000E0030000}"/>
    <cellStyle name="40% - Ênfase1 8 3 2" xfId="994" xr:uid="{00000000-0005-0000-0000-0000E1030000}"/>
    <cellStyle name="40% - Ênfase1 8 4" xfId="995" xr:uid="{00000000-0005-0000-0000-0000E2030000}"/>
    <cellStyle name="40% - Ênfase1 8 5" xfId="996" xr:uid="{00000000-0005-0000-0000-0000E3030000}"/>
    <cellStyle name="40% - Ênfase1 9" xfId="997" xr:uid="{00000000-0005-0000-0000-0000E4030000}"/>
    <cellStyle name="40% - Ênfase1 9 2" xfId="998" xr:uid="{00000000-0005-0000-0000-0000E5030000}"/>
    <cellStyle name="40% - Ênfase1 9 2 2" xfId="999" xr:uid="{00000000-0005-0000-0000-0000E6030000}"/>
    <cellStyle name="40% - Ênfase1 9 2 2 2" xfId="1000" xr:uid="{00000000-0005-0000-0000-0000E7030000}"/>
    <cellStyle name="40% - Ênfase1 9 2 2 2 2" xfId="1001" xr:uid="{00000000-0005-0000-0000-0000E8030000}"/>
    <cellStyle name="40% - Ênfase1 9 2 2 2 3" xfId="1002" xr:uid="{00000000-0005-0000-0000-0000E9030000}"/>
    <cellStyle name="40% - Ênfase1 9 2 2 3" xfId="1003" xr:uid="{00000000-0005-0000-0000-0000EA030000}"/>
    <cellStyle name="40% - Ênfase1 9 2 2 4" xfId="1004" xr:uid="{00000000-0005-0000-0000-0000EB030000}"/>
    <cellStyle name="40% - Ênfase1 9 2 3" xfId="1005" xr:uid="{00000000-0005-0000-0000-0000EC030000}"/>
    <cellStyle name="40% - Ênfase1 9 2 3 2" xfId="1006" xr:uid="{00000000-0005-0000-0000-0000ED030000}"/>
    <cellStyle name="40% - Ênfase1 9 2 3 3" xfId="1007" xr:uid="{00000000-0005-0000-0000-0000EE030000}"/>
    <cellStyle name="40% - Ênfase1 9 2 4" xfId="1008" xr:uid="{00000000-0005-0000-0000-0000EF030000}"/>
    <cellStyle name="40% - Ênfase1 9 2 5" xfId="1009" xr:uid="{00000000-0005-0000-0000-0000F0030000}"/>
    <cellStyle name="40% - Ênfase1 9 2 6" xfId="1010" xr:uid="{00000000-0005-0000-0000-0000F1030000}"/>
    <cellStyle name="40% - Ênfase1 9 3" xfId="1011" xr:uid="{00000000-0005-0000-0000-0000F2030000}"/>
    <cellStyle name="40% - Ênfase1 9 3 2" xfId="1012" xr:uid="{00000000-0005-0000-0000-0000F3030000}"/>
    <cellStyle name="40% - Ênfase1 9 3 2 2" xfId="1013" xr:uid="{00000000-0005-0000-0000-0000F4030000}"/>
    <cellStyle name="40% - Ênfase1 9 3 2 3" xfId="1014" xr:uid="{00000000-0005-0000-0000-0000F5030000}"/>
    <cellStyle name="40% - Ênfase1 9 3 3" xfId="1015" xr:uid="{00000000-0005-0000-0000-0000F6030000}"/>
    <cellStyle name="40% - Ênfase1 9 3 4" xfId="1016" xr:uid="{00000000-0005-0000-0000-0000F7030000}"/>
    <cellStyle name="40% - Ênfase1 9 4" xfId="1017" xr:uid="{00000000-0005-0000-0000-0000F8030000}"/>
    <cellStyle name="40% - Ênfase1 9 4 2" xfId="1018" xr:uid="{00000000-0005-0000-0000-0000F9030000}"/>
    <cellStyle name="40% - Ênfase1 9 4 3" xfId="1019" xr:uid="{00000000-0005-0000-0000-0000FA030000}"/>
    <cellStyle name="40% - Ênfase1 9 5" xfId="1020" xr:uid="{00000000-0005-0000-0000-0000FB030000}"/>
    <cellStyle name="40% - Ênfase1 9 6" xfId="1021" xr:uid="{00000000-0005-0000-0000-0000FC030000}"/>
    <cellStyle name="40% - Ênfase1 9 7" xfId="1022" xr:uid="{00000000-0005-0000-0000-0000FD030000}"/>
    <cellStyle name="40% - Ênfase2" xfId="1023" builtinId="35" customBuiltin="1"/>
    <cellStyle name="40% - Ênfase2 10" xfId="1024" xr:uid="{00000000-0005-0000-0000-0000FF030000}"/>
    <cellStyle name="40% - Ênfase2 10 2" xfId="1025" xr:uid="{00000000-0005-0000-0000-000000040000}"/>
    <cellStyle name="40% - Ênfase2 10 3" xfId="1026" xr:uid="{00000000-0005-0000-0000-000001040000}"/>
    <cellStyle name="40% - Ênfase2 11" xfId="1027" xr:uid="{00000000-0005-0000-0000-000002040000}"/>
    <cellStyle name="40% - Ênfase2 11 2" xfId="1028" xr:uid="{00000000-0005-0000-0000-000003040000}"/>
    <cellStyle name="40% - Ênfase2 11 3" xfId="1029" xr:uid="{00000000-0005-0000-0000-000004040000}"/>
    <cellStyle name="40% - Ênfase2 12" xfId="1030" xr:uid="{00000000-0005-0000-0000-000005040000}"/>
    <cellStyle name="40% - Ênfase2 13" xfId="1031" xr:uid="{00000000-0005-0000-0000-000006040000}"/>
    <cellStyle name="40% - Ênfase2 14" xfId="1032" xr:uid="{00000000-0005-0000-0000-000007040000}"/>
    <cellStyle name="40% - Ênfase2 15" xfId="1033" xr:uid="{00000000-0005-0000-0000-000008040000}"/>
    <cellStyle name="40% - Ênfase2 16" xfId="1034" xr:uid="{00000000-0005-0000-0000-000009040000}"/>
    <cellStyle name="40% - Ênfase2 17" xfId="1035" xr:uid="{00000000-0005-0000-0000-00000A040000}"/>
    <cellStyle name="40% - Ênfase2 2" xfId="1036" xr:uid="{00000000-0005-0000-0000-00000B040000}"/>
    <cellStyle name="40% - Ênfase2 2 2" xfId="1037" xr:uid="{00000000-0005-0000-0000-00000C040000}"/>
    <cellStyle name="40% - Ênfase2 2 2 2" xfId="1038" xr:uid="{00000000-0005-0000-0000-00000D040000}"/>
    <cellStyle name="40% - Ênfase2 2 2 2 2" xfId="1039" xr:uid="{00000000-0005-0000-0000-00000E040000}"/>
    <cellStyle name="40% - Ênfase2 2 2 2 2 2" xfId="1040" xr:uid="{00000000-0005-0000-0000-00000F040000}"/>
    <cellStyle name="40% - Ênfase2 2 2 2 3" xfId="1041" xr:uid="{00000000-0005-0000-0000-000010040000}"/>
    <cellStyle name="40% - Ênfase2 2 2 2 3 2" xfId="1042" xr:uid="{00000000-0005-0000-0000-000011040000}"/>
    <cellStyle name="40% - Ênfase2 2 2 2 4" xfId="1043" xr:uid="{00000000-0005-0000-0000-000012040000}"/>
    <cellStyle name="40% - Ênfase2 2 2 3" xfId="1044" xr:uid="{00000000-0005-0000-0000-000013040000}"/>
    <cellStyle name="40% - Ênfase2 2 2 3 2" xfId="1045" xr:uid="{00000000-0005-0000-0000-000014040000}"/>
    <cellStyle name="40% - Ênfase2 2 2 4" xfId="1046" xr:uid="{00000000-0005-0000-0000-000015040000}"/>
    <cellStyle name="40% - Ênfase2 2 2 4 2" xfId="1047" xr:uid="{00000000-0005-0000-0000-000016040000}"/>
    <cellStyle name="40% - Ênfase2 2 2 5" xfId="1048" xr:uid="{00000000-0005-0000-0000-000017040000}"/>
    <cellStyle name="40% - Ênfase2 2 3" xfId="1049" xr:uid="{00000000-0005-0000-0000-000018040000}"/>
    <cellStyle name="40% - Ênfase2 2 3 2" xfId="1050" xr:uid="{00000000-0005-0000-0000-000019040000}"/>
    <cellStyle name="40% - Ênfase2 2 3 2 2" xfId="1051" xr:uid="{00000000-0005-0000-0000-00001A040000}"/>
    <cellStyle name="40% - Ênfase2 2 3 3" xfId="1052" xr:uid="{00000000-0005-0000-0000-00001B040000}"/>
    <cellStyle name="40% - Ênfase2 2 3 3 2" xfId="1053" xr:uid="{00000000-0005-0000-0000-00001C040000}"/>
    <cellStyle name="40% - Ênfase2 2 3 4" xfId="1054" xr:uid="{00000000-0005-0000-0000-00001D040000}"/>
    <cellStyle name="40% - Ênfase2 2 4" xfId="1055" xr:uid="{00000000-0005-0000-0000-00001E040000}"/>
    <cellStyle name="40% - Ênfase2 2 4 2" xfId="1056" xr:uid="{00000000-0005-0000-0000-00001F040000}"/>
    <cellStyle name="40% - Ênfase2 2 5" xfId="1057" xr:uid="{00000000-0005-0000-0000-000020040000}"/>
    <cellStyle name="40% - Ênfase2 2 5 2" xfId="1058" xr:uid="{00000000-0005-0000-0000-000021040000}"/>
    <cellStyle name="40% - Ênfase2 2 6" xfId="1059" xr:uid="{00000000-0005-0000-0000-000022040000}"/>
    <cellStyle name="40% - Ênfase2 2 7" xfId="1060" xr:uid="{00000000-0005-0000-0000-000023040000}"/>
    <cellStyle name="40% - Ênfase2 2_BP_Consolidação" xfId="1061" xr:uid="{00000000-0005-0000-0000-000024040000}"/>
    <cellStyle name="40% - Ênfase2 3" xfId="1062" xr:uid="{00000000-0005-0000-0000-000025040000}"/>
    <cellStyle name="40% - Ênfase2 3 2" xfId="1063" xr:uid="{00000000-0005-0000-0000-000026040000}"/>
    <cellStyle name="40% - Ênfase2 3 2 2" xfId="1064" xr:uid="{00000000-0005-0000-0000-000027040000}"/>
    <cellStyle name="40% - Ênfase2 3 2 2 2" xfId="1065" xr:uid="{00000000-0005-0000-0000-000028040000}"/>
    <cellStyle name="40% - Ênfase2 3 2 3" xfId="1066" xr:uid="{00000000-0005-0000-0000-000029040000}"/>
    <cellStyle name="40% - Ênfase2 3 2 3 2" xfId="1067" xr:uid="{00000000-0005-0000-0000-00002A040000}"/>
    <cellStyle name="40% - Ênfase2 3 2 4" xfId="1068" xr:uid="{00000000-0005-0000-0000-00002B040000}"/>
    <cellStyle name="40% - Ênfase2 3 3" xfId="1069" xr:uid="{00000000-0005-0000-0000-00002C040000}"/>
    <cellStyle name="40% - Ênfase2 3 3 2" xfId="1070" xr:uid="{00000000-0005-0000-0000-00002D040000}"/>
    <cellStyle name="40% - Ênfase2 3 4" xfId="1071" xr:uid="{00000000-0005-0000-0000-00002E040000}"/>
    <cellStyle name="40% - Ênfase2 3 4 2" xfId="1072" xr:uid="{00000000-0005-0000-0000-00002F040000}"/>
    <cellStyle name="40% - Ênfase2 3 5" xfId="1073" xr:uid="{00000000-0005-0000-0000-000030040000}"/>
    <cellStyle name="40% - Ênfase2 3 6" xfId="1074" xr:uid="{00000000-0005-0000-0000-000031040000}"/>
    <cellStyle name="40% - Ênfase2 3_BP_Consolidação" xfId="1075" xr:uid="{00000000-0005-0000-0000-000032040000}"/>
    <cellStyle name="40% - Ênfase2 4" xfId="1076" xr:uid="{00000000-0005-0000-0000-000033040000}"/>
    <cellStyle name="40% - Ênfase2 4 2" xfId="1077" xr:uid="{00000000-0005-0000-0000-000034040000}"/>
    <cellStyle name="40% - Ênfase2 4 2 2" xfId="1078" xr:uid="{00000000-0005-0000-0000-000035040000}"/>
    <cellStyle name="40% - Ênfase2 4 2 2 2" xfId="1079" xr:uid="{00000000-0005-0000-0000-000036040000}"/>
    <cellStyle name="40% - Ênfase2 4 2 3" xfId="1080" xr:uid="{00000000-0005-0000-0000-000037040000}"/>
    <cellStyle name="40% - Ênfase2 4 2 3 2" xfId="1081" xr:uid="{00000000-0005-0000-0000-000038040000}"/>
    <cellStyle name="40% - Ênfase2 4 2 4" xfId="1082" xr:uid="{00000000-0005-0000-0000-000039040000}"/>
    <cellStyle name="40% - Ênfase2 4 3" xfId="1083" xr:uid="{00000000-0005-0000-0000-00003A040000}"/>
    <cellStyle name="40% - Ênfase2 4 3 2" xfId="1084" xr:uid="{00000000-0005-0000-0000-00003B040000}"/>
    <cellStyle name="40% - Ênfase2 4 4" xfId="1085" xr:uid="{00000000-0005-0000-0000-00003C040000}"/>
    <cellStyle name="40% - Ênfase2 4 5" xfId="1086" xr:uid="{00000000-0005-0000-0000-00003D040000}"/>
    <cellStyle name="40% - Ênfase2 4 6" xfId="1087" xr:uid="{00000000-0005-0000-0000-00003E040000}"/>
    <cellStyle name="40% - Ênfase2 5" xfId="1088" xr:uid="{00000000-0005-0000-0000-00003F040000}"/>
    <cellStyle name="40% - Ênfase2 5 2" xfId="1089" xr:uid="{00000000-0005-0000-0000-000040040000}"/>
    <cellStyle name="40% - Ênfase2 5 2 2" xfId="1090" xr:uid="{00000000-0005-0000-0000-000041040000}"/>
    <cellStyle name="40% - Ênfase2 5 2 3" xfId="1091" xr:uid="{00000000-0005-0000-0000-000042040000}"/>
    <cellStyle name="40% - Ênfase2 5 3" xfId="1092" xr:uid="{00000000-0005-0000-0000-000043040000}"/>
    <cellStyle name="40% - Ênfase2 5 3 2" xfId="1093" xr:uid="{00000000-0005-0000-0000-000044040000}"/>
    <cellStyle name="40% - Ênfase2 5 4" xfId="1094" xr:uid="{00000000-0005-0000-0000-000045040000}"/>
    <cellStyle name="40% - Ênfase2 5 5" xfId="1095" xr:uid="{00000000-0005-0000-0000-000046040000}"/>
    <cellStyle name="40% - Ênfase2 6" xfId="1096" xr:uid="{00000000-0005-0000-0000-000047040000}"/>
    <cellStyle name="40% - Ênfase2 7" xfId="1097" xr:uid="{00000000-0005-0000-0000-000048040000}"/>
    <cellStyle name="40% - Ênfase2 7 2" xfId="1098" xr:uid="{00000000-0005-0000-0000-000049040000}"/>
    <cellStyle name="40% - Ênfase2 7 2 2" xfId="1099" xr:uid="{00000000-0005-0000-0000-00004A040000}"/>
    <cellStyle name="40% - Ênfase2 7 2 2 2" xfId="1100" xr:uid="{00000000-0005-0000-0000-00004B040000}"/>
    <cellStyle name="40% - Ênfase2 7 2 2 2 2" xfId="1101" xr:uid="{00000000-0005-0000-0000-00004C040000}"/>
    <cellStyle name="40% - Ênfase2 7 2 2 2 3" xfId="1102" xr:uid="{00000000-0005-0000-0000-00004D040000}"/>
    <cellStyle name="40% - Ênfase2 7 2 2 3" xfId="1103" xr:uid="{00000000-0005-0000-0000-00004E040000}"/>
    <cellStyle name="40% - Ênfase2 7 2 2 4" xfId="1104" xr:uid="{00000000-0005-0000-0000-00004F040000}"/>
    <cellStyle name="40% - Ênfase2 7 2 3" xfId="1105" xr:uid="{00000000-0005-0000-0000-000050040000}"/>
    <cellStyle name="40% - Ênfase2 7 2 3 2" xfId="1106" xr:uid="{00000000-0005-0000-0000-000051040000}"/>
    <cellStyle name="40% - Ênfase2 7 2 3 3" xfId="1107" xr:uid="{00000000-0005-0000-0000-000052040000}"/>
    <cellStyle name="40% - Ênfase2 7 2 4" xfId="1108" xr:uid="{00000000-0005-0000-0000-000053040000}"/>
    <cellStyle name="40% - Ênfase2 7 2 5" xfId="1109" xr:uid="{00000000-0005-0000-0000-000054040000}"/>
    <cellStyle name="40% - Ênfase2 7 2 6" xfId="1110" xr:uid="{00000000-0005-0000-0000-000055040000}"/>
    <cellStyle name="40% - Ênfase2 7 3" xfId="1111" xr:uid="{00000000-0005-0000-0000-000056040000}"/>
    <cellStyle name="40% - Ênfase2 7 3 2" xfId="1112" xr:uid="{00000000-0005-0000-0000-000057040000}"/>
    <cellStyle name="40% - Ênfase2 7 3 2 2" xfId="1113" xr:uid="{00000000-0005-0000-0000-000058040000}"/>
    <cellStyle name="40% - Ênfase2 7 3 2 2 2" xfId="1114" xr:uid="{00000000-0005-0000-0000-000059040000}"/>
    <cellStyle name="40% - Ênfase2 7 3 2 2 3" xfId="1115" xr:uid="{00000000-0005-0000-0000-00005A040000}"/>
    <cellStyle name="40% - Ênfase2 7 3 2 3" xfId="1116" xr:uid="{00000000-0005-0000-0000-00005B040000}"/>
    <cellStyle name="40% - Ênfase2 7 3 2 4" xfId="1117" xr:uid="{00000000-0005-0000-0000-00005C040000}"/>
    <cellStyle name="40% - Ênfase2 7 3 3" xfId="1118" xr:uid="{00000000-0005-0000-0000-00005D040000}"/>
    <cellStyle name="40% - Ênfase2 7 3 3 2" xfId="1119" xr:uid="{00000000-0005-0000-0000-00005E040000}"/>
    <cellStyle name="40% - Ênfase2 7 3 3 3" xfId="1120" xr:uid="{00000000-0005-0000-0000-00005F040000}"/>
    <cellStyle name="40% - Ênfase2 7 3 4" xfId="1121" xr:uid="{00000000-0005-0000-0000-000060040000}"/>
    <cellStyle name="40% - Ênfase2 7 3 5" xfId="1122" xr:uid="{00000000-0005-0000-0000-000061040000}"/>
    <cellStyle name="40% - Ênfase2 7 4" xfId="1123" xr:uid="{00000000-0005-0000-0000-000062040000}"/>
    <cellStyle name="40% - Ênfase2 7 4 2" xfId="1124" xr:uid="{00000000-0005-0000-0000-000063040000}"/>
    <cellStyle name="40% - Ênfase2 7 4 2 2" xfId="1125" xr:uid="{00000000-0005-0000-0000-000064040000}"/>
    <cellStyle name="40% - Ênfase2 7 4 2 3" xfId="1126" xr:uid="{00000000-0005-0000-0000-000065040000}"/>
    <cellStyle name="40% - Ênfase2 7 4 3" xfId="1127" xr:uid="{00000000-0005-0000-0000-000066040000}"/>
    <cellStyle name="40% - Ênfase2 7 4 4" xfId="1128" xr:uid="{00000000-0005-0000-0000-000067040000}"/>
    <cellStyle name="40% - Ênfase2 7 5" xfId="1129" xr:uid="{00000000-0005-0000-0000-000068040000}"/>
    <cellStyle name="40% - Ênfase2 7 5 2" xfId="1130" xr:uid="{00000000-0005-0000-0000-000069040000}"/>
    <cellStyle name="40% - Ênfase2 7 5 3" xfId="1131" xr:uid="{00000000-0005-0000-0000-00006A040000}"/>
    <cellStyle name="40% - Ênfase2 7 6" xfId="1132" xr:uid="{00000000-0005-0000-0000-00006B040000}"/>
    <cellStyle name="40% - Ênfase2 7 7" xfId="1133" xr:uid="{00000000-0005-0000-0000-00006C040000}"/>
    <cellStyle name="40% - Ênfase2 7 8" xfId="1134" xr:uid="{00000000-0005-0000-0000-00006D040000}"/>
    <cellStyle name="40% - Ênfase2 8" xfId="1135" xr:uid="{00000000-0005-0000-0000-00006E040000}"/>
    <cellStyle name="40% - Ênfase2 8 2" xfId="1136" xr:uid="{00000000-0005-0000-0000-00006F040000}"/>
    <cellStyle name="40% - Ênfase2 8 2 2" xfId="1137" xr:uid="{00000000-0005-0000-0000-000070040000}"/>
    <cellStyle name="40% - Ênfase2 8 2 3" xfId="1138" xr:uid="{00000000-0005-0000-0000-000071040000}"/>
    <cellStyle name="40% - Ênfase2 8 3" xfId="1139" xr:uid="{00000000-0005-0000-0000-000072040000}"/>
    <cellStyle name="40% - Ênfase2 8 3 2" xfId="1140" xr:uid="{00000000-0005-0000-0000-000073040000}"/>
    <cellStyle name="40% - Ênfase2 8 4" xfId="1141" xr:uid="{00000000-0005-0000-0000-000074040000}"/>
    <cellStyle name="40% - Ênfase2 8 5" xfId="1142" xr:uid="{00000000-0005-0000-0000-000075040000}"/>
    <cellStyle name="40% - Ênfase2 9" xfId="1143" xr:uid="{00000000-0005-0000-0000-000076040000}"/>
    <cellStyle name="40% - Ênfase2 9 2" xfId="1144" xr:uid="{00000000-0005-0000-0000-000077040000}"/>
    <cellStyle name="40% - Ênfase2 9 2 2" xfId="1145" xr:uid="{00000000-0005-0000-0000-000078040000}"/>
    <cellStyle name="40% - Ênfase2 9 2 2 2" xfId="1146" xr:uid="{00000000-0005-0000-0000-000079040000}"/>
    <cellStyle name="40% - Ênfase2 9 2 2 2 2" xfId="1147" xr:uid="{00000000-0005-0000-0000-00007A040000}"/>
    <cellStyle name="40% - Ênfase2 9 2 2 2 3" xfId="1148" xr:uid="{00000000-0005-0000-0000-00007B040000}"/>
    <cellStyle name="40% - Ênfase2 9 2 2 3" xfId="1149" xr:uid="{00000000-0005-0000-0000-00007C040000}"/>
    <cellStyle name="40% - Ênfase2 9 2 2 4" xfId="1150" xr:uid="{00000000-0005-0000-0000-00007D040000}"/>
    <cellStyle name="40% - Ênfase2 9 2 3" xfId="1151" xr:uid="{00000000-0005-0000-0000-00007E040000}"/>
    <cellStyle name="40% - Ênfase2 9 2 3 2" xfId="1152" xr:uid="{00000000-0005-0000-0000-00007F040000}"/>
    <cellStyle name="40% - Ênfase2 9 2 3 3" xfId="1153" xr:uid="{00000000-0005-0000-0000-000080040000}"/>
    <cellStyle name="40% - Ênfase2 9 2 4" xfId="1154" xr:uid="{00000000-0005-0000-0000-000081040000}"/>
    <cellStyle name="40% - Ênfase2 9 2 5" xfId="1155" xr:uid="{00000000-0005-0000-0000-000082040000}"/>
    <cellStyle name="40% - Ênfase2 9 2 6" xfId="1156" xr:uid="{00000000-0005-0000-0000-000083040000}"/>
    <cellStyle name="40% - Ênfase2 9 3" xfId="1157" xr:uid="{00000000-0005-0000-0000-000084040000}"/>
    <cellStyle name="40% - Ênfase2 9 3 2" xfId="1158" xr:uid="{00000000-0005-0000-0000-000085040000}"/>
    <cellStyle name="40% - Ênfase2 9 3 2 2" xfId="1159" xr:uid="{00000000-0005-0000-0000-000086040000}"/>
    <cellStyle name="40% - Ênfase2 9 3 2 3" xfId="1160" xr:uid="{00000000-0005-0000-0000-000087040000}"/>
    <cellStyle name="40% - Ênfase2 9 3 3" xfId="1161" xr:uid="{00000000-0005-0000-0000-000088040000}"/>
    <cellStyle name="40% - Ênfase2 9 3 4" xfId="1162" xr:uid="{00000000-0005-0000-0000-000089040000}"/>
    <cellStyle name="40% - Ênfase2 9 4" xfId="1163" xr:uid="{00000000-0005-0000-0000-00008A040000}"/>
    <cellStyle name="40% - Ênfase2 9 4 2" xfId="1164" xr:uid="{00000000-0005-0000-0000-00008B040000}"/>
    <cellStyle name="40% - Ênfase2 9 4 3" xfId="1165" xr:uid="{00000000-0005-0000-0000-00008C040000}"/>
    <cellStyle name="40% - Ênfase2 9 5" xfId="1166" xr:uid="{00000000-0005-0000-0000-00008D040000}"/>
    <cellStyle name="40% - Ênfase2 9 6" xfId="1167" xr:uid="{00000000-0005-0000-0000-00008E040000}"/>
    <cellStyle name="40% - Ênfase2 9 7" xfId="1168" xr:uid="{00000000-0005-0000-0000-00008F040000}"/>
    <cellStyle name="40% - Ênfase3" xfId="1169" builtinId="39" customBuiltin="1"/>
    <cellStyle name="40% - Ênfase3 10" xfId="1170" xr:uid="{00000000-0005-0000-0000-000091040000}"/>
    <cellStyle name="40% - Ênfase3 10 2" xfId="1171" xr:uid="{00000000-0005-0000-0000-000092040000}"/>
    <cellStyle name="40% - Ênfase3 10 3" xfId="1172" xr:uid="{00000000-0005-0000-0000-000093040000}"/>
    <cellStyle name="40% - Ênfase3 11" xfId="1173" xr:uid="{00000000-0005-0000-0000-000094040000}"/>
    <cellStyle name="40% - Ênfase3 11 2" xfId="1174" xr:uid="{00000000-0005-0000-0000-000095040000}"/>
    <cellStyle name="40% - Ênfase3 11 3" xfId="1175" xr:uid="{00000000-0005-0000-0000-000096040000}"/>
    <cellStyle name="40% - Ênfase3 12" xfId="1176" xr:uid="{00000000-0005-0000-0000-000097040000}"/>
    <cellStyle name="40% - Ênfase3 13" xfId="1177" xr:uid="{00000000-0005-0000-0000-000098040000}"/>
    <cellStyle name="40% - Ênfase3 14" xfId="1178" xr:uid="{00000000-0005-0000-0000-000099040000}"/>
    <cellStyle name="40% - Ênfase3 15" xfId="1179" xr:uid="{00000000-0005-0000-0000-00009A040000}"/>
    <cellStyle name="40% - Ênfase3 16" xfId="1180" xr:uid="{00000000-0005-0000-0000-00009B040000}"/>
    <cellStyle name="40% - Ênfase3 17" xfId="1181" xr:uid="{00000000-0005-0000-0000-00009C040000}"/>
    <cellStyle name="40% - Ênfase3 2" xfId="1182" xr:uid="{00000000-0005-0000-0000-00009D040000}"/>
    <cellStyle name="40% - Ênfase3 2 2" xfId="1183" xr:uid="{00000000-0005-0000-0000-00009E040000}"/>
    <cellStyle name="40% - Ênfase3 2 2 2" xfId="1184" xr:uid="{00000000-0005-0000-0000-00009F040000}"/>
    <cellStyle name="40% - Ênfase3 2 2 2 2" xfId="1185" xr:uid="{00000000-0005-0000-0000-0000A0040000}"/>
    <cellStyle name="40% - Ênfase3 2 2 2 2 2" xfId="1186" xr:uid="{00000000-0005-0000-0000-0000A1040000}"/>
    <cellStyle name="40% - Ênfase3 2 2 2 3" xfId="1187" xr:uid="{00000000-0005-0000-0000-0000A2040000}"/>
    <cellStyle name="40% - Ênfase3 2 2 2 3 2" xfId="1188" xr:uid="{00000000-0005-0000-0000-0000A3040000}"/>
    <cellStyle name="40% - Ênfase3 2 2 2 4" xfId="1189" xr:uid="{00000000-0005-0000-0000-0000A4040000}"/>
    <cellStyle name="40% - Ênfase3 2 2 3" xfId="1190" xr:uid="{00000000-0005-0000-0000-0000A5040000}"/>
    <cellStyle name="40% - Ênfase3 2 2 3 2" xfId="1191" xr:uid="{00000000-0005-0000-0000-0000A6040000}"/>
    <cellStyle name="40% - Ênfase3 2 2 4" xfId="1192" xr:uid="{00000000-0005-0000-0000-0000A7040000}"/>
    <cellStyle name="40% - Ênfase3 2 2 4 2" xfId="1193" xr:uid="{00000000-0005-0000-0000-0000A8040000}"/>
    <cellStyle name="40% - Ênfase3 2 2 5" xfId="1194" xr:uid="{00000000-0005-0000-0000-0000A9040000}"/>
    <cellStyle name="40% - Ênfase3 2 3" xfId="1195" xr:uid="{00000000-0005-0000-0000-0000AA040000}"/>
    <cellStyle name="40% - Ênfase3 2 3 2" xfId="1196" xr:uid="{00000000-0005-0000-0000-0000AB040000}"/>
    <cellStyle name="40% - Ênfase3 2 3 2 2" xfId="1197" xr:uid="{00000000-0005-0000-0000-0000AC040000}"/>
    <cellStyle name="40% - Ênfase3 2 3 3" xfId="1198" xr:uid="{00000000-0005-0000-0000-0000AD040000}"/>
    <cellStyle name="40% - Ênfase3 2 3 3 2" xfId="1199" xr:uid="{00000000-0005-0000-0000-0000AE040000}"/>
    <cellStyle name="40% - Ênfase3 2 3 4" xfId="1200" xr:uid="{00000000-0005-0000-0000-0000AF040000}"/>
    <cellStyle name="40% - Ênfase3 2 4" xfId="1201" xr:uid="{00000000-0005-0000-0000-0000B0040000}"/>
    <cellStyle name="40% - Ênfase3 2 4 2" xfId="1202" xr:uid="{00000000-0005-0000-0000-0000B1040000}"/>
    <cellStyle name="40% - Ênfase3 2 5" xfId="1203" xr:uid="{00000000-0005-0000-0000-0000B2040000}"/>
    <cellStyle name="40% - Ênfase3 2 5 2" xfId="1204" xr:uid="{00000000-0005-0000-0000-0000B3040000}"/>
    <cellStyle name="40% - Ênfase3 2 6" xfId="1205" xr:uid="{00000000-0005-0000-0000-0000B4040000}"/>
    <cellStyle name="40% - Ênfase3 2 7" xfId="1206" xr:uid="{00000000-0005-0000-0000-0000B5040000}"/>
    <cellStyle name="40% - Ênfase3 2_BP_Consolidação" xfId="1207" xr:uid="{00000000-0005-0000-0000-0000B6040000}"/>
    <cellStyle name="40% - Ênfase3 3" xfId="1208" xr:uid="{00000000-0005-0000-0000-0000B7040000}"/>
    <cellStyle name="40% - Ênfase3 3 2" xfId="1209" xr:uid="{00000000-0005-0000-0000-0000B8040000}"/>
    <cellStyle name="40% - Ênfase3 3 2 2" xfId="1210" xr:uid="{00000000-0005-0000-0000-0000B9040000}"/>
    <cellStyle name="40% - Ênfase3 3 2 2 2" xfId="1211" xr:uid="{00000000-0005-0000-0000-0000BA040000}"/>
    <cellStyle name="40% - Ênfase3 3 2 3" xfId="1212" xr:uid="{00000000-0005-0000-0000-0000BB040000}"/>
    <cellStyle name="40% - Ênfase3 3 2 3 2" xfId="1213" xr:uid="{00000000-0005-0000-0000-0000BC040000}"/>
    <cellStyle name="40% - Ênfase3 3 2 4" xfId="1214" xr:uid="{00000000-0005-0000-0000-0000BD040000}"/>
    <cellStyle name="40% - Ênfase3 3 3" xfId="1215" xr:uid="{00000000-0005-0000-0000-0000BE040000}"/>
    <cellStyle name="40% - Ênfase3 3 3 2" xfId="1216" xr:uid="{00000000-0005-0000-0000-0000BF040000}"/>
    <cellStyle name="40% - Ênfase3 3 4" xfId="1217" xr:uid="{00000000-0005-0000-0000-0000C0040000}"/>
    <cellStyle name="40% - Ênfase3 3 4 2" xfId="1218" xr:uid="{00000000-0005-0000-0000-0000C1040000}"/>
    <cellStyle name="40% - Ênfase3 3 5" xfId="1219" xr:uid="{00000000-0005-0000-0000-0000C2040000}"/>
    <cellStyle name="40% - Ênfase3 3 6" xfId="1220" xr:uid="{00000000-0005-0000-0000-0000C3040000}"/>
    <cellStyle name="40% - Ênfase3 3_BP_Consolidação" xfId="1221" xr:uid="{00000000-0005-0000-0000-0000C4040000}"/>
    <cellStyle name="40% - Ênfase3 4" xfId="1222" xr:uid="{00000000-0005-0000-0000-0000C5040000}"/>
    <cellStyle name="40% - Ênfase3 4 2" xfId="1223" xr:uid="{00000000-0005-0000-0000-0000C6040000}"/>
    <cellStyle name="40% - Ênfase3 4 2 2" xfId="1224" xr:uid="{00000000-0005-0000-0000-0000C7040000}"/>
    <cellStyle name="40% - Ênfase3 4 2 2 2" xfId="1225" xr:uid="{00000000-0005-0000-0000-0000C8040000}"/>
    <cellStyle name="40% - Ênfase3 4 2 3" xfId="1226" xr:uid="{00000000-0005-0000-0000-0000C9040000}"/>
    <cellStyle name="40% - Ênfase3 4 2 3 2" xfId="1227" xr:uid="{00000000-0005-0000-0000-0000CA040000}"/>
    <cellStyle name="40% - Ênfase3 4 2 4" xfId="1228" xr:uid="{00000000-0005-0000-0000-0000CB040000}"/>
    <cellStyle name="40% - Ênfase3 4 3" xfId="1229" xr:uid="{00000000-0005-0000-0000-0000CC040000}"/>
    <cellStyle name="40% - Ênfase3 4 3 2" xfId="1230" xr:uid="{00000000-0005-0000-0000-0000CD040000}"/>
    <cellStyle name="40% - Ênfase3 4 4" xfId="1231" xr:uid="{00000000-0005-0000-0000-0000CE040000}"/>
    <cellStyle name="40% - Ênfase3 4 5" xfId="1232" xr:uid="{00000000-0005-0000-0000-0000CF040000}"/>
    <cellStyle name="40% - Ênfase3 4 6" xfId="1233" xr:uid="{00000000-0005-0000-0000-0000D0040000}"/>
    <cellStyle name="40% - Ênfase3 5" xfId="1234" xr:uid="{00000000-0005-0000-0000-0000D1040000}"/>
    <cellStyle name="40% - Ênfase3 5 2" xfId="1235" xr:uid="{00000000-0005-0000-0000-0000D2040000}"/>
    <cellStyle name="40% - Ênfase3 5 2 2" xfId="1236" xr:uid="{00000000-0005-0000-0000-0000D3040000}"/>
    <cellStyle name="40% - Ênfase3 5 2 3" xfId="1237" xr:uid="{00000000-0005-0000-0000-0000D4040000}"/>
    <cellStyle name="40% - Ênfase3 5 3" xfId="1238" xr:uid="{00000000-0005-0000-0000-0000D5040000}"/>
    <cellStyle name="40% - Ênfase3 5 3 2" xfId="1239" xr:uid="{00000000-0005-0000-0000-0000D6040000}"/>
    <cellStyle name="40% - Ênfase3 5 4" xfId="1240" xr:uid="{00000000-0005-0000-0000-0000D7040000}"/>
    <cellStyle name="40% - Ênfase3 5 5" xfId="1241" xr:uid="{00000000-0005-0000-0000-0000D8040000}"/>
    <cellStyle name="40% - Ênfase3 6" xfId="1242" xr:uid="{00000000-0005-0000-0000-0000D9040000}"/>
    <cellStyle name="40% - Ênfase3 7" xfId="1243" xr:uid="{00000000-0005-0000-0000-0000DA040000}"/>
    <cellStyle name="40% - Ênfase3 7 2" xfId="1244" xr:uid="{00000000-0005-0000-0000-0000DB040000}"/>
    <cellStyle name="40% - Ênfase3 7 2 2" xfId="1245" xr:uid="{00000000-0005-0000-0000-0000DC040000}"/>
    <cellStyle name="40% - Ênfase3 7 2 2 2" xfId="1246" xr:uid="{00000000-0005-0000-0000-0000DD040000}"/>
    <cellStyle name="40% - Ênfase3 7 2 2 2 2" xfId="1247" xr:uid="{00000000-0005-0000-0000-0000DE040000}"/>
    <cellStyle name="40% - Ênfase3 7 2 2 2 3" xfId="1248" xr:uid="{00000000-0005-0000-0000-0000DF040000}"/>
    <cellStyle name="40% - Ênfase3 7 2 2 3" xfId="1249" xr:uid="{00000000-0005-0000-0000-0000E0040000}"/>
    <cellStyle name="40% - Ênfase3 7 2 2 4" xfId="1250" xr:uid="{00000000-0005-0000-0000-0000E1040000}"/>
    <cellStyle name="40% - Ênfase3 7 2 3" xfId="1251" xr:uid="{00000000-0005-0000-0000-0000E2040000}"/>
    <cellStyle name="40% - Ênfase3 7 2 3 2" xfId="1252" xr:uid="{00000000-0005-0000-0000-0000E3040000}"/>
    <cellStyle name="40% - Ênfase3 7 2 3 3" xfId="1253" xr:uid="{00000000-0005-0000-0000-0000E4040000}"/>
    <cellStyle name="40% - Ênfase3 7 2 4" xfId="1254" xr:uid="{00000000-0005-0000-0000-0000E5040000}"/>
    <cellStyle name="40% - Ênfase3 7 2 5" xfId="1255" xr:uid="{00000000-0005-0000-0000-0000E6040000}"/>
    <cellStyle name="40% - Ênfase3 7 2 6" xfId="1256" xr:uid="{00000000-0005-0000-0000-0000E7040000}"/>
    <cellStyle name="40% - Ênfase3 7 3" xfId="1257" xr:uid="{00000000-0005-0000-0000-0000E8040000}"/>
    <cellStyle name="40% - Ênfase3 7 3 2" xfId="1258" xr:uid="{00000000-0005-0000-0000-0000E9040000}"/>
    <cellStyle name="40% - Ênfase3 7 3 2 2" xfId="1259" xr:uid="{00000000-0005-0000-0000-0000EA040000}"/>
    <cellStyle name="40% - Ênfase3 7 3 2 2 2" xfId="1260" xr:uid="{00000000-0005-0000-0000-0000EB040000}"/>
    <cellStyle name="40% - Ênfase3 7 3 2 2 3" xfId="1261" xr:uid="{00000000-0005-0000-0000-0000EC040000}"/>
    <cellStyle name="40% - Ênfase3 7 3 2 3" xfId="1262" xr:uid="{00000000-0005-0000-0000-0000ED040000}"/>
    <cellStyle name="40% - Ênfase3 7 3 2 4" xfId="1263" xr:uid="{00000000-0005-0000-0000-0000EE040000}"/>
    <cellStyle name="40% - Ênfase3 7 3 3" xfId="1264" xr:uid="{00000000-0005-0000-0000-0000EF040000}"/>
    <cellStyle name="40% - Ênfase3 7 3 3 2" xfId="1265" xr:uid="{00000000-0005-0000-0000-0000F0040000}"/>
    <cellStyle name="40% - Ênfase3 7 3 3 3" xfId="1266" xr:uid="{00000000-0005-0000-0000-0000F1040000}"/>
    <cellStyle name="40% - Ênfase3 7 3 4" xfId="1267" xr:uid="{00000000-0005-0000-0000-0000F2040000}"/>
    <cellStyle name="40% - Ênfase3 7 3 5" xfId="1268" xr:uid="{00000000-0005-0000-0000-0000F3040000}"/>
    <cellStyle name="40% - Ênfase3 7 4" xfId="1269" xr:uid="{00000000-0005-0000-0000-0000F4040000}"/>
    <cellStyle name="40% - Ênfase3 7 4 2" xfId="1270" xr:uid="{00000000-0005-0000-0000-0000F5040000}"/>
    <cellStyle name="40% - Ênfase3 7 4 2 2" xfId="1271" xr:uid="{00000000-0005-0000-0000-0000F6040000}"/>
    <cellStyle name="40% - Ênfase3 7 4 2 3" xfId="1272" xr:uid="{00000000-0005-0000-0000-0000F7040000}"/>
    <cellStyle name="40% - Ênfase3 7 4 3" xfId="1273" xr:uid="{00000000-0005-0000-0000-0000F8040000}"/>
    <cellStyle name="40% - Ênfase3 7 4 4" xfId="1274" xr:uid="{00000000-0005-0000-0000-0000F9040000}"/>
    <cellStyle name="40% - Ênfase3 7 5" xfId="1275" xr:uid="{00000000-0005-0000-0000-0000FA040000}"/>
    <cellStyle name="40% - Ênfase3 7 5 2" xfId="1276" xr:uid="{00000000-0005-0000-0000-0000FB040000}"/>
    <cellStyle name="40% - Ênfase3 7 5 3" xfId="1277" xr:uid="{00000000-0005-0000-0000-0000FC040000}"/>
    <cellStyle name="40% - Ênfase3 7 6" xfId="1278" xr:uid="{00000000-0005-0000-0000-0000FD040000}"/>
    <cellStyle name="40% - Ênfase3 7 7" xfId="1279" xr:uid="{00000000-0005-0000-0000-0000FE040000}"/>
    <cellStyle name="40% - Ênfase3 7 8" xfId="1280" xr:uid="{00000000-0005-0000-0000-0000FF040000}"/>
    <cellStyle name="40% - Ênfase3 8" xfId="1281" xr:uid="{00000000-0005-0000-0000-000000050000}"/>
    <cellStyle name="40% - Ênfase3 8 2" xfId="1282" xr:uid="{00000000-0005-0000-0000-000001050000}"/>
    <cellStyle name="40% - Ênfase3 8 2 2" xfId="1283" xr:uid="{00000000-0005-0000-0000-000002050000}"/>
    <cellStyle name="40% - Ênfase3 8 2 3" xfId="1284" xr:uid="{00000000-0005-0000-0000-000003050000}"/>
    <cellStyle name="40% - Ênfase3 8 3" xfId="1285" xr:uid="{00000000-0005-0000-0000-000004050000}"/>
    <cellStyle name="40% - Ênfase3 8 3 2" xfId="1286" xr:uid="{00000000-0005-0000-0000-000005050000}"/>
    <cellStyle name="40% - Ênfase3 8 4" xfId="1287" xr:uid="{00000000-0005-0000-0000-000006050000}"/>
    <cellStyle name="40% - Ênfase3 8 5" xfId="1288" xr:uid="{00000000-0005-0000-0000-000007050000}"/>
    <cellStyle name="40% - Ênfase3 9" xfId="1289" xr:uid="{00000000-0005-0000-0000-000008050000}"/>
    <cellStyle name="40% - Ênfase3 9 2" xfId="1290" xr:uid="{00000000-0005-0000-0000-000009050000}"/>
    <cellStyle name="40% - Ênfase3 9 2 2" xfId="1291" xr:uid="{00000000-0005-0000-0000-00000A050000}"/>
    <cellStyle name="40% - Ênfase3 9 2 2 2" xfId="1292" xr:uid="{00000000-0005-0000-0000-00000B050000}"/>
    <cellStyle name="40% - Ênfase3 9 2 2 2 2" xfId="1293" xr:uid="{00000000-0005-0000-0000-00000C050000}"/>
    <cellStyle name="40% - Ênfase3 9 2 2 2 3" xfId="1294" xr:uid="{00000000-0005-0000-0000-00000D050000}"/>
    <cellStyle name="40% - Ênfase3 9 2 2 3" xfId="1295" xr:uid="{00000000-0005-0000-0000-00000E050000}"/>
    <cellStyle name="40% - Ênfase3 9 2 2 4" xfId="1296" xr:uid="{00000000-0005-0000-0000-00000F050000}"/>
    <cellStyle name="40% - Ênfase3 9 2 3" xfId="1297" xr:uid="{00000000-0005-0000-0000-000010050000}"/>
    <cellStyle name="40% - Ênfase3 9 2 3 2" xfId="1298" xr:uid="{00000000-0005-0000-0000-000011050000}"/>
    <cellStyle name="40% - Ênfase3 9 2 3 3" xfId="1299" xr:uid="{00000000-0005-0000-0000-000012050000}"/>
    <cellStyle name="40% - Ênfase3 9 2 4" xfId="1300" xr:uid="{00000000-0005-0000-0000-000013050000}"/>
    <cellStyle name="40% - Ênfase3 9 2 5" xfId="1301" xr:uid="{00000000-0005-0000-0000-000014050000}"/>
    <cellStyle name="40% - Ênfase3 9 2 6" xfId="1302" xr:uid="{00000000-0005-0000-0000-000015050000}"/>
    <cellStyle name="40% - Ênfase3 9 3" xfId="1303" xr:uid="{00000000-0005-0000-0000-000016050000}"/>
    <cellStyle name="40% - Ênfase3 9 3 2" xfId="1304" xr:uid="{00000000-0005-0000-0000-000017050000}"/>
    <cellStyle name="40% - Ênfase3 9 3 2 2" xfId="1305" xr:uid="{00000000-0005-0000-0000-000018050000}"/>
    <cellStyle name="40% - Ênfase3 9 3 2 3" xfId="1306" xr:uid="{00000000-0005-0000-0000-000019050000}"/>
    <cellStyle name="40% - Ênfase3 9 3 3" xfId="1307" xr:uid="{00000000-0005-0000-0000-00001A050000}"/>
    <cellStyle name="40% - Ênfase3 9 3 4" xfId="1308" xr:uid="{00000000-0005-0000-0000-00001B050000}"/>
    <cellStyle name="40% - Ênfase3 9 4" xfId="1309" xr:uid="{00000000-0005-0000-0000-00001C050000}"/>
    <cellStyle name="40% - Ênfase3 9 4 2" xfId="1310" xr:uid="{00000000-0005-0000-0000-00001D050000}"/>
    <cellStyle name="40% - Ênfase3 9 4 3" xfId="1311" xr:uid="{00000000-0005-0000-0000-00001E050000}"/>
    <cellStyle name="40% - Ênfase3 9 5" xfId="1312" xr:uid="{00000000-0005-0000-0000-00001F050000}"/>
    <cellStyle name="40% - Ênfase3 9 6" xfId="1313" xr:uid="{00000000-0005-0000-0000-000020050000}"/>
    <cellStyle name="40% - Ênfase3 9 7" xfId="1314" xr:uid="{00000000-0005-0000-0000-000021050000}"/>
    <cellStyle name="40% - Ênfase4" xfId="1315" builtinId="43" customBuiltin="1"/>
    <cellStyle name="40% - Ênfase4 10" xfId="1316" xr:uid="{00000000-0005-0000-0000-000023050000}"/>
    <cellStyle name="40% - Ênfase4 10 2" xfId="1317" xr:uid="{00000000-0005-0000-0000-000024050000}"/>
    <cellStyle name="40% - Ênfase4 10 3" xfId="1318" xr:uid="{00000000-0005-0000-0000-000025050000}"/>
    <cellStyle name="40% - Ênfase4 11" xfId="1319" xr:uid="{00000000-0005-0000-0000-000026050000}"/>
    <cellStyle name="40% - Ênfase4 11 2" xfId="1320" xr:uid="{00000000-0005-0000-0000-000027050000}"/>
    <cellStyle name="40% - Ênfase4 11 3" xfId="1321" xr:uid="{00000000-0005-0000-0000-000028050000}"/>
    <cellStyle name="40% - Ênfase4 12" xfId="1322" xr:uid="{00000000-0005-0000-0000-000029050000}"/>
    <cellStyle name="40% - Ênfase4 13" xfId="1323" xr:uid="{00000000-0005-0000-0000-00002A050000}"/>
    <cellStyle name="40% - Ênfase4 14" xfId="1324" xr:uid="{00000000-0005-0000-0000-00002B050000}"/>
    <cellStyle name="40% - Ênfase4 15" xfId="1325" xr:uid="{00000000-0005-0000-0000-00002C050000}"/>
    <cellStyle name="40% - Ênfase4 16" xfId="1326" xr:uid="{00000000-0005-0000-0000-00002D050000}"/>
    <cellStyle name="40% - Ênfase4 17" xfId="1327" xr:uid="{00000000-0005-0000-0000-00002E050000}"/>
    <cellStyle name="40% - Ênfase4 2" xfId="1328" xr:uid="{00000000-0005-0000-0000-00002F050000}"/>
    <cellStyle name="40% - Ênfase4 2 2" xfId="1329" xr:uid="{00000000-0005-0000-0000-000030050000}"/>
    <cellStyle name="40% - Ênfase4 2 2 2" xfId="1330" xr:uid="{00000000-0005-0000-0000-000031050000}"/>
    <cellStyle name="40% - Ênfase4 2 2 2 2" xfId="1331" xr:uid="{00000000-0005-0000-0000-000032050000}"/>
    <cellStyle name="40% - Ênfase4 2 2 2 2 2" xfId="1332" xr:uid="{00000000-0005-0000-0000-000033050000}"/>
    <cellStyle name="40% - Ênfase4 2 2 2 3" xfId="1333" xr:uid="{00000000-0005-0000-0000-000034050000}"/>
    <cellStyle name="40% - Ênfase4 2 2 2 3 2" xfId="1334" xr:uid="{00000000-0005-0000-0000-000035050000}"/>
    <cellStyle name="40% - Ênfase4 2 2 2 4" xfId="1335" xr:uid="{00000000-0005-0000-0000-000036050000}"/>
    <cellStyle name="40% - Ênfase4 2 2 3" xfId="1336" xr:uid="{00000000-0005-0000-0000-000037050000}"/>
    <cellStyle name="40% - Ênfase4 2 2 3 2" xfId="1337" xr:uid="{00000000-0005-0000-0000-000038050000}"/>
    <cellStyle name="40% - Ênfase4 2 2 4" xfId="1338" xr:uid="{00000000-0005-0000-0000-000039050000}"/>
    <cellStyle name="40% - Ênfase4 2 2 4 2" xfId="1339" xr:uid="{00000000-0005-0000-0000-00003A050000}"/>
    <cellStyle name="40% - Ênfase4 2 2 5" xfId="1340" xr:uid="{00000000-0005-0000-0000-00003B050000}"/>
    <cellStyle name="40% - Ênfase4 2 3" xfId="1341" xr:uid="{00000000-0005-0000-0000-00003C050000}"/>
    <cellStyle name="40% - Ênfase4 2 3 2" xfId="1342" xr:uid="{00000000-0005-0000-0000-00003D050000}"/>
    <cellStyle name="40% - Ênfase4 2 3 2 2" xfId="1343" xr:uid="{00000000-0005-0000-0000-00003E050000}"/>
    <cellStyle name="40% - Ênfase4 2 3 3" xfId="1344" xr:uid="{00000000-0005-0000-0000-00003F050000}"/>
    <cellStyle name="40% - Ênfase4 2 3 3 2" xfId="1345" xr:uid="{00000000-0005-0000-0000-000040050000}"/>
    <cellStyle name="40% - Ênfase4 2 3 4" xfId="1346" xr:uid="{00000000-0005-0000-0000-000041050000}"/>
    <cellStyle name="40% - Ênfase4 2 4" xfId="1347" xr:uid="{00000000-0005-0000-0000-000042050000}"/>
    <cellStyle name="40% - Ênfase4 2 4 2" xfId="1348" xr:uid="{00000000-0005-0000-0000-000043050000}"/>
    <cellStyle name="40% - Ênfase4 2 5" xfId="1349" xr:uid="{00000000-0005-0000-0000-000044050000}"/>
    <cellStyle name="40% - Ênfase4 2 5 2" xfId="1350" xr:uid="{00000000-0005-0000-0000-000045050000}"/>
    <cellStyle name="40% - Ênfase4 2 6" xfId="1351" xr:uid="{00000000-0005-0000-0000-000046050000}"/>
    <cellStyle name="40% - Ênfase4 2 7" xfId="1352" xr:uid="{00000000-0005-0000-0000-000047050000}"/>
    <cellStyle name="40% - Ênfase4 2_BP_Consolidação" xfId="1353" xr:uid="{00000000-0005-0000-0000-000048050000}"/>
    <cellStyle name="40% - Ênfase4 3" xfId="1354" xr:uid="{00000000-0005-0000-0000-000049050000}"/>
    <cellStyle name="40% - Ênfase4 3 2" xfId="1355" xr:uid="{00000000-0005-0000-0000-00004A050000}"/>
    <cellStyle name="40% - Ênfase4 3 2 2" xfId="1356" xr:uid="{00000000-0005-0000-0000-00004B050000}"/>
    <cellStyle name="40% - Ênfase4 3 2 2 2" xfId="1357" xr:uid="{00000000-0005-0000-0000-00004C050000}"/>
    <cellStyle name="40% - Ênfase4 3 2 3" xfId="1358" xr:uid="{00000000-0005-0000-0000-00004D050000}"/>
    <cellStyle name="40% - Ênfase4 3 2 3 2" xfId="1359" xr:uid="{00000000-0005-0000-0000-00004E050000}"/>
    <cellStyle name="40% - Ênfase4 3 2 4" xfId="1360" xr:uid="{00000000-0005-0000-0000-00004F050000}"/>
    <cellStyle name="40% - Ênfase4 3 3" xfId="1361" xr:uid="{00000000-0005-0000-0000-000050050000}"/>
    <cellStyle name="40% - Ênfase4 3 3 2" xfId="1362" xr:uid="{00000000-0005-0000-0000-000051050000}"/>
    <cellStyle name="40% - Ênfase4 3 4" xfId="1363" xr:uid="{00000000-0005-0000-0000-000052050000}"/>
    <cellStyle name="40% - Ênfase4 3 4 2" xfId="1364" xr:uid="{00000000-0005-0000-0000-000053050000}"/>
    <cellStyle name="40% - Ênfase4 3 5" xfId="1365" xr:uid="{00000000-0005-0000-0000-000054050000}"/>
    <cellStyle name="40% - Ênfase4 3 6" xfId="1366" xr:uid="{00000000-0005-0000-0000-000055050000}"/>
    <cellStyle name="40% - Ênfase4 3_BP_Consolidação" xfId="1367" xr:uid="{00000000-0005-0000-0000-000056050000}"/>
    <cellStyle name="40% - Ênfase4 4" xfId="1368" xr:uid="{00000000-0005-0000-0000-000057050000}"/>
    <cellStyle name="40% - Ênfase4 4 2" xfId="1369" xr:uid="{00000000-0005-0000-0000-000058050000}"/>
    <cellStyle name="40% - Ênfase4 4 2 2" xfId="1370" xr:uid="{00000000-0005-0000-0000-000059050000}"/>
    <cellStyle name="40% - Ênfase4 4 2 2 2" xfId="1371" xr:uid="{00000000-0005-0000-0000-00005A050000}"/>
    <cellStyle name="40% - Ênfase4 4 2 3" xfId="1372" xr:uid="{00000000-0005-0000-0000-00005B050000}"/>
    <cellStyle name="40% - Ênfase4 4 2 3 2" xfId="1373" xr:uid="{00000000-0005-0000-0000-00005C050000}"/>
    <cellStyle name="40% - Ênfase4 4 2 4" xfId="1374" xr:uid="{00000000-0005-0000-0000-00005D050000}"/>
    <cellStyle name="40% - Ênfase4 4 3" xfId="1375" xr:uid="{00000000-0005-0000-0000-00005E050000}"/>
    <cellStyle name="40% - Ênfase4 4 3 2" xfId="1376" xr:uid="{00000000-0005-0000-0000-00005F050000}"/>
    <cellStyle name="40% - Ênfase4 4 4" xfId="1377" xr:uid="{00000000-0005-0000-0000-000060050000}"/>
    <cellStyle name="40% - Ênfase4 4 5" xfId="1378" xr:uid="{00000000-0005-0000-0000-000061050000}"/>
    <cellStyle name="40% - Ênfase4 4 6" xfId="1379" xr:uid="{00000000-0005-0000-0000-000062050000}"/>
    <cellStyle name="40% - Ênfase4 5" xfId="1380" xr:uid="{00000000-0005-0000-0000-000063050000}"/>
    <cellStyle name="40% - Ênfase4 5 2" xfId="1381" xr:uid="{00000000-0005-0000-0000-000064050000}"/>
    <cellStyle name="40% - Ênfase4 5 2 2" xfId="1382" xr:uid="{00000000-0005-0000-0000-000065050000}"/>
    <cellStyle name="40% - Ênfase4 5 2 3" xfId="1383" xr:uid="{00000000-0005-0000-0000-000066050000}"/>
    <cellStyle name="40% - Ênfase4 5 3" xfId="1384" xr:uid="{00000000-0005-0000-0000-000067050000}"/>
    <cellStyle name="40% - Ênfase4 5 3 2" xfId="1385" xr:uid="{00000000-0005-0000-0000-000068050000}"/>
    <cellStyle name="40% - Ênfase4 5 4" xfId="1386" xr:uid="{00000000-0005-0000-0000-000069050000}"/>
    <cellStyle name="40% - Ênfase4 5 5" xfId="1387" xr:uid="{00000000-0005-0000-0000-00006A050000}"/>
    <cellStyle name="40% - Ênfase4 6" xfId="1388" xr:uid="{00000000-0005-0000-0000-00006B050000}"/>
    <cellStyle name="40% - Ênfase4 7" xfId="1389" xr:uid="{00000000-0005-0000-0000-00006C050000}"/>
    <cellStyle name="40% - Ênfase4 7 2" xfId="1390" xr:uid="{00000000-0005-0000-0000-00006D050000}"/>
    <cellStyle name="40% - Ênfase4 7 2 2" xfId="1391" xr:uid="{00000000-0005-0000-0000-00006E050000}"/>
    <cellStyle name="40% - Ênfase4 7 2 2 2" xfId="1392" xr:uid="{00000000-0005-0000-0000-00006F050000}"/>
    <cellStyle name="40% - Ênfase4 7 2 2 2 2" xfId="1393" xr:uid="{00000000-0005-0000-0000-000070050000}"/>
    <cellStyle name="40% - Ênfase4 7 2 2 2 3" xfId="1394" xr:uid="{00000000-0005-0000-0000-000071050000}"/>
    <cellStyle name="40% - Ênfase4 7 2 2 3" xfId="1395" xr:uid="{00000000-0005-0000-0000-000072050000}"/>
    <cellStyle name="40% - Ênfase4 7 2 2 4" xfId="1396" xr:uid="{00000000-0005-0000-0000-000073050000}"/>
    <cellStyle name="40% - Ênfase4 7 2 3" xfId="1397" xr:uid="{00000000-0005-0000-0000-000074050000}"/>
    <cellStyle name="40% - Ênfase4 7 2 3 2" xfId="1398" xr:uid="{00000000-0005-0000-0000-000075050000}"/>
    <cellStyle name="40% - Ênfase4 7 2 3 3" xfId="1399" xr:uid="{00000000-0005-0000-0000-000076050000}"/>
    <cellStyle name="40% - Ênfase4 7 2 4" xfId="1400" xr:uid="{00000000-0005-0000-0000-000077050000}"/>
    <cellStyle name="40% - Ênfase4 7 2 5" xfId="1401" xr:uid="{00000000-0005-0000-0000-000078050000}"/>
    <cellStyle name="40% - Ênfase4 7 2 6" xfId="1402" xr:uid="{00000000-0005-0000-0000-000079050000}"/>
    <cellStyle name="40% - Ênfase4 7 3" xfId="1403" xr:uid="{00000000-0005-0000-0000-00007A050000}"/>
    <cellStyle name="40% - Ênfase4 7 3 2" xfId="1404" xr:uid="{00000000-0005-0000-0000-00007B050000}"/>
    <cellStyle name="40% - Ênfase4 7 3 2 2" xfId="1405" xr:uid="{00000000-0005-0000-0000-00007C050000}"/>
    <cellStyle name="40% - Ênfase4 7 3 2 2 2" xfId="1406" xr:uid="{00000000-0005-0000-0000-00007D050000}"/>
    <cellStyle name="40% - Ênfase4 7 3 2 2 3" xfId="1407" xr:uid="{00000000-0005-0000-0000-00007E050000}"/>
    <cellStyle name="40% - Ênfase4 7 3 2 3" xfId="1408" xr:uid="{00000000-0005-0000-0000-00007F050000}"/>
    <cellStyle name="40% - Ênfase4 7 3 2 4" xfId="1409" xr:uid="{00000000-0005-0000-0000-000080050000}"/>
    <cellStyle name="40% - Ênfase4 7 3 3" xfId="1410" xr:uid="{00000000-0005-0000-0000-000081050000}"/>
    <cellStyle name="40% - Ênfase4 7 3 3 2" xfId="1411" xr:uid="{00000000-0005-0000-0000-000082050000}"/>
    <cellStyle name="40% - Ênfase4 7 3 3 3" xfId="1412" xr:uid="{00000000-0005-0000-0000-000083050000}"/>
    <cellStyle name="40% - Ênfase4 7 3 4" xfId="1413" xr:uid="{00000000-0005-0000-0000-000084050000}"/>
    <cellStyle name="40% - Ênfase4 7 3 5" xfId="1414" xr:uid="{00000000-0005-0000-0000-000085050000}"/>
    <cellStyle name="40% - Ênfase4 7 4" xfId="1415" xr:uid="{00000000-0005-0000-0000-000086050000}"/>
    <cellStyle name="40% - Ênfase4 7 4 2" xfId="1416" xr:uid="{00000000-0005-0000-0000-000087050000}"/>
    <cellStyle name="40% - Ênfase4 7 4 2 2" xfId="1417" xr:uid="{00000000-0005-0000-0000-000088050000}"/>
    <cellStyle name="40% - Ênfase4 7 4 2 3" xfId="1418" xr:uid="{00000000-0005-0000-0000-000089050000}"/>
    <cellStyle name="40% - Ênfase4 7 4 3" xfId="1419" xr:uid="{00000000-0005-0000-0000-00008A050000}"/>
    <cellStyle name="40% - Ênfase4 7 4 4" xfId="1420" xr:uid="{00000000-0005-0000-0000-00008B050000}"/>
    <cellStyle name="40% - Ênfase4 7 5" xfId="1421" xr:uid="{00000000-0005-0000-0000-00008C050000}"/>
    <cellStyle name="40% - Ênfase4 7 5 2" xfId="1422" xr:uid="{00000000-0005-0000-0000-00008D050000}"/>
    <cellStyle name="40% - Ênfase4 7 5 3" xfId="1423" xr:uid="{00000000-0005-0000-0000-00008E050000}"/>
    <cellStyle name="40% - Ênfase4 7 6" xfId="1424" xr:uid="{00000000-0005-0000-0000-00008F050000}"/>
    <cellStyle name="40% - Ênfase4 7 7" xfId="1425" xr:uid="{00000000-0005-0000-0000-000090050000}"/>
    <cellStyle name="40% - Ênfase4 7 8" xfId="1426" xr:uid="{00000000-0005-0000-0000-000091050000}"/>
    <cellStyle name="40% - Ênfase4 8" xfId="1427" xr:uid="{00000000-0005-0000-0000-000092050000}"/>
    <cellStyle name="40% - Ênfase4 8 2" xfId="1428" xr:uid="{00000000-0005-0000-0000-000093050000}"/>
    <cellStyle name="40% - Ênfase4 8 2 2" xfId="1429" xr:uid="{00000000-0005-0000-0000-000094050000}"/>
    <cellStyle name="40% - Ênfase4 8 2 3" xfId="1430" xr:uid="{00000000-0005-0000-0000-000095050000}"/>
    <cellStyle name="40% - Ênfase4 8 3" xfId="1431" xr:uid="{00000000-0005-0000-0000-000096050000}"/>
    <cellStyle name="40% - Ênfase4 8 3 2" xfId="1432" xr:uid="{00000000-0005-0000-0000-000097050000}"/>
    <cellStyle name="40% - Ênfase4 8 4" xfId="1433" xr:uid="{00000000-0005-0000-0000-000098050000}"/>
    <cellStyle name="40% - Ênfase4 8 5" xfId="1434" xr:uid="{00000000-0005-0000-0000-000099050000}"/>
    <cellStyle name="40% - Ênfase4 9" xfId="1435" xr:uid="{00000000-0005-0000-0000-00009A050000}"/>
    <cellStyle name="40% - Ênfase4 9 2" xfId="1436" xr:uid="{00000000-0005-0000-0000-00009B050000}"/>
    <cellStyle name="40% - Ênfase4 9 2 2" xfId="1437" xr:uid="{00000000-0005-0000-0000-00009C050000}"/>
    <cellStyle name="40% - Ênfase4 9 2 2 2" xfId="1438" xr:uid="{00000000-0005-0000-0000-00009D050000}"/>
    <cellStyle name="40% - Ênfase4 9 2 2 2 2" xfId="1439" xr:uid="{00000000-0005-0000-0000-00009E050000}"/>
    <cellStyle name="40% - Ênfase4 9 2 2 2 3" xfId="1440" xr:uid="{00000000-0005-0000-0000-00009F050000}"/>
    <cellStyle name="40% - Ênfase4 9 2 2 3" xfId="1441" xr:uid="{00000000-0005-0000-0000-0000A0050000}"/>
    <cellStyle name="40% - Ênfase4 9 2 2 4" xfId="1442" xr:uid="{00000000-0005-0000-0000-0000A1050000}"/>
    <cellStyle name="40% - Ênfase4 9 2 3" xfId="1443" xr:uid="{00000000-0005-0000-0000-0000A2050000}"/>
    <cellStyle name="40% - Ênfase4 9 2 3 2" xfId="1444" xr:uid="{00000000-0005-0000-0000-0000A3050000}"/>
    <cellStyle name="40% - Ênfase4 9 2 3 3" xfId="1445" xr:uid="{00000000-0005-0000-0000-0000A4050000}"/>
    <cellStyle name="40% - Ênfase4 9 2 4" xfId="1446" xr:uid="{00000000-0005-0000-0000-0000A5050000}"/>
    <cellStyle name="40% - Ênfase4 9 2 5" xfId="1447" xr:uid="{00000000-0005-0000-0000-0000A6050000}"/>
    <cellStyle name="40% - Ênfase4 9 2 6" xfId="1448" xr:uid="{00000000-0005-0000-0000-0000A7050000}"/>
    <cellStyle name="40% - Ênfase4 9 3" xfId="1449" xr:uid="{00000000-0005-0000-0000-0000A8050000}"/>
    <cellStyle name="40% - Ênfase4 9 3 2" xfId="1450" xr:uid="{00000000-0005-0000-0000-0000A9050000}"/>
    <cellStyle name="40% - Ênfase4 9 3 2 2" xfId="1451" xr:uid="{00000000-0005-0000-0000-0000AA050000}"/>
    <cellStyle name="40% - Ênfase4 9 3 2 3" xfId="1452" xr:uid="{00000000-0005-0000-0000-0000AB050000}"/>
    <cellStyle name="40% - Ênfase4 9 3 3" xfId="1453" xr:uid="{00000000-0005-0000-0000-0000AC050000}"/>
    <cellStyle name="40% - Ênfase4 9 3 4" xfId="1454" xr:uid="{00000000-0005-0000-0000-0000AD050000}"/>
    <cellStyle name="40% - Ênfase4 9 4" xfId="1455" xr:uid="{00000000-0005-0000-0000-0000AE050000}"/>
    <cellStyle name="40% - Ênfase4 9 4 2" xfId="1456" xr:uid="{00000000-0005-0000-0000-0000AF050000}"/>
    <cellStyle name="40% - Ênfase4 9 4 3" xfId="1457" xr:uid="{00000000-0005-0000-0000-0000B0050000}"/>
    <cellStyle name="40% - Ênfase4 9 5" xfId="1458" xr:uid="{00000000-0005-0000-0000-0000B1050000}"/>
    <cellStyle name="40% - Ênfase4 9 6" xfId="1459" xr:uid="{00000000-0005-0000-0000-0000B2050000}"/>
    <cellStyle name="40% - Ênfase4 9 7" xfId="1460" xr:uid="{00000000-0005-0000-0000-0000B3050000}"/>
    <cellStyle name="40% - Ênfase5" xfId="1461" builtinId="47" customBuiltin="1"/>
    <cellStyle name="40% - Ênfase5 10" xfId="1462" xr:uid="{00000000-0005-0000-0000-0000B5050000}"/>
    <cellStyle name="40% - Ênfase5 10 2" xfId="1463" xr:uid="{00000000-0005-0000-0000-0000B6050000}"/>
    <cellStyle name="40% - Ênfase5 10 3" xfId="1464" xr:uid="{00000000-0005-0000-0000-0000B7050000}"/>
    <cellStyle name="40% - Ênfase5 11" xfId="1465" xr:uid="{00000000-0005-0000-0000-0000B8050000}"/>
    <cellStyle name="40% - Ênfase5 11 2" xfId="1466" xr:uid="{00000000-0005-0000-0000-0000B9050000}"/>
    <cellStyle name="40% - Ênfase5 11 3" xfId="1467" xr:uid="{00000000-0005-0000-0000-0000BA050000}"/>
    <cellStyle name="40% - Ênfase5 12" xfId="1468" xr:uid="{00000000-0005-0000-0000-0000BB050000}"/>
    <cellStyle name="40% - Ênfase5 13" xfId="1469" xr:uid="{00000000-0005-0000-0000-0000BC050000}"/>
    <cellStyle name="40% - Ênfase5 14" xfId="1470" xr:uid="{00000000-0005-0000-0000-0000BD050000}"/>
    <cellStyle name="40% - Ênfase5 15" xfId="1471" xr:uid="{00000000-0005-0000-0000-0000BE050000}"/>
    <cellStyle name="40% - Ênfase5 16" xfId="1472" xr:uid="{00000000-0005-0000-0000-0000BF050000}"/>
    <cellStyle name="40% - Ênfase5 17" xfId="1473" xr:uid="{00000000-0005-0000-0000-0000C0050000}"/>
    <cellStyle name="40% - Ênfase5 2" xfId="1474" xr:uid="{00000000-0005-0000-0000-0000C1050000}"/>
    <cellStyle name="40% - Ênfase5 2 2" xfId="1475" xr:uid="{00000000-0005-0000-0000-0000C2050000}"/>
    <cellStyle name="40% - Ênfase5 2 2 2" xfId="1476" xr:uid="{00000000-0005-0000-0000-0000C3050000}"/>
    <cellStyle name="40% - Ênfase5 2 2 2 2" xfId="1477" xr:uid="{00000000-0005-0000-0000-0000C4050000}"/>
    <cellStyle name="40% - Ênfase5 2 2 2 2 2" xfId="1478" xr:uid="{00000000-0005-0000-0000-0000C5050000}"/>
    <cellStyle name="40% - Ênfase5 2 2 2 3" xfId="1479" xr:uid="{00000000-0005-0000-0000-0000C6050000}"/>
    <cellStyle name="40% - Ênfase5 2 2 2 3 2" xfId="1480" xr:uid="{00000000-0005-0000-0000-0000C7050000}"/>
    <cellStyle name="40% - Ênfase5 2 2 2 4" xfId="1481" xr:uid="{00000000-0005-0000-0000-0000C8050000}"/>
    <cellStyle name="40% - Ênfase5 2 2 3" xfId="1482" xr:uid="{00000000-0005-0000-0000-0000C9050000}"/>
    <cellStyle name="40% - Ênfase5 2 2 3 2" xfId="1483" xr:uid="{00000000-0005-0000-0000-0000CA050000}"/>
    <cellStyle name="40% - Ênfase5 2 2 4" xfId="1484" xr:uid="{00000000-0005-0000-0000-0000CB050000}"/>
    <cellStyle name="40% - Ênfase5 2 2 4 2" xfId="1485" xr:uid="{00000000-0005-0000-0000-0000CC050000}"/>
    <cellStyle name="40% - Ênfase5 2 2 5" xfId="1486" xr:uid="{00000000-0005-0000-0000-0000CD050000}"/>
    <cellStyle name="40% - Ênfase5 2 3" xfId="1487" xr:uid="{00000000-0005-0000-0000-0000CE050000}"/>
    <cellStyle name="40% - Ênfase5 2 3 2" xfId="1488" xr:uid="{00000000-0005-0000-0000-0000CF050000}"/>
    <cellStyle name="40% - Ênfase5 2 3 2 2" xfId="1489" xr:uid="{00000000-0005-0000-0000-0000D0050000}"/>
    <cellStyle name="40% - Ênfase5 2 3 3" xfId="1490" xr:uid="{00000000-0005-0000-0000-0000D1050000}"/>
    <cellStyle name="40% - Ênfase5 2 3 3 2" xfId="1491" xr:uid="{00000000-0005-0000-0000-0000D2050000}"/>
    <cellStyle name="40% - Ênfase5 2 3 4" xfId="1492" xr:uid="{00000000-0005-0000-0000-0000D3050000}"/>
    <cellStyle name="40% - Ênfase5 2 4" xfId="1493" xr:uid="{00000000-0005-0000-0000-0000D4050000}"/>
    <cellStyle name="40% - Ênfase5 2 4 2" xfId="1494" xr:uid="{00000000-0005-0000-0000-0000D5050000}"/>
    <cellStyle name="40% - Ênfase5 2 5" xfId="1495" xr:uid="{00000000-0005-0000-0000-0000D6050000}"/>
    <cellStyle name="40% - Ênfase5 2 5 2" xfId="1496" xr:uid="{00000000-0005-0000-0000-0000D7050000}"/>
    <cellStyle name="40% - Ênfase5 2 6" xfId="1497" xr:uid="{00000000-0005-0000-0000-0000D8050000}"/>
    <cellStyle name="40% - Ênfase5 2 7" xfId="1498" xr:uid="{00000000-0005-0000-0000-0000D9050000}"/>
    <cellStyle name="40% - Ênfase5 2_BP_Consolidação" xfId="1499" xr:uid="{00000000-0005-0000-0000-0000DA050000}"/>
    <cellStyle name="40% - Ênfase5 3" xfId="1500" xr:uid="{00000000-0005-0000-0000-0000DB050000}"/>
    <cellStyle name="40% - Ênfase5 3 2" xfId="1501" xr:uid="{00000000-0005-0000-0000-0000DC050000}"/>
    <cellStyle name="40% - Ênfase5 3 2 2" xfId="1502" xr:uid="{00000000-0005-0000-0000-0000DD050000}"/>
    <cellStyle name="40% - Ênfase5 3 2 2 2" xfId="1503" xr:uid="{00000000-0005-0000-0000-0000DE050000}"/>
    <cellStyle name="40% - Ênfase5 3 2 3" xfId="1504" xr:uid="{00000000-0005-0000-0000-0000DF050000}"/>
    <cellStyle name="40% - Ênfase5 3 2 3 2" xfId="1505" xr:uid="{00000000-0005-0000-0000-0000E0050000}"/>
    <cellStyle name="40% - Ênfase5 3 2 4" xfId="1506" xr:uid="{00000000-0005-0000-0000-0000E1050000}"/>
    <cellStyle name="40% - Ênfase5 3 3" xfId="1507" xr:uid="{00000000-0005-0000-0000-0000E2050000}"/>
    <cellStyle name="40% - Ênfase5 3 3 2" xfId="1508" xr:uid="{00000000-0005-0000-0000-0000E3050000}"/>
    <cellStyle name="40% - Ênfase5 3 4" xfId="1509" xr:uid="{00000000-0005-0000-0000-0000E4050000}"/>
    <cellStyle name="40% - Ênfase5 3 4 2" xfId="1510" xr:uid="{00000000-0005-0000-0000-0000E5050000}"/>
    <cellStyle name="40% - Ênfase5 3 5" xfId="1511" xr:uid="{00000000-0005-0000-0000-0000E6050000}"/>
    <cellStyle name="40% - Ênfase5 3 6" xfId="1512" xr:uid="{00000000-0005-0000-0000-0000E7050000}"/>
    <cellStyle name="40% - Ênfase5 3_BP_Consolidação" xfId="1513" xr:uid="{00000000-0005-0000-0000-0000E8050000}"/>
    <cellStyle name="40% - Ênfase5 4" xfId="1514" xr:uid="{00000000-0005-0000-0000-0000E9050000}"/>
    <cellStyle name="40% - Ênfase5 4 2" xfId="1515" xr:uid="{00000000-0005-0000-0000-0000EA050000}"/>
    <cellStyle name="40% - Ênfase5 4 2 2" xfId="1516" xr:uid="{00000000-0005-0000-0000-0000EB050000}"/>
    <cellStyle name="40% - Ênfase5 4 2 2 2" xfId="1517" xr:uid="{00000000-0005-0000-0000-0000EC050000}"/>
    <cellStyle name="40% - Ênfase5 4 2 3" xfId="1518" xr:uid="{00000000-0005-0000-0000-0000ED050000}"/>
    <cellStyle name="40% - Ênfase5 4 2 3 2" xfId="1519" xr:uid="{00000000-0005-0000-0000-0000EE050000}"/>
    <cellStyle name="40% - Ênfase5 4 2 4" xfId="1520" xr:uid="{00000000-0005-0000-0000-0000EF050000}"/>
    <cellStyle name="40% - Ênfase5 4 3" xfId="1521" xr:uid="{00000000-0005-0000-0000-0000F0050000}"/>
    <cellStyle name="40% - Ênfase5 4 3 2" xfId="1522" xr:uid="{00000000-0005-0000-0000-0000F1050000}"/>
    <cellStyle name="40% - Ênfase5 4 4" xfId="1523" xr:uid="{00000000-0005-0000-0000-0000F2050000}"/>
    <cellStyle name="40% - Ênfase5 4 5" xfId="1524" xr:uid="{00000000-0005-0000-0000-0000F3050000}"/>
    <cellStyle name="40% - Ênfase5 4 6" xfId="1525" xr:uid="{00000000-0005-0000-0000-0000F4050000}"/>
    <cellStyle name="40% - Ênfase5 5" xfId="1526" xr:uid="{00000000-0005-0000-0000-0000F5050000}"/>
    <cellStyle name="40% - Ênfase5 5 2" xfId="1527" xr:uid="{00000000-0005-0000-0000-0000F6050000}"/>
    <cellStyle name="40% - Ênfase5 5 2 2" xfId="1528" xr:uid="{00000000-0005-0000-0000-0000F7050000}"/>
    <cellStyle name="40% - Ênfase5 5 2 3" xfId="1529" xr:uid="{00000000-0005-0000-0000-0000F8050000}"/>
    <cellStyle name="40% - Ênfase5 5 3" xfId="1530" xr:uid="{00000000-0005-0000-0000-0000F9050000}"/>
    <cellStyle name="40% - Ênfase5 5 3 2" xfId="1531" xr:uid="{00000000-0005-0000-0000-0000FA050000}"/>
    <cellStyle name="40% - Ênfase5 5 4" xfId="1532" xr:uid="{00000000-0005-0000-0000-0000FB050000}"/>
    <cellStyle name="40% - Ênfase5 5 5" xfId="1533" xr:uid="{00000000-0005-0000-0000-0000FC050000}"/>
    <cellStyle name="40% - Ênfase5 6" xfId="1534" xr:uid="{00000000-0005-0000-0000-0000FD050000}"/>
    <cellStyle name="40% - Ênfase5 7" xfId="1535" xr:uid="{00000000-0005-0000-0000-0000FE050000}"/>
    <cellStyle name="40% - Ênfase5 7 2" xfId="1536" xr:uid="{00000000-0005-0000-0000-0000FF050000}"/>
    <cellStyle name="40% - Ênfase5 7 2 2" xfId="1537" xr:uid="{00000000-0005-0000-0000-000000060000}"/>
    <cellStyle name="40% - Ênfase5 7 2 2 2" xfId="1538" xr:uid="{00000000-0005-0000-0000-000001060000}"/>
    <cellStyle name="40% - Ênfase5 7 2 2 2 2" xfId="1539" xr:uid="{00000000-0005-0000-0000-000002060000}"/>
    <cellStyle name="40% - Ênfase5 7 2 2 2 3" xfId="1540" xr:uid="{00000000-0005-0000-0000-000003060000}"/>
    <cellStyle name="40% - Ênfase5 7 2 2 3" xfId="1541" xr:uid="{00000000-0005-0000-0000-000004060000}"/>
    <cellStyle name="40% - Ênfase5 7 2 2 4" xfId="1542" xr:uid="{00000000-0005-0000-0000-000005060000}"/>
    <cellStyle name="40% - Ênfase5 7 2 3" xfId="1543" xr:uid="{00000000-0005-0000-0000-000006060000}"/>
    <cellStyle name="40% - Ênfase5 7 2 3 2" xfId="1544" xr:uid="{00000000-0005-0000-0000-000007060000}"/>
    <cellStyle name="40% - Ênfase5 7 2 3 3" xfId="1545" xr:uid="{00000000-0005-0000-0000-000008060000}"/>
    <cellStyle name="40% - Ênfase5 7 2 4" xfId="1546" xr:uid="{00000000-0005-0000-0000-000009060000}"/>
    <cellStyle name="40% - Ênfase5 7 2 5" xfId="1547" xr:uid="{00000000-0005-0000-0000-00000A060000}"/>
    <cellStyle name="40% - Ênfase5 7 2 6" xfId="1548" xr:uid="{00000000-0005-0000-0000-00000B060000}"/>
    <cellStyle name="40% - Ênfase5 7 3" xfId="1549" xr:uid="{00000000-0005-0000-0000-00000C060000}"/>
    <cellStyle name="40% - Ênfase5 7 3 2" xfId="1550" xr:uid="{00000000-0005-0000-0000-00000D060000}"/>
    <cellStyle name="40% - Ênfase5 7 3 2 2" xfId="1551" xr:uid="{00000000-0005-0000-0000-00000E060000}"/>
    <cellStyle name="40% - Ênfase5 7 3 2 2 2" xfId="1552" xr:uid="{00000000-0005-0000-0000-00000F060000}"/>
    <cellStyle name="40% - Ênfase5 7 3 2 2 3" xfId="1553" xr:uid="{00000000-0005-0000-0000-000010060000}"/>
    <cellStyle name="40% - Ênfase5 7 3 2 3" xfId="1554" xr:uid="{00000000-0005-0000-0000-000011060000}"/>
    <cellStyle name="40% - Ênfase5 7 3 2 4" xfId="1555" xr:uid="{00000000-0005-0000-0000-000012060000}"/>
    <cellStyle name="40% - Ênfase5 7 3 3" xfId="1556" xr:uid="{00000000-0005-0000-0000-000013060000}"/>
    <cellStyle name="40% - Ênfase5 7 3 3 2" xfId="1557" xr:uid="{00000000-0005-0000-0000-000014060000}"/>
    <cellStyle name="40% - Ênfase5 7 3 3 3" xfId="1558" xr:uid="{00000000-0005-0000-0000-000015060000}"/>
    <cellStyle name="40% - Ênfase5 7 3 4" xfId="1559" xr:uid="{00000000-0005-0000-0000-000016060000}"/>
    <cellStyle name="40% - Ênfase5 7 3 5" xfId="1560" xr:uid="{00000000-0005-0000-0000-000017060000}"/>
    <cellStyle name="40% - Ênfase5 7 4" xfId="1561" xr:uid="{00000000-0005-0000-0000-000018060000}"/>
    <cellStyle name="40% - Ênfase5 7 4 2" xfId="1562" xr:uid="{00000000-0005-0000-0000-000019060000}"/>
    <cellStyle name="40% - Ênfase5 7 4 2 2" xfId="1563" xr:uid="{00000000-0005-0000-0000-00001A060000}"/>
    <cellStyle name="40% - Ênfase5 7 4 2 3" xfId="1564" xr:uid="{00000000-0005-0000-0000-00001B060000}"/>
    <cellStyle name="40% - Ênfase5 7 4 3" xfId="1565" xr:uid="{00000000-0005-0000-0000-00001C060000}"/>
    <cellStyle name="40% - Ênfase5 7 4 4" xfId="1566" xr:uid="{00000000-0005-0000-0000-00001D060000}"/>
    <cellStyle name="40% - Ênfase5 7 5" xfId="1567" xr:uid="{00000000-0005-0000-0000-00001E060000}"/>
    <cellStyle name="40% - Ênfase5 7 5 2" xfId="1568" xr:uid="{00000000-0005-0000-0000-00001F060000}"/>
    <cellStyle name="40% - Ênfase5 7 5 3" xfId="1569" xr:uid="{00000000-0005-0000-0000-000020060000}"/>
    <cellStyle name="40% - Ênfase5 7 6" xfId="1570" xr:uid="{00000000-0005-0000-0000-000021060000}"/>
    <cellStyle name="40% - Ênfase5 7 7" xfId="1571" xr:uid="{00000000-0005-0000-0000-000022060000}"/>
    <cellStyle name="40% - Ênfase5 7 8" xfId="1572" xr:uid="{00000000-0005-0000-0000-000023060000}"/>
    <cellStyle name="40% - Ênfase5 8" xfId="1573" xr:uid="{00000000-0005-0000-0000-000024060000}"/>
    <cellStyle name="40% - Ênfase5 8 2" xfId="1574" xr:uid="{00000000-0005-0000-0000-000025060000}"/>
    <cellStyle name="40% - Ênfase5 8 2 2" xfId="1575" xr:uid="{00000000-0005-0000-0000-000026060000}"/>
    <cellStyle name="40% - Ênfase5 8 2 3" xfId="1576" xr:uid="{00000000-0005-0000-0000-000027060000}"/>
    <cellStyle name="40% - Ênfase5 8 3" xfId="1577" xr:uid="{00000000-0005-0000-0000-000028060000}"/>
    <cellStyle name="40% - Ênfase5 8 3 2" xfId="1578" xr:uid="{00000000-0005-0000-0000-000029060000}"/>
    <cellStyle name="40% - Ênfase5 8 4" xfId="1579" xr:uid="{00000000-0005-0000-0000-00002A060000}"/>
    <cellStyle name="40% - Ênfase5 8 5" xfId="1580" xr:uid="{00000000-0005-0000-0000-00002B060000}"/>
    <cellStyle name="40% - Ênfase5 9" xfId="1581" xr:uid="{00000000-0005-0000-0000-00002C060000}"/>
    <cellStyle name="40% - Ênfase5 9 2" xfId="1582" xr:uid="{00000000-0005-0000-0000-00002D060000}"/>
    <cellStyle name="40% - Ênfase5 9 2 2" xfId="1583" xr:uid="{00000000-0005-0000-0000-00002E060000}"/>
    <cellStyle name="40% - Ênfase5 9 2 2 2" xfId="1584" xr:uid="{00000000-0005-0000-0000-00002F060000}"/>
    <cellStyle name="40% - Ênfase5 9 2 2 2 2" xfId="1585" xr:uid="{00000000-0005-0000-0000-000030060000}"/>
    <cellStyle name="40% - Ênfase5 9 2 2 2 3" xfId="1586" xr:uid="{00000000-0005-0000-0000-000031060000}"/>
    <cellStyle name="40% - Ênfase5 9 2 2 3" xfId="1587" xr:uid="{00000000-0005-0000-0000-000032060000}"/>
    <cellStyle name="40% - Ênfase5 9 2 2 4" xfId="1588" xr:uid="{00000000-0005-0000-0000-000033060000}"/>
    <cellStyle name="40% - Ênfase5 9 2 3" xfId="1589" xr:uid="{00000000-0005-0000-0000-000034060000}"/>
    <cellStyle name="40% - Ênfase5 9 2 3 2" xfId="1590" xr:uid="{00000000-0005-0000-0000-000035060000}"/>
    <cellStyle name="40% - Ênfase5 9 2 3 3" xfId="1591" xr:uid="{00000000-0005-0000-0000-000036060000}"/>
    <cellStyle name="40% - Ênfase5 9 2 4" xfId="1592" xr:uid="{00000000-0005-0000-0000-000037060000}"/>
    <cellStyle name="40% - Ênfase5 9 2 5" xfId="1593" xr:uid="{00000000-0005-0000-0000-000038060000}"/>
    <cellStyle name="40% - Ênfase5 9 2 6" xfId="1594" xr:uid="{00000000-0005-0000-0000-000039060000}"/>
    <cellStyle name="40% - Ênfase5 9 3" xfId="1595" xr:uid="{00000000-0005-0000-0000-00003A060000}"/>
    <cellStyle name="40% - Ênfase5 9 3 2" xfId="1596" xr:uid="{00000000-0005-0000-0000-00003B060000}"/>
    <cellStyle name="40% - Ênfase5 9 3 2 2" xfId="1597" xr:uid="{00000000-0005-0000-0000-00003C060000}"/>
    <cellStyle name="40% - Ênfase5 9 3 2 3" xfId="1598" xr:uid="{00000000-0005-0000-0000-00003D060000}"/>
    <cellStyle name="40% - Ênfase5 9 3 3" xfId="1599" xr:uid="{00000000-0005-0000-0000-00003E060000}"/>
    <cellStyle name="40% - Ênfase5 9 3 4" xfId="1600" xr:uid="{00000000-0005-0000-0000-00003F060000}"/>
    <cellStyle name="40% - Ênfase5 9 4" xfId="1601" xr:uid="{00000000-0005-0000-0000-000040060000}"/>
    <cellStyle name="40% - Ênfase5 9 4 2" xfId="1602" xr:uid="{00000000-0005-0000-0000-000041060000}"/>
    <cellStyle name="40% - Ênfase5 9 4 3" xfId="1603" xr:uid="{00000000-0005-0000-0000-000042060000}"/>
    <cellStyle name="40% - Ênfase5 9 5" xfId="1604" xr:uid="{00000000-0005-0000-0000-000043060000}"/>
    <cellStyle name="40% - Ênfase5 9 6" xfId="1605" xr:uid="{00000000-0005-0000-0000-000044060000}"/>
    <cellStyle name="40% - Ênfase5 9 7" xfId="1606" xr:uid="{00000000-0005-0000-0000-000045060000}"/>
    <cellStyle name="40% - Ênfase6" xfId="1607" builtinId="51" customBuiltin="1"/>
    <cellStyle name="40% - Ênfase6 10" xfId="1608" xr:uid="{00000000-0005-0000-0000-000047060000}"/>
    <cellStyle name="40% - Ênfase6 10 2" xfId="1609" xr:uid="{00000000-0005-0000-0000-000048060000}"/>
    <cellStyle name="40% - Ênfase6 10 3" xfId="1610" xr:uid="{00000000-0005-0000-0000-000049060000}"/>
    <cellStyle name="40% - Ênfase6 11" xfId="1611" xr:uid="{00000000-0005-0000-0000-00004A060000}"/>
    <cellStyle name="40% - Ênfase6 11 2" xfId="1612" xr:uid="{00000000-0005-0000-0000-00004B060000}"/>
    <cellStyle name="40% - Ênfase6 11 3" xfId="1613" xr:uid="{00000000-0005-0000-0000-00004C060000}"/>
    <cellStyle name="40% - Ênfase6 12" xfId="1614" xr:uid="{00000000-0005-0000-0000-00004D060000}"/>
    <cellStyle name="40% - Ênfase6 13" xfId="1615" xr:uid="{00000000-0005-0000-0000-00004E060000}"/>
    <cellStyle name="40% - Ênfase6 14" xfId="1616" xr:uid="{00000000-0005-0000-0000-00004F060000}"/>
    <cellStyle name="40% - Ênfase6 15" xfId="1617" xr:uid="{00000000-0005-0000-0000-000050060000}"/>
    <cellStyle name="40% - Ênfase6 16" xfId="1618" xr:uid="{00000000-0005-0000-0000-000051060000}"/>
    <cellStyle name="40% - Ênfase6 17" xfId="1619" xr:uid="{00000000-0005-0000-0000-000052060000}"/>
    <cellStyle name="40% - Ênfase6 2" xfId="1620" xr:uid="{00000000-0005-0000-0000-000053060000}"/>
    <cellStyle name="40% - Ênfase6 2 2" xfId="1621" xr:uid="{00000000-0005-0000-0000-000054060000}"/>
    <cellStyle name="40% - Ênfase6 2 2 2" xfId="1622" xr:uid="{00000000-0005-0000-0000-000055060000}"/>
    <cellStyle name="40% - Ênfase6 2 2 2 2" xfId="1623" xr:uid="{00000000-0005-0000-0000-000056060000}"/>
    <cellStyle name="40% - Ênfase6 2 2 2 2 2" xfId="1624" xr:uid="{00000000-0005-0000-0000-000057060000}"/>
    <cellStyle name="40% - Ênfase6 2 2 2 3" xfId="1625" xr:uid="{00000000-0005-0000-0000-000058060000}"/>
    <cellStyle name="40% - Ênfase6 2 2 2 3 2" xfId="1626" xr:uid="{00000000-0005-0000-0000-000059060000}"/>
    <cellStyle name="40% - Ênfase6 2 2 2 4" xfId="1627" xr:uid="{00000000-0005-0000-0000-00005A060000}"/>
    <cellStyle name="40% - Ênfase6 2 2 3" xfId="1628" xr:uid="{00000000-0005-0000-0000-00005B060000}"/>
    <cellStyle name="40% - Ênfase6 2 2 3 2" xfId="1629" xr:uid="{00000000-0005-0000-0000-00005C060000}"/>
    <cellStyle name="40% - Ênfase6 2 2 4" xfId="1630" xr:uid="{00000000-0005-0000-0000-00005D060000}"/>
    <cellStyle name="40% - Ênfase6 2 2 4 2" xfId="1631" xr:uid="{00000000-0005-0000-0000-00005E060000}"/>
    <cellStyle name="40% - Ênfase6 2 2 5" xfId="1632" xr:uid="{00000000-0005-0000-0000-00005F060000}"/>
    <cellStyle name="40% - Ênfase6 2 3" xfId="1633" xr:uid="{00000000-0005-0000-0000-000060060000}"/>
    <cellStyle name="40% - Ênfase6 2 3 2" xfId="1634" xr:uid="{00000000-0005-0000-0000-000061060000}"/>
    <cellStyle name="40% - Ênfase6 2 3 2 2" xfId="1635" xr:uid="{00000000-0005-0000-0000-000062060000}"/>
    <cellStyle name="40% - Ênfase6 2 3 3" xfId="1636" xr:uid="{00000000-0005-0000-0000-000063060000}"/>
    <cellStyle name="40% - Ênfase6 2 3 3 2" xfId="1637" xr:uid="{00000000-0005-0000-0000-000064060000}"/>
    <cellStyle name="40% - Ênfase6 2 3 4" xfId="1638" xr:uid="{00000000-0005-0000-0000-000065060000}"/>
    <cellStyle name="40% - Ênfase6 2 4" xfId="1639" xr:uid="{00000000-0005-0000-0000-000066060000}"/>
    <cellStyle name="40% - Ênfase6 2 4 2" xfId="1640" xr:uid="{00000000-0005-0000-0000-000067060000}"/>
    <cellStyle name="40% - Ênfase6 2 5" xfId="1641" xr:uid="{00000000-0005-0000-0000-000068060000}"/>
    <cellStyle name="40% - Ênfase6 2 5 2" xfId="1642" xr:uid="{00000000-0005-0000-0000-000069060000}"/>
    <cellStyle name="40% - Ênfase6 2 6" xfId="1643" xr:uid="{00000000-0005-0000-0000-00006A060000}"/>
    <cellStyle name="40% - Ênfase6 2 7" xfId="1644" xr:uid="{00000000-0005-0000-0000-00006B060000}"/>
    <cellStyle name="40% - Ênfase6 2_BP_Consolidação" xfId="1645" xr:uid="{00000000-0005-0000-0000-00006C060000}"/>
    <cellStyle name="40% - Ênfase6 3" xfId="1646" xr:uid="{00000000-0005-0000-0000-00006D060000}"/>
    <cellStyle name="40% - Ênfase6 3 2" xfId="1647" xr:uid="{00000000-0005-0000-0000-00006E060000}"/>
    <cellStyle name="40% - Ênfase6 3 2 2" xfId="1648" xr:uid="{00000000-0005-0000-0000-00006F060000}"/>
    <cellStyle name="40% - Ênfase6 3 2 2 2" xfId="1649" xr:uid="{00000000-0005-0000-0000-000070060000}"/>
    <cellStyle name="40% - Ênfase6 3 2 3" xfId="1650" xr:uid="{00000000-0005-0000-0000-000071060000}"/>
    <cellStyle name="40% - Ênfase6 3 2 3 2" xfId="1651" xr:uid="{00000000-0005-0000-0000-000072060000}"/>
    <cellStyle name="40% - Ênfase6 3 2 4" xfId="1652" xr:uid="{00000000-0005-0000-0000-000073060000}"/>
    <cellStyle name="40% - Ênfase6 3 3" xfId="1653" xr:uid="{00000000-0005-0000-0000-000074060000}"/>
    <cellStyle name="40% - Ênfase6 3 3 2" xfId="1654" xr:uid="{00000000-0005-0000-0000-000075060000}"/>
    <cellStyle name="40% - Ênfase6 3 4" xfId="1655" xr:uid="{00000000-0005-0000-0000-000076060000}"/>
    <cellStyle name="40% - Ênfase6 3 4 2" xfId="1656" xr:uid="{00000000-0005-0000-0000-000077060000}"/>
    <cellStyle name="40% - Ênfase6 3 5" xfId="1657" xr:uid="{00000000-0005-0000-0000-000078060000}"/>
    <cellStyle name="40% - Ênfase6 3 6" xfId="1658" xr:uid="{00000000-0005-0000-0000-000079060000}"/>
    <cellStyle name="40% - Ênfase6 3_BP_Consolidação" xfId="1659" xr:uid="{00000000-0005-0000-0000-00007A060000}"/>
    <cellStyle name="40% - Ênfase6 4" xfId="1660" xr:uid="{00000000-0005-0000-0000-00007B060000}"/>
    <cellStyle name="40% - Ênfase6 4 2" xfId="1661" xr:uid="{00000000-0005-0000-0000-00007C060000}"/>
    <cellStyle name="40% - Ênfase6 4 2 2" xfId="1662" xr:uid="{00000000-0005-0000-0000-00007D060000}"/>
    <cellStyle name="40% - Ênfase6 4 2 2 2" xfId="1663" xr:uid="{00000000-0005-0000-0000-00007E060000}"/>
    <cellStyle name="40% - Ênfase6 4 2 3" xfId="1664" xr:uid="{00000000-0005-0000-0000-00007F060000}"/>
    <cellStyle name="40% - Ênfase6 4 2 3 2" xfId="1665" xr:uid="{00000000-0005-0000-0000-000080060000}"/>
    <cellStyle name="40% - Ênfase6 4 2 4" xfId="1666" xr:uid="{00000000-0005-0000-0000-000081060000}"/>
    <cellStyle name="40% - Ênfase6 4 3" xfId="1667" xr:uid="{00000000-0005-0000-0000-000082060000}"/>
    <cellStyle name="40% - Ênfase6 4 3 2" xfId="1668" xr:uid="{00000000-0005-0000-0000-000083060000}"/>
    <cellStyle name="40% - Ênfase6 4 4" xfId="1669" xr:uid="{00000000-0005-0000-0000-000084060000}"/>
    <cellStyle name="40% - Ênfase6 4 5" xfId="1670" xr:uid="{00000000-0005-0000-0000-000085060000}"/>
    <cellStyle name="40% - Ênfase6 4 6" xfId="1671" xr:uid="{00000000-0005-0000-0000-000086060000}"/>
    <cellStyle name="40% - Ênfase6 5" xfId="1672" xr:uid="{00000000-0005-0000-0000-000087060000}"/>
    <cellStyle name="40% - Ênfase6 5 2" xfId="1673" xr:uid="{00000000-0005-0000-0000-000088060000}"/>
    <cellStyle name="40% - Ênfase6 5 2 2" xfId="1674" xr:uid="{00000000-0005-0000-0000-000089060000}"/>
    <cellStyle name="40% - Ênfase6 5 2 3" xfId="1675" xr:uid="{00000000-0005-0000-0000-00008A060000}"/>
    <cellStyle name="40% - Ênfase6 5 3" xfId="1676" xr:uid="{00000000-0005-0000-0000-00008B060000}"/>
    <cellStyle name="40% - Ênfase6 5 3 2" xfId="1677" xr:uid="{00000000-0005-0000-0000-00008C060000}"/>
    <cellStyle name="40% - Ênfase6 5 4" xfId="1678" xr:uid="{00000000-0005-0000-0000-00008D060000}"/>
    <cellStyle name="40% - Ênfase6 5 5" xfId="1679" xr:uid="{00000000-0005-0000-0000-00008E060000}"/>
    <cellStyle name="40% - Ênfase6 6" xfId="1680" xr:uid="{00000000-0005-0000-0000-00008F060000}"/>
    <cellStyle name="40% - Ênfase6 7" xfId="1681" xr:uid="{00000000-0005-0000-0000-000090060000}"/>
    <cellStyle name="40% - Ênfase6 7 2" xfId="1682" xr:uid="{00000000-0005-0000-0000-000091060000}"/>
    <cellStyle name="40% - Ênfase6 7 2 2" xfId="1683" xr:uid="{00000000-0005-0000-0000-000092060000}"/>
    <cellStyle name="40% - Ênfase6 7 2 2 2" xfId="1684" xr:uid="{00000000-0005-0000-0000-000093060000}"/>
    <cellStyle name="40% - Ênfase6 7 2 2 2 2" xfId="1685" xr:uid="{00000000-0005-0000-0000-000094060000}"/>
    <cellStyle name="40% - Ênfase6 7 2 2 2 3" xfId="1686" xr:uid="{00000000-0005-0000-0000-000095060000}"/>
    <cellStyle name="40% - Ênfase6 7 2 2 3" xfId="1687" xr:uid="{00000000-0005-0000-0000-000096060000}"/>
    <cellStyle name="40% - Ênfase6 7 2 2 4" xfId="1688" xr:uid="{00000000-0005-0000-0000-000097060000}"/>
    <cellStyle name="40% - Ênfase6 7 2 3" xfId="1689" xr:uid="{00000000-0005-0000-0000-000098060000}"/>
    <cellStyle name="40% - Ênfase6 7 2 3 2" xfId="1690" xr:uid="{00000000-0005-0000-0000-000099060000}"/>
    <cellStyle name="40% - Ênfase6 7 2 3 3" xfId="1691" xr:uid="{00000000-0005-0000-0000-00009A060000}"/>
    <cellStyle name="40% - Ênfase6 7 2 4" xfId="1692" xr:uid="{00000000-0005-0000-0000-00009B060000}"/>
    <cellStyle name="40% - Ênfase6 7 2 5" xfId="1693" xr:uid="{00000000-0005-0000-0000-00009C060000}"/>
    <cellStyle name="40% - Ênfase6 7 2 6" xfId="1694" xr:uid="{00000000-0005-0000-0000-00009D060000}"/>
    <cellStyle name="40% - Ênfase6 7 3" xfId="1695" xr:uid="{00000000-0005-0000-0000-00009E060000}"/>
    <cellStyle name="40% - Ênfase6 7 3 2" xfId="1696" xr:uid="{00000000-0005-0000-0000-00009F060000}"/>
    <cellStyle name="40% - Ênfase6 7 3 2 2" xfId="1697" xr:uid="{00000000-0005-0000-0000-0000A0060000}"/>
    <cellStyle name="40% - Ênfase6 7 3 2 2 2" xfId="1698" xr:uid="{00000000-0005-0000-0000-0000A1060000}"/>
    <cellStyle name="40% - Ênfase6 7 3 2 2 3" xfId="1699" xr:uid="{00000000-0005-0000-0000-0000A2060000}"/>
    <cellStyle name="40% - Ênfase6 7 3 2 3" xfId="1700" xr:uid="{00000000-0005-0000-0000-0000A3060000}"/>
    <cellStyle name="40% - Ênfase6 7 3 2 4" xfId="1701" xr:uid="{00000000-0005-0000-0000-0000A4060000}"/>
    <cellStyle name="40% - Ênfase6 7 3 3" xfId="1702" xr:uid="{00000000-0005-0000-0000-0000A5060000}"/>
    <cellStyle name="40% - Ênfase6 7 3 3 2" xfId="1703" xr:uid="{00000000-0005-0000-0000-0000A6060000}"/>
    <cellStyle name="40% - Ênfase6 7 3 3 3" xfId="1704" xr:uid="{00000000-0005-0000-0000-0000A7060000}"/>
    <cellStyle name="40% - Ênfase6 7 3 4" xfId="1705" xr:uid="{00000000-0005-0000-0000-0000A8060000}"/>
    <cellStyle name="40% - Ênfase6 7 3 5" xfId="1706" xr:uid="{00000000-0005-0000-0000-0000A9060000}"/>
    <cellStyle name="40% - Ênfase6 7 4" xfId="1707" xr:uid="{00000000-0005-0000-0000-0000AA060000}"/>
    <cellStyle name="40% - Ênfase6 7 4 2" xfId="1708" xr:uid="{00000000-0005-0000-0000-0000AB060000}"/>
    <cellStyle name="40% - Ênfase6 7 4 2 2" xfId="1709" xr:uid="{00000000-0005-0000-0000-0000AC060000}"/>
    <cellStyle name="40% - Ênfase6 7 4 2 3" xfId="1710" xr:uid="{00000000-0005-0000-0000-0000AD060000}"/>
    <cellStyle name="40% - Ênfase6 7 4 3" xfId="1711" xr:uid="{00000000-0005-0000-0000-0000AE060000}"/>
    <cellStyle name="40% - Ênfase6 7 4 4" xfId="1712" xr:uid="{00000000-0005-0000-0000-0000AF060000}"/>
    <cellStyle name="40% - Ênfase6 7 5" xfId="1713" xr:uid="{00000000-0005-0000-0000-0000B0060000}"/>
    <cellStyle name="40% - Ênfase6 7 5 2" xfId="1714" xr:uid="{00000000-0005-0000-0000-0000B1060000}"/>
    <cellStyle name="40% - Ênfase6 7 5 3" xfId="1715" xr:uid="{00000000-0005-0000-0000-0000B2060000}"/>
    <cellStyle name="40% - Ênfase6 7 6" xfId="1716" xr:uid="{00000000-0005-0000-0000-0000B3060000}"/>
    <cellStyle name="40% - Ênfase6 7 7" xfId="1717" xr:uid="{00000000-0005-0000-0000-0000B4060000}"/>
    <cellStyle name="40% - Ênfase6 7 8" xfId="1718" xr:uid="{00000000-0005-0000-0000-0000B5060000}"/>
    <cellStyle name="40% - Ênfase6 8" xfId="1719" xr:uid="{00000000-0005-0000-0000-0000B6060000}"/>
    <cellStyle name="40% - Ênfase6 8 2" xfId="1720" xr:uid="{00000000-0005-0000-0000-0000B7060000}"/>
    <cellStyle name="40% - Ênfase6 8 2 2" xfId="1721" xr:uid="{00000000-0005-0000-0000-0000B8060000}"/>
    <cellStyle name="40% - Ênfase6 8 2 3" xfId="1722" xr:uid="{00000000-0005-0000-0000-0000B9060000}"/>
    <cellStyle name="40% - Ênfase6 8 3" xfId="1723" xr:uid="{00000000-0005-0000-0000-0000BA060000}"/>
    <cellStyle name="40% - Ênfase6 8 3 2" xfId="1724" xr:uid="{00000000-0005-0000-0000-0000BB060000}"/>
    <cellStyle name="40% - Ênfase6 8 4" xfId="1725" xr:uid="{00000000-0005-0000-0000-0000BC060000}"/>
    <cellStyle name="40% - Ênfase6 8 5" xfId="1726" xr:uid="{00000000-0005-0000-0000-0000BD060000}"/>
    <cellStyle name="40% - Ênfase6 9" xfId="1727" xr:uid="{00000000-0005-0000-0000-0000BE060000}"/>
    <cellStyle name="40% - Ênfase6 9 2" xfId="1728" xr:uid="{00000000-0005-0000-0000-0000BF060000}"/>
    <cellStyle name="40% - Ênfase6 9 2 2" xfId="1729" xr:uid="{00000000-0005-0000-0000-0000C0060000}"/>
    <cellStyle name="40% - Ênfase6 9 2 2 2" xfId="1730" xr:uid="{00000000-0005-0000-0000-0000C1060000}"/>
    <cellStyle name="40% - Ênfase6 9 2 2 2 2" xfId="1731" xr:uid="{00000000-0005-0000-0000-0000C2060000}"/>
    <cellStyle name="40% - Ênfase6 9 2 2 2 3" xfId="1732" xr:uid="{00000000-0005-0000-0000-0000C3060000}"/>
    <cellStyle name="40% - Ênfase6 9 2 2 3" xfId="1733" xr:uid="{00000000-0005-0000-0000-0000C4060000}"/>
    <cellStyle name="40% - Ênfase6 9 2 2 4" xfId="1734" xr:uid="{00000000-0005-0000-0000-0000C5060000}"/>
    <cellStyle name="40% - Ênfase6 9 2 3" xfId="1735" xr:uid="{00000000-0005-0000-0000-0000C6060000}"/>
    <cellStyle name="40% - Ênfase6 9 2 3 2" xfId="1736" xr:uid="{00000000-0005-0000-0000-0000C7060000}"/>
    <cellStyle name="40% - Ênfase6 9 2 3 3" xfId="1737" xr:uid="{00000000-0005-0000-0000-0000C8060000}"/>
    <cellStyle name="40% - Ênfase6 9 2 4" xfId="1738" xr:uid="{00000000-0005-0000-0000-0000C9060000}"/>
    <cellStyle name="40% - Ênfase6 9 2 5" xfId="1739" xr:uid="{00000000-0005-0000-0000-0000CA060000}"/>
    <cellStyle name="40% - Ênfase6 9 2 6" xfId="1740" xr:uid="{00000000-0005-0000-0000-0000CB060000}"/>
    <cellStyle name="40% - Ênfase6 9 3" xfId="1741" xr:uid="{00000000-0005-0000-0000-0000CC060000}"/>
    <cellStyle name="40% - Ênfase6 9 3 2" xfId="1742" xr:uid="{00000000-0005-0000-0000-0000CD060000}"/>
    <cellStyle name="40% - Ênfase6 9 3 2 2" xfId="1743" xr:uid="{00000000-0005-0000-0000-0000CE060000}"/>
    <cellStyle name="40% - Ênfase6 9 3 2 3" xfId="1744" xr:uid="{00000000-0005-0000-0000-0000CF060000}"/>
    <cellStyle name="40% - Ênfase6 9 3 3" xfId="1745" xr:uid="{00000000-0005-0000-0000-0000D0060000}"/>
    <cellStyle name="40% - Ênfase6 9 3 4" xfId="1746" xr:uid="{00000000-0005-0000-0000-0000D1060000}"/>
    <cellStyle name="40% - Ênfase6 9 4" xfId="1747" xr:uid="{00000000-0005-0000-0000-0000D2060000}"/>
    <cellStyle name="40% - Ênfase6 9 4 2" xfId="1748" xr:uid="{00000000-0005-0000-0000-0000D3060000}"/>
    <cellStyle name="40% - Ênfase6 9 4 3" xfId="1749" xr:uid="{00000000-0005-0000-0000-0000D4060000}"/>
    <cellStyle name="40% - Ênfase6 9 5" xfId="1750" xr:uid="{00000000-0005-0000-0000-0000D5060000}"/>
    <cellStyle name="40% - Ênfase6 9 6" xfId="1751" xr:uid="{00000000-0005-0000-0000-0000D6060000}"/>
    <cellStyle name="40% - Ênfase6 9 7" xfId="1752" xr:uid="{00000000-0005-0000-0000-0000D7060000}"/>
    <cellStyle name="60% - Ênfase1" xfId="1753" builtinId="32" customBuiltin="1"/>
    <cellStyle name="60% - Ênfase1 2" xfId="1754" xr:uid="{00000000-0005-0000-0000-0000D9060000}"/>
    <cellStyle name="60% - Ênfase1 2 2" xfId="1755" xr:uid="{00000000-0005-0000-0000-0000DA060000}"/>
    <cellStyle name="60% - Ênfase1 2 3" xfId="1756" xr:uid="{00000000-0005-0000-0000-0000DB060000}"/>
    <cellStyle name="60% - Ênfase1 2 4" xfId="1757" xr:uid="{00000000-0005-0000-0000-0000DC060000}"/>
    <cellStyle name="60% - Ênfase1 3" xfId="1758" xr:uid="{00000000-0005-0000-0000-0000DD060000}"/>
    <cellStyle name="60% - Ênfase1 3 2" xfId="1759" xr:uid="{00000000-0005-0000-0000-0000DE060000}"/>
    <cellStyle name="60% - Ênfase1 3 3" xfId="1760" xr:uid="{00000000-0005-0000-0000-0000DF060000}"/>
    <cellStyle name="60% - Ênfase1 4" xfId="1761" xr:uid="{00000000-0005-0000-0000-0000E0060000}"/>
    <cellStyle name="60% - Ênfase1 5" xfId="1762" xr:uid="{00000000-0005-0000-0000-0000E1060000}"/>
    <cellStyle name="60% - Ênfase2" xfId="1763" builtinId="36" customBuiltin="1"/>
    <cellStyle name="60% - Ênfase2 2" xfId="1764" xr:uid="{00000000-0005-0000-0000-0000E3060000}"/>
    <cellStyle name="60% - Ênfase2 2 2" xfId="1765" xr:uid="{00000000-0005-0000-0000-0000E4060000}"/>
    <cellStyle name="60% - Ênfase2 2 3" xfId="1766" xr:uid="{00000000-0005-0000-0000-0000E5060000}"/>
    <cellStyle name="60% - Ênfase2 2 4" xfId="1767" xr:uid="{00000000-0005-0000-0000-0000E6060000}"/>
    <cellStyle name="60% - Ênfase2 3" xfId="1768" xr:uid="{00000000-0005-0000-0000-0000E7060000}"/>
    <cellStyle name="60% - Ênfase2 3 2" xfId="1769" xr:uid="{00000000-0005-0000-0000-0000E8060000}"/>
    <cellStyle name="60% - Ênfase2 3 3" xfId="1770" xr:uid="{00000000-0005-0000-0000-0000E9060000}"/>
    <cellStyle name="60% - Ênfase2 4" xfId="1771" xr:uid="{00000000-0005-0000-0000-0000EA060000}"/>
    <cellStyle name="60% - Ênfase2 5" xfId="1772" xr:uid="{00000000-0005-0000-0000-0000EB060000}"/>
    <cellStyle name="60% - Ênfase3" xfId="1773" builtinId="40" customBuiltin="1"/>
    <cellStyle name="60% - Ênfase3 2" xfId="1774" xr:uid="{00000000-0005-0000-0000-0000ED060000}"/>
    <cellStyle name="60% - Ênfase3 2 2" xfId="1775" xr:uid="{00000000-0005-0000-0000-0000EE060000}"/>
    <cellStyle name="60% - Ênfase3 2 3" xfId="1776" xr:uid="{00000000-0005-0000-0000-0000EF060000}"/>
    <cellStyle name="60% - Ênfase3 2_BP_Consolidação" xfId="1777" xr:uid="{00000000-0005-0000-0000-0000F0060000}"/>
    <cellStyle name="60% - Ênfase3 3" xfId="1778" xr:uid="{00000000-0005-0000-0000-0000F1060000}"/>
    <cellStyle name="60% - Ênfase3 3 2" xfId="1779" xr:uid="{00000000-0005-0000-0000-0000F2060000}"/>
    <cellStyle name="60% - Ênfase3 3 3" xfId="1780" xr:uid="{00000000-0005-0000-0000-0000F3060000}"/>
    <cellStyle name="60% - Ênfase3 3_BP_Consolidação" xfId="1781" xr:uid="{00000000-0005-0000-0000-0000F4060000}"/>
    <cellStyle name="60% - Ênfase3 4" xfId="1782" xr:uid="{00000000-0005-0000-0000-0000F5060000}"/>
    <cellStyle name="60% - Ênfase3 5" xfId="1783" xr:uid="{00000000-0005-0000-0000-0000F6060000}"/>
    <cellStyle name="60% - Ênfase3 6" xfId="1784" xr:uid="{00000000-0005-0000-0000-0000F7060000}"/>
    <cellStyle name="60% - Ênfase4" xfId="1785" builtinId="44" customBuiltin="1"/>
    <cellStyle name="60% - Ênfase4 2" xfId="1786" xr:uid="{00000000-0005-0000-0000-0000F9060000}"/>
    <cellStyle name="60% - Ênfase4 2 2" xfId="1787" xr:uid="{00000000-0005-0000-0000-0000FA060000}"/>
    <cellStyle name="60% - Ênfase4 2 3" xfId="1788" xr:uid="{00000000-0005-0000-0000-0000FB060000}"/>
    <cellStyle name="60% - Ênfase4 2_BP_Consolidação" xfId="1789" xr:uid="{00000000-0005-0000-0000-0000FC060000}"/>
    <cellStyle name="60% - Ênfase4 3" xfId="1790" xr:uid="{00000000-0005-0000-0000-0000FD060000}"/>
    <cellStyle name="60% - Ênfase4 3 2" xfId="1791" xr:uid="{00000000-0005-0000-0000-0000FE060000}"/>
    <cellStyle name="60% - Ênfase4 3 3" xfId="1792" xr:uid="{00000000-0005-0000-0000-0000FF060000}"/>
    <cellStyle name="60% - Ênfase4 3_BP_Consolidação" xfId="1793" xr:uid="{00000000-0005-0000-0000-000000070000}"/>
    <cellStyle name="60% - Ênfase4 4" xfId="1794" xr:uid="{00000000-0005-0000-0000-000001070000}"/>
    <cellStyle name="60% - Ênfase4 5" xfId="1795" xr:uid="{00000000-0005-0000-0000-000002070000}"/>
    <cellStyle name="60% - Ênfase4 6" xfId="1796" xr:uid="{00000000-0005-0000-0000-000003070000}"/>
    <cellStyle name="60% - Ênfase5" xfId="1797" builtinId="48" customBuiltin="1"/>
    <cellStyle name="60% - Ênfase5 2" xfId="1798" xr:uid="{00000000-0005-0000-0000-000005070000}"/>
    <cellStyle name="60% - Ênfase5 2 2" xfId="1799" xr:uid="{00000000-0005-0000-0000-000006070000}"/>
    <cellStyle name="60% - Ênfase5 2 3" xfId="1800" xr:uid="{00000000-0005-0000-0000-000007070000}"/>
    <cellStyle name="60% - Ênfase5 2 4" xfId="1801" xr:uid="{00000000-0005-0000-0000-000008070000}"/>
    <cellStyle name="60% - Ênfase5 3" xfId="1802" xr:uid="{00000000-0005-0000-0000-000009070000}"/>
    <cellStyle name="60% - Ênfase5 3 2" xfId="1803" xr:uid="{00000000-0005-0000-0000-00000A070000}"/>
    <cellStyle name="60% - Ênfase5 3 3" xfId="1804" xr:uid="{00000000-0005-0000-0000-00000B070000}"/>
    <cellStyle name="60% - Ênfase5 4" xfId="1805" xr:uid="{00000000-0005-0000-0000-00000C070000}"/>
    <cellStyle name="60% - Ênfase5 5" xfId="1806" xr:uid="{00000000-0005-0000-0000-00000D070000}"/>
    <cellStyle name="60% - Ênfase6" xfId="1807" builtinId="52" customBuiltin="1"/>
    <cellStyle name="60% - Ênfase6 2" xfId="1808" xr:uid="{00000000-0005-0000-0000-00000F070000}"/>
    <cellStyle name="60% - Ênfase6 2 2" xfId="1809" xr:uid="{00000000-0005-0000-0000-000010070000}"/>
    <cellStyle name="60% - Ênfase6 2 3" xfId="1810" xr:uid="{00000000-0005-0000-0000-000011070000}"/>
    <cellStyle name="60% - Ênfase6 2_BP_Consolidação" xfId="1811" xr:uid="{00000000-0005-0000-0000-000012070000}"/>
    <cellStyle name="60% - Ênfase6 3" xfId="1812" xr:uid="{00000000-0005-0000-0000-000013070000}"/>
    <cellStyle name="60% - Ênfase6 3 2" xfId="1813" xr:uid="{00000000-0005-0000-0000-000014070000}"/>
    <cellStyle name="60% - Ênfase6 3 3" xfId="1814" xr:uid="{00000000-0005-0000-0000-000015070000}"/>
    <cellStyle name="60% - Ênfase6 3_BP_Consolidação" xfId="1815" xr:uid="{00000000-0005-0000-0000-000016070000}"/>
    <cellStyle name="60% - Ênfase6 4" xfId="1816" xr:uid="{00000000-0005-0000-0000-000017070000}"/>
    <cellStyle name="60% - Ênfase6 5" xfId="1817" xr:uid="{00000000-0005-0000-0000-000018070000}"/>
    <cellStyle name="60% - Ênfase6 6" xfId="1818" xr:uid="{00000000-0005-0000-0000-000019070000}"/>
    <cellStyle name="Alexandre" xfId="1819" xr:uid="{00000000-0005-0000-0000-00001A070000}"/>
    <cellStyle name="Bom" xfId="1820" builtinId="26" customBuiltin="1"/>
    <cellStyle name="Bom 2" xfId="1821" xr:uid="{00000000-0005-0000-0000-00001C070000}"/>
    <cellStyle name="Bom 2 2" xfId="1822" xr:uid="{00000000-0005-0000-0000-00001D070000}"/>
    <cellStyle name="Bom 2 3" xfId="1823" xr:uid="{00000000-0005-0000-0000-00001E070000}"/>
    <cellStyle name="Bom 2 4" xfId="1824" xr:uid="{00000000-0005-0000-0000-00001F070000}"/>
    <cellStyle name="Bom 3" xfId="1825" xr:uid="{00000000-0005-0000-0000-000020070000}"/>
    <cellStyle name="Bom 3 2" xfId="1826" xr:uid="{00000000-0005-0000-0000-000021070000}"/>
    <cellStyle name="Bom 3 3" xfId="1827" xr:uid="{00000000-0005-0000-0000-000022070000}"/>
    <cellStyle name="Bom 4" xfId="1828" xr:uid="{00000000-0005-0000-0000-000023070000}"/>
    <cellStyle name="Bom 5" xfId="1829" xr:uid="{00000000-0005-0000-0000-000024070000}"/>
    <cellStyle name="Cálculo" xfId="1830" builtinId="22" customBuiltin="1"/>
    <cellStyle name="Cálculo 2" xfId="1831" xr:uid="{00000000-0005-0000-0000-000026070000}"/>
    <cellStyle name="Cálculo 2 2" xfId="1832" xr:uid="{00000000-0005-0000-0000-000027070000}"/>
    <cellStyle name="Cálculo 2 3" xfId="1833" xr:uid="{00000000-0005-0000-0000-000028070000}"/>
    <cellStyle name="Cálculo 2 4" xfId="1834" xr:uid="{00000000-0005-0000-0000-000029070000}"/>
    <cellStyle name="Cálculo 3" xfId="1835" xr:uid="{00000000-0005-0000-0000-00002A070000}"/>
    <cellStyle name="Cálculo 3 2" xfId="1836" xr:uid="{00000000-0005-0000-0000-00002B070000}"/>
    <cellStyle name="Cálculo 3 3" xfId="1837" xr:uid="{00000000-0005-0000-0000-00002C070000}"/>
    <cellStyle name="Cálculo 4" xfId="1838" xr:uid="{00000000-0005-0000-0000-00002D070000}"/>
    <cellStyle name="Cálculo 5" xfId="1839" xr:uid="{00000000-0005-0000-0000-00002E070000}"/>
    <cellStyle name="Célula de Verificação" xfId="1840" builtinId="23" customBuiltin="1"/>
    <cellStyle name="Célula de Verificação 2" xfId="1841" xr:uid="{00000000-0005-0000-0000-000030070000}"/>
    <cellStyle name="Célula de Verificação 2 2" xfId="1842" xr:uid="{00000000-0005-0000-0000-000031070000}"/>
    <cellStyle name="Célula de Verificação 2 3" xfId="1843" xr:uid="{00000000-0005-0000-0000-000032070000}"/>
    <cellStyle name="Célula de Verificação 2 4" xfId="1844" xr:uid="{00000000-0005-0000-0000-000033070000}"/>
    <cellStyle name="Célula de Verificação 3" xfId="1845" xr:uid="{00000000-0005-0000-0000-000034070000}"/>
    <cellStyle name="Célula de Verificação 3 2" xfId="1846" xr:uid="{00000000-0005-0000-0000-000035070000}"/>
    <cellStyle name="Célula de Verificação 3 3" xfId="1847" xr:uid="{00000000-0005-0000-0000-000036070000}"/>
    <cellStyle name="Célula de Verificação 4" xfId="1848" xr:uid="{00000000-0005-0000-0000-000037070000}"/>
    <cellStyle name="Célula de Verificação 5" xfId="1849" xr:uid="{00000000-0005-0000-0000-000038070000}"/>
    <cellStyle name="Célula Vinculada" xfId="1850" builtinId="24" customBuiltin="1"/>
    <cellStyle name="Célula Vinculada 2" xfId="1851" xr:uid="{00000000-0005-0000-0000-00003A070000}"/>
    <cellStyle name="Célula Vinculada 2 2" xfId="1852" xr:uid="{00000000-0005-0000-0000-00003B070000}"/>
    <cellStyle name="Célula Vinculada 2 3" xfId="1853" xr:uid="{00000000-0005-0000-0000-00003C070000}"/>
    <cellStyle name="Célula Vinculada 2 4" xfId="1854" xr:uid="{00000000-0005-0000-0000-00003D070000}"/>
    <cellStyle name="Célula Vinculada 2 5" xfId="1855" xr:uid="{00000000-0005-0000-0000-00003E070000}"/>
    <cellStyle name="Célula Vinculada 2 6" xfId="1856" xr:uid="{00000000-0005-0000-0000-00003F070000}"/>
    <cellStyle name="Célula Vinculada 2_BP_Consolidação" xfId="1857" xr:uid="{00000000-0005-0000-0000-000040070000}"/>
    <cellStyle name="Célula Vinculada 3" xfId="1858" xr:uid="{00000000-0005-0000-0000-000041070000}"/>
    <cellStyle name="Célula Vinculada 3 2" xfId="1859" xr:uid="{00000000-0005-0000-0000-000042070000}"/>
    <cellStyle name="Célula Vinculada 3 3" xfId="1860" xr:uid="{00000000-0005-0000-0000-000043070000}"/>
    <cellStyle name="Célula Vinculada 4" xfId="1861" xr:uid="{00000000-0005-0000-0000-000044070000}"/>
    <cellStyle name="Comma 2" xfId="1862" xr:uid="{00000000-0005-0000-0000-000045070000}"/>
    <cellStyle name="Comma 2 2" xfId="1863" xr:uid="{00000000-0005-0000-0000-000046070000}"/>
    <cellStyle name="Comma 4" xfId="1864" xr:uid="{00000000-0005-0000-0000-000047070000}"/>
    <cellStyle name="Comma 4 2" xfId="1865" xr:uid="{00000000-0005-0000-0000-000048070000}"/>
    <cellStyle name="Comma0" xfId="1866" xr:uid="{00000000-0005-0000-0000-000049070000}"/>
    <cellStyle name="Currency0" xfId="1867" xr:uid="{00000000-0005-0000-0000-00004A070000}"/>
    <cellStyle name="Dan" xfId="1868" xr:uid="{00000000-0005-0000-0000-00004B070000}"/>
    <cellStyle name="Dan 2" xfId="1869" xr:uid="{00000000-0005-0000-0000-00004C070000}"/>
    <cellStyle name="Dan 3" xfId="1870" xr:uid="{00000000-0005-0000-0000-00004D070000}"/>
    <cellStyle name="Dan_BP_Consolidação" xfId="1871" xr:uid="{00000000-0005-0000-0000-00004E070000}"/>
    <cellStyle name="Data" xfId="1872" xr:uid="{00000000-0005-0000-0000-00004F070000}"/>
    <cellStyle name="Date" xfId="1873" xr:uid="{00000000-0005-0000-0000-000050070000}"/>
    <cellStyle name="Destaque" xfId="1874" xr:uid="{00000000-0005-0000-0000-000051070000}"/>
    <cellStyle name="Ênfase1" xfId="1875" builtinId="29" customBuiltin="1"/>
    <cellStyle name="Ênfase1 2" xfId="1876" xr:uid="{00000000-0005-0000-0000-000053070000}"/>
    <cellStyle name="Ênfase1 2 2" xfId="1877" xr:uid="{00000000-0005-0000-0000-000054070000}"/>
    <cellStyle name="Ênfase1 2 3" xfId="1878" xr:uid="{00000000-0005-0000-0000-000055070000}"/>
    <cellStyle name="Ênfase1 2 4" xfId="1879" xr:uid="{00000000-0005-0000-0000-000056070000}"/>
    <cellStyle name="Ênfase1 3" xfId="1880" xr:uid="{00000000-0005-0000-0000-000057070000}"/>
    <cellStyle name="Ênfase1 3 2" xfId="1881" xr:uid="{00000000-0005-0000-0000-000058070000}"/>
    <cellStyle name="Ênfase1 3 3" xfId="1882" xr:uid="{00000000-0005-0000-0000-000059070000}"/>
    <cellStyle name="Ênfase1 4" xfId="1883" xr:uid="{00000000-0005-0000-0000-00005A070000}"/>
    <cellStyle name="Ênfase1 5" xfId="1884" xr:uid="{00000000-0005-0000-0000-00005B070000}"/>
    <cellStyle name="Ênfase2" xfId="1885" builtinId="33" customBuiltin="1"/>
    <cellStyle name="Ênfase2 2" xfId="1886" xr:uid="{00000000-0005-0000-0000-00005D070000}"/>
    <cellStyle name="Ênfase2 2 2" xfId="1887" xr:uid="{00000000-0005-0000-0000-00005E070000}"/>
    <cellStyle name="Ênfase2 2 3" xfId="1888" xr:uid="{00000000-0005-0000-0000-00005F070000}"/>
    <cellStyle name="Ênfase2 2 4" xfId="1889" xr:uid="{00000000-0005-0000-0000-000060070000}"/>
    <cellStyle name="Ênfase2 3" xfId="1890" xr:uid="{00000000-0005-0000-0000-000061070000}"/>
    <cellStyle name="Ênfase2 3 2" xfId="1891" xr:uid="{00000000-0005-0000-0000-000062070000}"/>
    <cellStyle name="Ênfase2 3 3" xfId="1892" xr:uid="{00000000-0005-0000-0000-000063070000}"/>
    <cellStyle name="Ênfase2 4" xfId="1893" xr:uid="{00000000-0005-0000-0000-000064070000}"/>
    <cellStyle name="Ênfase2 5" xfId="1894" xr:uid="{00000000-0005-0000-0000-000065070000}"/>
    <cellStyle name="Ênfase3" xfId="1895" builtinId="37" customBuiltin="1"/>
    <cellStyle name="Ênfase3 2" xfId="1896" xr:uid="{00000000-0005-0000-0000-000067070000}"/>
    <cellStyle name="Ênfase3 2 2" xfId="1897" xr:uid="{00000000-0005-0000-0000-000068070000}"/>
    <cellStyle name="Ênfase3 2 3" xfId="1898" xr:uid="{00000000-0005-0000-0000-000069070000}"/>
    <cellStyle name="Ênfase3 2 4" xfId="1899" xr:uid="{00000000-0005-0000-0000-00006A070000}"/>
    <cellStyle name="Ênfase3 3" xfId="1900" xr:uid="{00000000-0005-0000-0000-00006B070000}"/>
    <cellStyle name="Ênfase3 3 2" xfId="1901" xr:uid="{00000000-0005-0000-0000-00006C070000}"/>
    <cellStyle name="Ênfase3 3 3" xfId="1902" xr:uid="{00000000-0005-0000-0000-00006D070000}"/>
    <cellStyle name="Ênfase3 4" xfId="1903" xr:uid="{00000000-0005-0000-0000-00006E070000}"/>
    <cellStyle name="Ênfase3 5" xfId="1904" xr:uid="{00000000-0005-0000-0000-00006F070000}"/>
    <cellStyle name="Ênfase4" xfId="1905" builtinId="41" customBuiltin="1"/>
    <cellStyle name="Ênfase4 2" xfId="1906" xr:uid="{00000000-0005-0000-0000-000071070000}"/>
    <cellStyle name="Ênfase4 2 2" xfId="1907" xr:uid="{00000000-0005-0000-0000-000072070000}"/>
    <cellStyle name="Ênfase4 2 3" xfId="1908" xr:uid="{00000000-0005-0000-0000-000073070000}"/>
    <cellStyle name="Ênfase4 2 4" xfId="1909" xr:uid="{00000000-0005-0000-0000-000074070000}"/>
    <cellStyle name="Ênfase4 3" xfId="1910" xr:uid="{00000000-0005-0000-0000-000075070000}"/>
    <cellStyle name="Ênfase4 3 2" xfId="1911" xr:uid="{00000000-0005-0000-0000-000076070000}"/>
    <cellStyle name="Ênfase4 3 3" xfId="1912" xr:uid="{00000000-0005-0000-0000-000077070000}"/>
    <cellStyle name="Ênfase4 4" xfId="1913" xr:uid="{00000000-0005-0000-0000-000078070000}"/>
    <cellStyle name="Ênfase4 5" xfId="1914" xr:uid="{00000000-0005-0000-0000-000079070000}"/>
    <cellStyle name="Ênfase5" xfId="1915" builtinId="45" customBuiltin="1"/>
    <cellStyle name="Ênfase5 2" xfId="1916" xr:uid="{00000000-0005-0000-0000-00007B070000}"/>
    <cellStyle name="Ênfase5 2 2" xfId="1917" xr:uid="{00000000-0005-0000-0000-00007C070000}"/>
    <cellStyle name="Ênfase5 2 3" xfId="1918" xr:uid="{00000000-0005-0000-0000-00007D070000}"/>
    <cellStyle name="Ênfase5 2 4" xfId="1919" xr:uid="{00000000-0005-0000-0000-00007E070000}"/>
    <cellStyle name="Ênfase5 3" xfId="1920" xr:uid="{00000000-0005-0000-0000-00007F070000}"/>
    <cellStyle name="Ênfase5 3 2" xfId="1921" xr:uid="{00000000-0005-0000-0000-000080070000}"/>
    <cellStyle name="Ênfase5 3 3" xfId="1922" xr:uid="{00000000-0005-0000-0000-000081070000}"/>
    <cellStyle name="Ênfase5 4" xfId="1923" xr:uid="{00000000-0005-0000-0000-000082070000}"/>
    <cellStyle name="Ênfase5 5" xfId="1924" xr:uid="{00000000-0005-0000-0000-000083070000}"/>
    <cellStyle name="Ênfase6" xfId="1925" builtinId="49" customBuiltin="1"/>
    <cellStyle name="Ênfase6 2" xfId="1926" xr:uid="{00000000-0005-0000-0000-000085070000}"/>
    <cellStyle name="Ênfase6 2 2" xfId="1927" xr:uid="{00000000-0005-0000-0000-000086070000}"/>
    <cellStyle name="Ênfase6 2 3" xfId="1928" xr:uid="{00000000-0005-0000-0000-000087070000}"/>
    <cellStyle name="Ênfase6 2 4" xfId="1929" xr:uid="{00000000-0005-0000-0000-000088070000}"/>
    <cellStyle name="Ênfase6 3" xfId="1930" xr:uid="{00000000-0005-0000-0000-000089070000}"/>
    <cellStyle name="Ênfase6 3 2" xfId="1931" xr:uid="{00000000-0005-0000-0000-00008A070000}"/>
    <cellStyle name="Ênfase6 3 3" xfId="1932" xr:uid="{00000000-0005-0000-0000-00008B070000}"/>
    <cellStyle name="Ênfase6 4" xfId="1933" xr:uid="{00000000-0005-0000-0000-00008C070000}"/>
    <cellStyle name="Ênfase6 5" xfId="1934" xr:uid="{00000000-0005-0000-0000-00008D070000}"/>
    <cellStyle name="Entrada" xfId="1935" builtinId="20" customBuiltin="1"/>
    <cellStyle name="Entrada 2" xfId="1936" xr:uid="{00000000-0005-0000-0000-00008F070000}"/>
    <cellStyle name="Entrada 2 2" xfId="1937" xr:uid="{00000000-0005-0000-0000-000090070000}"/>
    <cellStyle name="Entrada 2 3" xfId="1938" xr:uid="{00000000-0005-0000-0000-000091070000}"/>
    <cellStyle name="Entrada 2 4" xfId="1939" xr:uid="{00000000-0005-0000-0000-000092070000}"/>
    <cellStyle name="Entrada 3" xfId="1940" xr:uid="{00000000-0005-0000-0000-000093070000}"/>
    <cellStyle name="Entrada 3 2" xfId="1941" xr:uid="{00000000-0005-0000-0000-000094070000}"/>
    <cellStyle name="Entrada 3 3" xfId="1942" xr:uid="{00000000-0005-0000-0000-000095070000}"/>
    <cellStyle name="Entrada 4" xfId="1943" xr:uid="{00000000-0005-0000-0000-000096070000}"/>
    <cellStyle name="Entrada 5" xfId="1944" xr:uid="{00000000-0005-0000-0000-000097070000}"/>
    <cellStyle name="Euro" xfId="1945" xr:uid="{00000000-0005-0000-0000-000098070000}"/>
    <cellStyle name="Euro 2" xfId="1946" xr:uid="{00000000-0005-0000-0000-000099070000}"/>
    <cellStyle name="Euro 2 2" xfId="1947" xr:uid="{00000000-0005-0000-0000-00009A070000}"/>
    <cellStyle name="Euro 3" xfId="1948" xr:uid="{00000000-0005-0000-0000-00009B070000}"/>
    <cellStyle name="Euro 4" xfId="1949" xr:uid="{00000000-0005-0000-0000-00009C070000}"/>
    <cellStyle name="Euro 5" xfId="1950" xr:uid="{00000000-0005-0000-0000-00009D070000}"/>
    <cellStyle name="Euro_BP_Consolidação" xfId="1951" xr:uid="{00000000-0005-0000-0000-00009E070000}"/>
    <cellStyle name="Fixed" xfId="1952" xr:uid="{00000000-0005-0000-0000-00009F070000}"/>
    <cellStyle name="Heading" xfId="1953" xr:uid="{00000000-0005-0000-0000-0000A0070000}"/>
    <cellStyle name="Heading 2" xfId="1954" xr:uid="{00000000-0005-0000-0000-0000A1070000}"/>
    <cellStyle name="Heading 3" xfId="1955" xr:uid="{00000000-0005-0000-0000-0000A2070000}"/>
    <cellStyle name="Heading_BP_Consolidação" xfId="1956" xr:uid="{00000000-0005-0000-0000-0000A3070000}"/>
    <cellStyle name="Hiperlink 2" xfId="1957" xr:uid="{00000000-0005-0000-0000-0000A4070000}"/>
    <cellStyle name="Incorreto 2" xfId="1959" xr:uid="{00000000-0005-0000-0000-0000A6070000}"/>
    <cellStyle name="Incorreto 2 2" xfId="1960" xr:uid="{00000000-0005-0000-0000-0000A7070000}"/>
    <cellStyle name="Incorreto 2 3" xfId="1961" xr:uid="{00000000-0005-0000-0000-0000A8070000}"/>
    <cellStyle name="Incorreto 2 4" xfId="1962" xr:uid="{00000000-0005-0000-0000-0000A9070000}"/>
    <cellStyle name="Incorreto 3" xfId="1963" xr:uid="{00000000-0005-0000-0000-0000AA070000}"/>
    <cellStyle name="Incorreto 3 2" xfId="1964" xr:uid="{00000000-0005-0000-0000-0000AB070000}"/>
    <cellStyle name="Incorreto 3 3" xfId="1965" xr:uid="{00000000-0005-0000-0000-0000AC070000}"/>
    <cellStyle name="Incorreto 4" xfId="1966" xr:uid="{00000000-0005-0000-0000-0000AD070000}"/>
    <cellStyle name="Incorreto 5" xfId="1967" xr:uid="{00000000-0005-0000-0000-0000AE070000}"/>
    <cellStyle name="Indent" xfId="1968" xr:uid="{00000000-0005-0000-0000-0000AF070000}"/>
    <cellStyle name="Indent 2" xfId="1969" xr:uid="{00000000-0005-0000-0000-0000B0070000}"/>
    <cellStyle name="Indent 3" xfId="1970" xr:uid="{00000000-0005-0000-0000-0000B1070000}"/>
    <cellStyle name="Indent_BP_Consolidação" xfId="1971" xr:uid="{00000000-0005-0000-0000-0000B2070000}"/>
    <cellStyle name="Moeda 2" xfId="1972" xr:uid="{00000000-0005-0000-0000-0000B3070000}"/>
    <cellStyle name="Moeda 3" xfId="1973" xr:uid="{00000000-0005-0000-0000-0000B4070000}"/>
    <cellStyle name="Moeda 3 2" xfId="1974" xr:uid="{00000000-0005-0000-0000-0000B5070000}"/>
    <cellStyle name="Moeda 3 2 2" xfId="1975" xr:uid="{00000000-0005-0000-0000-0000B6070000}"/>
    <cellStyle name="Moeda 3 2 2 2" xfId="1976" xr:uid="{00000000-0005-0000-0000-0000B7070000}"/>
    <cellStyle name="Moeda 3 2 3" xfId="1977" xr:uid="{00000000-0005-0000-0000-0000B8070000}"/>
    <cellStyle name="Moeda 3 2 3 2" xfId="1978" xr:uid="{00000000-0005-0000-0000-0000B9070000}"/>
    <cellStyle name="Moeda 3 3" xfId="1979" xr:uid="{00000000-0005-0000-0000-0000BA070000}"/>
    <cellStyle name="Moeda 3 3 2" xfId="1980" xr:uid="{00000000-0005-0000-0000-0000BB070000}"/>
    <cellStyle name="Moeda 3 4" xfId="1981" xr:uid="{00000000-0005-0000-0000-0000BC070000}"/>
    <cellStyle name="Moeda 3 4 2" xfId="1982" xr:uid="{00000000-0005-0000-0000-0000BD070000}"/>
    <cellStyle name="Moeda 4" xfId="1983" xr:uid="{00000000-0005-0000-0000-0000BE070000}"/>
    <cellStyle name="Moeda 4 2" xfId="1984" xr:uid="{00000000-0005-0000-0000-0000BF070000}"/>
    <cellStyle name="Moeda 5" xfId="1985" xr:uid="{00000000-0005-0000-0000-0000C0070000}"/>
    <cellStyle name="Moeda 5 2" xfId="1986" xr:uid="{00000000-0005-0000-0000-0000C1070000}"/>
    <cellStyle name="Moeda 6" xfId="1987" xr:uid="{00000000-0005-0000-0000-0000C2070000}"/>
    <cellStyle name="Moeda 6 2" xfId="1988" xr:uid="{00000000-0005-0000-0000-0000C3070000}"/>
    <cellStyle name="Neutra 2" xfId="1990" xr:uid="{00000000-0005-0000-0000-0000C5070000}"/>
    <cellStyle name="Neutra 2 2" xfId="1991" xr:uid="{00000000-0005-0000-0000-0000C6070000}"/>
    <cellStyle name="Neutra 2 3" xfId="1992" xr:uid="{00000000-0005-0000-0000-0000C7070000}"/>
    <cellStyle name="Neutra 2 4" xfId="1993" xr:uid="{00000000-0005-0000-0000-0000C8070000}"/>
    <cellStyle name="Neutra 3" xfId="1994" xr:uid="{00000000-0005-0000-0000-0000C9070000}"/>
    <cellStyle name="Neutra 3 2" xfId="1995" xr:uid="{00000000-0005-0000-0000-0000CA070000}"/>
    <cellStyle name="Neutra 3 3" xfId="1996" xr:uid="{00000000-0005-0000-0000-0000CB070000}"/>
    <cellStyle name="Neutra 4" xfId="1997" xr:uid="{00000000-0005-0000-0000-0000CC070000}"/>
    <cellStyle name="Neutra 5" xfId="1998" xr:uid="{00000000-0005-0000-0000-0000CD070000}"/>
    <cellStyle name="Neutro" xfId="1989" builtinId="28" customBuiltin="1"/>
    <cellStyle name="Normal" xfId="0" builtinId="0"/>
    <cellStyle name="Normal - Style1" xfId="1999" xr:uid="{00000000-0005-0000-0000-0000CF070000}"/>
    <cellStyle name="Normal 10" xfId="2000" xr:uid="{00000000-0005-0000-0000-0000D0070000}"/>
    <cellStyle name="Normal 10 2" xfId="2001" xr:uid="{00000000-0005-0000-0000-0000D1070000}"/>
    <cellStyle name="Normal 10 2 2" xfId="2002" xr:uid="{00000000-0005-0000-0000-0000D2070000}"/>
    <cellStyle name="Normal 10 2 2 2" xfId="2003" xr:uid="{00000000-0005-0000-0000-0000D3070000}"/>
    <cellStyle name="Normal 10 2 3" xfId="2004" xr:uid="{00000000-0005-0000-0000-0000D4070000}"/>
    <cellStyle name="Normal 10 2 3 2" xfId="2005" xr:uid="{00000000-0005-0000-0000-0000D5070000}"/>
    <cellStyle name="Normal 10 2 4" xfId="2006" xr:uid="{00000000-0005-0000-0000-0000D6070000}"/>
    <cellStyle name="Normal 10 3" xfId="2007" xr:uid="{00000000-0005-0000-0000-0000D7070000}"/>
    <cellStyle name="Normal 10 3 2" xfId="2008" xr:uid="{00000000-0005-0000-0000-0000D8070000}"/>
    <cellStyle name="Normal 10 4" xfId="2009" xr:uid="{00000000-0005-0000-0000-0000D9070000}"/>
    <cellStyle name="Normal 10 5" xfId="2010" xr:uid="{00000000-0005-0000-0000-0000DA070000}"/>
    <cellStyle name="Normal 11" xfId="2011" xr:uid="{00000000-0005-0000-0000-0000DB070000}"/>
    <cellStyle name="Normal 11 2" xfId="2012" xr:uid="{00000000-0005-0000-0000-0000DC070000}"/>
    <cellStyle name="Normal 11 2 2" xfId="2013" xr:uid="{00000000-0005-0000-0000-0000DD070000}"/>
    <cellStyle name="Normal 11 2 3" xfId="2014" xr:uid="{00000000-0005-0000-0000-0000DE070000}"/>
    <cellStyle name="Normal 11 3" xfId="2015" xr:uid="{00000000-0005-0000-0000-0000DF070000}"/>
    <cellStyle name="Normal 11 3 2" xfId="2016" xr:uid="{00000000-0005-0000-0000-0000E0070000}"/>
    <cellStyle name="Normal 11 4" xfId="2017" xr:uid="{00000000-0005-0000-0000-0000E1070000}"/>
    <cellStyle name="Normal 11 5" xfId="2018" xr:uid="{00000000-0005-0000-0000-0000E2070000}"/>
    <cellStyle name="Normal 12" xfId="2019" xr:uid="{00000000-0005-0000-0000-0000E3070000}"/>
    <cellStyle name="Normal 12 2" xfId="2020" xr:uid="{00000000-0005-0000-0000-0000E4070000}"/>
    <cellStyle name="Normal 12 2 2" xfId="2021" xr:uid="{00000000-0005-0000-0000-0000E5070000}"/>
    <cellStyle name="Normal 12 2 2 2" xfId="2022" xr:uid="{00000000-0005-0000-0000-0000E6070000}"/>
    <cellStyle name="Normal 12 2 2 2 2" xfId="2023" xr:uid="{00000000-0005-0000-0000-0000E7070000}"/>
    <cellStyle name="Normal 12 2 2 2 3" xfId="2024" xr:uid="{00000000-0005-0000-0000-0000E8070000}"/>
    <cellStyle name="Normal 12 2 2 3" xfId="2025" xr:uid="{00000000-0005-0000-0000-0000E9070000}"/>
    <cellStyle name="Normal 12 2 2 4" xfId="2026" xr:uid="{00000000-0005-0000-0000-0000EA070000}"/>
    <cellStyle name="Normal 12 2 3" xfId="2027" xr:uid="{00000000-0005-0000-0000-0000EB070000}"/>
    <cellStyle name="Normal 12 2 3 2" xfId="2028" xr:uid="{00000000-0005-0000-0000-0000EC070000}"/>
    <cellStyle name="Normal 12 2 3 3" xfId="2029" xr:uid="{00000000-0005-0000-0000-0000ED070000}"/>
    <cellStyle name="Normal 12 2 4" xfId="2030" xr:uid="{00000000-0005-0000-0000-0000EE070000}"/>
    <cellStyle name="Normal 12 2 5" xfId="2031" xr:uid="{00000000-0005-0000-0000-0000EF070000}"/>
    <cellStyle name="Normal 12 2 6" xfId="2032" xr:uid="{00000000-0005-0000-0000-0000F0070000}"/>
    <cellStyle name="Normal 12 3" xfId="2033" xr:uid="{00000000-0005-0000-0000-0000F1070000}"/>
    <cellStyle name="Normal 12 3 2" xfId="2034" xr:uid="{00000000-0005-0000-0000-0000F2070000}"/>
    <cellStyle name="Normal 12 3 2 2" xfId="2035" xr:uid="{00000000-0005-0000-0000-0000F3070000}"/>
    <cellStyle name="Normal 12 3 2 2 2" xfId="2036" xr:uid="{00000000-0005-0000-0000-0000F4070000}"/>
    <cellStyle name="Normal 12 3 2 2 3" xfId="2037" xr:uid="{00000000-0005-0000-0000-0000F5070000}"/>
    <cellStyle name="Normal 12 3 2 3" xfId="2038" xr:uid="{00000000-0005-0000-0000-0000F6070000}"/>
    <cellStyle name="Normal 12 3 2 4" xfId="2039" xr:uid="{00000000-0005-0000-0000-0000F7070000}"/>
    <cellStyle name="Normal 12 3 3" xfId="2040" xr:uid="{00000000-0005-0000-0000-0000F8070000}"/>
    <cellStyle name="Normal 12 3 3 2" xfId="2041" xr:uid="{00000000-0005-0000-0000-0000F9070000}"/>
    <cellStyle name="Normal 12 3 3 3" xfId="2042" xr:uid="{00000000-0005-0000-0000-0000FA070000}"/>
    <cellStyle name="Normal 12 3 4" xfId="2043" xr:uid="{00000000-0005-0000-0000-0000FB070000}"/>
    <cellStyle name="Normal 12 3 5" xfId="2044" xr:uid="{00000000-0005-0000-0000-0000FC070000}"/>
    <cellStyle name="Normal 12 4" xfId="2045" xr:uid="{00000000-0005-0000-0000-0000FD070000}"/>
    <cellStyle name="Normal 12 4 2" xfId="2046" xr:uid="{00000000-0005-0000-0000-0000FE070000}"/>
    <cellStyle name="Normal 12 4 2 2" xfId="2047" xr:uid="{00000000-0005-0000-0000-0000FF070000}"/>
    <cellStyle name="Normal 12 4 2 3" xfId="2048" xr:uid="{00000000-0005-0000-0000-000000080000}"/>
    <cellStyle name="Normal 12 4 3" xfId="2049" xr:uid="{00000000-0005-0000-0000-000001080000}"/>
    <cellStyle name="Normal 12 4 4" xfId="2050" xr:uid="{00000000-0005-0000-0000-000002080000}"/>
    <cellStyle name="Normal 12 5" xfId="2051" xr:uid="{00000000-0005-0000-0000-000003080000}"/>
    <cellStyle name="Normal 12 5 2" xfId="2052" xr:uid="{00000000-0005-0000-0000-000004080000}"/>
    <cellStyle name="Normal 12 5 3" xfId="2053" xr:uid="{00000000-0005-0000-0000-000005080000}"/>
    <cellStyle name="Normal 12 6" xfId="2054" xr:uid="{00000000-0005-0000-0000-000006080000}"/>
    <cellStyle name="Normal 12 7" xfId="2055" xr:uid="{00000000-0005-0000-0000-000007080000}"/>
    <cellStyle name="Normal 12 8" xfId="2056" xr:uid="{00000000-0005-0000-0000-000008080000}"/>
    <cellStyle name="Normal 13" xfId="2057" xr:uid="{00000000-0005-0000-0000-000009080000}"/>
    <cellStyle name="Normal 13 2" xfId="2058" xr:uid="{00000000-0005-0000-0000-00000A080000}"/>
    <cellStyle name="Normal 13 2 2" xfId="2059" xr:uid="{00000000-0005-0000-0000-00000B080000}"/>
    <cellStyle name="Normal 13 2 3" xfId="2060" xr:uid="{00000000-0005-0000-0000-00000C080000}"/>
    <cellStyle name="Normal 13 3" xfId="2061" xr:uid="{00000000-0005-0000-0000-00000D080000}"/>
    <cellStyle name="Normal 13 3 2" xfId="2062" xr:uid="{00000000-0005-0000-0000-00000E080000}"/>
    <cellStyle name="Normal 13 4" xfId="2063" xr:uid="{00000000-0005-0000-0000-00000F080000}"/>
    <cellStyle name="Normal 13 5" xfId="2064" xr:uid="{00000000-0005-0000-0000-000010080000}"/>
    <cellStyle name="Normal 14" xfId="2065" xr:uid="{00000000-0005-0000-0000-000011080000}"/>
    <cellStyle name="Normal 14 2" xfId="2066" xr:uid="{00000000-0005-0000-0000-000012080000}"/>
    <cellStyle name="Normal 14 2 2" xfId="2067" xr:uid="{00000000-0005-0000-0000-000013080000}"/>
    <cellStyle name="Normal 14 2 2 2" xfId="2068" xr:uid="{00000000-0005-0000-0000-000014080000}"/>
    <cellStyle name="Normal 14 2 2 2 2" xfId="2069" xr:uid="{00000000-0005-0000-0000-000015080000}"/>
    <cellStyle name="Normal 14 2 2 2 3" xfId="2070" xr:uid="{00000000-0005-0000-0000-000016080000}"/>
    <cellStyle name="Normal 14 2 2 3" xfId="2071" xr:uid="{00000000-0005-0000-0000-000017080000}"/>
    <cellStyle name="Normal 14 2 2 4" xfId="2072" xr:uid="{00000000-0005-0000-0000-000018080000}"/>
    <cellStyle name="Normal 14 2 3" xfId="2073" xr:uid="{00000000-0005-0000-0000-000019080000}"/>
    <cellStyle name="Normal 14 2 3 2" xfId="2074" xr:uid="{00000000-0005-0000-0000-00001A080000}"/>
    <cellStyle name="Normal 14 2 3 3" xfId="2075" xr:uid="{00000000-0005-0000-0000-00001B080000}"/>
    <cellStyle name="Normal 14 2 4" xfId="2076" xr:uid="{00000000-0005-0000-0000-00001C080000}"/>
    <cellStyle name="Normal 14 2 5" xfId="2077" xr:uid="{00000000-0005-0000-0000-00001D080000}"/>
    <cellStyle name="Normal 14 2 6" xfId="2078" xr:uid="{00000000-0005-0000-0000-00001E080000}"/>
    <cellStyle name="Normal 14 3" xfId="2079" xr:uid="{00000000-0005-0000-0000-00001F080000}"/>
    <cellStyle name="Normal 14 3 2" xfId="2080" xr:uid="{00000000-0005-0000-0000-000020080000}"/>
    <cellStyle name="Normal 14 3 2 2" xfId="2081" xr:uid="{00000000-0005-0000-0000-000021080000}"/>
    <cellStyle name="Normal 14 3 2 3" xfId="2082" xr:uid="{00000000-0005-0000-0000-000022080000}"/>
    <cellStyle name="Normal 14 3 3" xfId="2083" xr:uid="{00000000-0005-0000-0000-000023080000}"/>
    <cellStyle name="Normal 14 3 4" xfId="2084" xr:uid="{00000000-0005-0000-0000-000024080000}"/>
    <cellStyle name="Normal 14 4" xfId="2085" xr:uid="{00000000-0005-0000-0000-000025080000}"/>
    <cellStyle name="Normal 14 4 2" xfId="2086" xr:uid="{00000000-0005-0000-0000-000026080000}"/>
    <cellStyle name="Normal 14 4 3" xfId="2087" xr:uid="{00000000-0005-0000-0000-000027080000}"/>
    <cellStyle name="Normal 14 5" xfId="2088" xr:uid="{00000000-0005-0000-0000-000028080000}"/>
    <cellStyle name="Normal 14 6" xfId="2089" xr:uid="{00000000-0005-0000-0000-000029080000}"/>
    <cellStyle name="Normal 14 7" xfId="2090" xr:uid="{00000000-0005-0000-0000-00002A080000}"/>
    <cellStyle name="Normal 15" xfId="2091" xr:uid="{00000000-0005-0000-0000-00002B080000}"/>
    <cellStyle name="Normal 15 2" xfId="2092" xr:uid="{00000000-0005-0000-0000-00002C080000}"/>
    <cellStyle name="Normal 15 3" xfId="2093" xr:uid="{00000000-0005-0000-0000-00002D080000}"/>
    <cellStyle name="Normal 16" xfId="2094" xr:uid="{00000000-0005-0000-0000-00002E080000}"/>
    <cellStyle name="Normal 16 2" xfId="2095" xr:uid="{00000000-0005-0000-0000-00002F080000}"/>
    <cellStyle name="Normal 16 2 2" xfId="2096" xr:uid="{00000000-0005-0000-0000-000030080000}"/>
    <cellStyle name="Normal 16 2 2 2" xfId="2097" xr:uid="{00000000-0005-0000-0000-000031080000}"/>
    <cellStyle name="Normal 16 2 2 3" xfId="2098" xr:uid="{00000000-0005-0000-0000-000032080000}"/>
    <cellStyle name="Normal 16 2 3" xfId="2099" xr:uid="{00000000-0005-0000-0000-000033080000}"/>
    <cellStyle name="Normal 16 2 4" xfId="2100" xr:uid="{00000000-0005-0000-0000-000034080000}"/>
    <cellStyle name="Normal 16 3" xfId="2101" xr:uid="{00000000-0005-0000-0000-000035080000}"/>
    <cellStyle name="Normal 16 3 2" xfId="2102" xr:uid="{00000000-0005-0000-0000-000036080000}"/>
    <cellStyle name="Normal 16 3 3" xfId="2103" xr:uid="{00000000-0005-0000-0000-000037080000}"/>
    <cellStyle name="Normal 16 4" xfId="2104" xr:uid="{00000000-0005-0000-0000-000038080000}"/>
    <cellStyle name="Normal 16 5" xfId="2105" xr:uid="{00000000-0005-0000-0000-000039080000}"/>
    <cellStyle name="Normal 16 6" xfId="2106" xr:uid="{00000000-0005-0000-0000-00003A080000}"/>
    <cellStyle name="Normal 16 7" xfId="2107" xr:uid="{00000000-0005-0000-0000-00003B080000}"/>
    <cellStyle name="Normal 16_BP_Consolidação" xfId="2108" xr:uid="{00000000-0005-0000-0000-00003C080000}"/>
    <cellStyle name="Normal 17" xfId="2109" xr:uid="{00000000-0005-0000-0000-00003D080000}"/>
    <cellStyle name="Normal 17 2" xfId="2110" xr:uid="{00000000-0005-0000-0000-00003E080000}"/>
    <cellStyle name="Normal 17 3" xfId="2111" xr:uid="{00000000-0005-0000-0000-00003F080000}"/>
    <cellStyle name="Normal 17 5" xfId="2112" xr:uid="{00000000-0005-0000-0000-000040080000}"/>
    <cellStyle name="Normal 18" xfId="2113" xr:uid="{00000000-0005-0000-0000-000041080000}"/>
    <cellStyle name="Normal 18 2" xfId="2114" xr:uid="{00000000-0005-0000-0000-000042080000}"/>
    <cellStyle name="Normal 18 3" xfId="2115" xr:uid="{00000000-0005-0000-0000-000043080000}"/>
    <cellStyle name="Normal 18_BP_Consolidação" xfId="2116" xr:uid="{00000000-0005-0000-0000-000044080000}"/>
    <cellStyle name="Normal 19" xfId="2117" xr:uid="{00000000-0005-0000-0000-000045080000}"/>
    <cellStyle name="Normal 19 2" xfId="2118" xr:uid="{00000000-0005-0000-0000-000046080000}"/>
    <cellStyle name="Normal 19 3" xfId="2119" xr:uid="{00000000-0005-0000-0000-000047080000}"/>
    <cellStyle name="Normal 2" xfId="2120" xr:uid="{00000000-0005-0000-0000-000048080000}"/>
    <cellStyle name="Normal 2 2" xfId="2121" xr:uid="{00000000-0005-0000-0000-000049080000}"/>
    <cellStyle name="Normal 2 2 2" xfId="2122" xr:uid="{00000000-0005-0000-0000-00004A080000}"/>
    <cellStyle name="Normal 2 2 3" xfId="2123" xr:uid="{00000000-0005-0000-0000-00004B080000}"/>
    <cellStyle name="Normal 2 2 3 2" xfId="2124" xr:uid="{00000000-0005-0000-0000-00004C080000}"/>
    <cellStyle name="Normal 2 2 3 2 2" xfId="2125" xr:uid="{00000000-0005-0000-0000-00004D080000}"/>
    <cellStyle name="Normal 2 2 3 2 2 2" xfId="2126" xr:uid="{00000000-0005-0000-0000-00004E080000}"/>
    <cellStyle name="Normal 2 2 3 2 3" xfId="2127" xr:uid="{00000000-0005-0000-0000-00004F080000}"/>
    <cellStyle name="Normal 2 2 3 2 3 2" xfId="2128" xr:uid="{00000000-0005-0000-0000-000050080000}"/>
    <cellStyle name="Normal 2 2 3 2 4" xfId="2129" xr:uid="{00000000-0005-0000-0000-000051080000}"/>
    <cellStyle name="Normal 2 2 3 3" xfId="2130" xr:uid="{00000000-0005-0000-0000-000052080000}"/>
    <cellStyle name="Normal 2 2 3 3 2" xfId="2131" xr:uid="{00000000-0005-0000-0000-000053080000}"/>
    <cellStyle name="Normal 2 2 3 4" xfId="2132" xr:uid="{00000000-0005-0000-0000-000054080000}"/>
    <cellStyle name="Normal 2 2 3 4 2" xfId="2133" xr:uid="{00000000-0005-0000-0000-000055080000}"/>
    <cellStyle name="Normal 2 2 3 5" xfId="2134" xr:uid="{00000000-0005-0000-0000-000056080000}"/>
    <cellStyle name="Normal 2 2 3 6" xfId="2135" xr:uid="{00000000-0005-0000-0000-000057080000}"/>
    <cellStyle name="Normal 2 2 3 7" xfId="2136" xr:uid="{00000000-0005-0000-0000-000058080000}"/>
    <cellStyle name="Normal 2 3" xfId="2137" xr:uid="{00000000-0005-0000-0000-000059080000}"/>
    <cellStyle name="Normal 2 3 2" xfId="2138" xr:uid="{00000000-0005-0000-0000-00005A080000}"/>
    <cellStyle name="Normal 2 4" xfId="2139" xr:uid="{00000000-0005-0000-0000-00005B080000}"/>
    <cellStyle name="Normal 2 5" xfId="2140" xr:uid="{00000000-0005-0000-0000-00005C080000}"/>
    <cellStyle name="Normal 2 6" xfId="2141" xr:uid="{00000000-0005-0000-0000-00005D080000}"/>
    <cellStyle name="Normal 2_28a1 e a2 Fábio" xfId="2142" xr:uid="{00000000-0005-0000-0000-00005E080000}"/>
    <cellStyle name="Normal 20" xfId="2143" xr:uid="{00000000-0005-0000-0000-00005F080000}"/>
    <cellStyle name="Normal 20 2" xfId="2144" xr:uid="{00000000-0005-0000-0000-000060080000}"/>
    <cellStyle name="Normal 21" xfId="2145" xr:uid="{00000000-0005-0000-0000-000061080000}"/>
    <cellStyle name="Normal 22" xfId="2146" xr:uid="{00000000-0005-0000-0000-000062080000}"/>
    <cellStyle name="Normal 23" xfId="2147" xr:uid="{00000000-0005-0000-0000-000063080000}"/>
    <cellStyle name="Normal 24" xfId="2148" xr:uid="{00000000-0005-0000-0000-000064080000}"/>
    <cellStyle name="Normal 25" xfId="2149" xr:uid="{00000000-0005-0000-0000-000065080000}"/>
    <cellStyle name="Normal 26" xfId="2150" xr:uid="{00000000-0005-0000-0000-000066080000}"/>
    <cellStyle name="Normal 27" xfId="2151" xr:uid="{00000000-0005-0000-0000-000067080000}"/>
    <cellStyle name="Normal 28" xfId="2152" xr:uid="{00000000-0005-0000-0000-000068080000}"/>
    <cellStyle name="Normal 29" xfId="2153" xr:uid="{00000000-0005-0000-0000-000069080000}"/>
    <cellStyle name="Normal 3" xfId="2154" xr:uid="{00000000-0005-0000-0000-00006A080000}"/>
    <cellStyle name="Normal 3 2" xfId="2155" xr:uid="{00000000-0005-0000-0000-00006B080000}"/>
    <cellStyle name="Normal 3 2 2" xfId="2156" xr:uid="{00000000-0005-0000-0000-00006C080000}"/>
    <cellStyle name="Normal 3 2 2 2" xfId="2157" xr:uid="{00000000-0005-0000-0000-00006D080000}"/>
    <cellStyle name="Normal 3 2 2 2 2" xfId="2158" xr:uid="{00000000-0005-0000-0000-00006E080000}"/>
    <cellStyle name="Normal 3 2 2 3" xfId="2159" xr:uid="{00000000-0005-0000-0000-00006F080000}"/>
    <cellStyle name="Normal 3 2 2 3 2" xfId="2160" xr:uid="{00000000-0005-0000-0000-000070080000}"/>
    <cellStyle name="Normal 3 2 2 4" xfId="2161" xr:uid="{00000000-0005-0000-0000-000071080000}"/>
    <cellStyle name="Normal 3 2 3" xfId="2162" xr:uid="{00000000-0005-0000-0000-000072080000}"/>
    <cellStyle name="Normal 3 2 3 2" xfId="2163" xr:uid="{00000000-0005-0000-0000-000073080000}"/>
    <cellStyle name="Normal 3 2 4" xfId="2164" xr:uid="{00000000-0005-0000-0000-000074080000}"/>
    <cellStyle name="Normal 3 2 4 2" xfId="2165" xr:uid="{00000000-0005-0000-0000-000075080000}"/>
    <cellStyle name="Normal 3 2 5" xfId="2166" xr:uid="{00000000-0005-0000-0000-000076080000}"/>
    <cellStyle name="Normal 3 3" xfId="2167" xr:uid="{00000000-0005-0000-0000-000077080000}"/>
    <cellStyle name="Normal 3 3 2" xfId="2168" xr:uid="{00000000-0005-0000-0000-000078080000}"/>
    <cellStyle name="Normal 3 3 2 2" xfId="2169" xr:uid="{00000000-0005-0000-0000-000079080000}"/>
    <cellStyle name="Normal 3 3 2 3" xfId="2170" xr:uid="{00000000-0005-0000-0000-00007A080000}"/>
    <cellStyle name="Normal 3 3 3" xfId="2171" xr:uid="{00000000-0005-0000-0000-00007B080000}"/>
    <cellStyle name="Normal 3 3 3 2" xfId="2172" xr:uid="{00000000-0005-0000-0000-00007C080000}"/>
    <cellStyle name="Normal 3 3 4" xfId="2173" xr:uid="{00000000-0005-0000-0000-00007D080000}"/>
    <cellStyle name="Normal 3 3 5" xfId="2174" xr:uid="{00000000-0005-0000-0000-00007E080000}"/>
    <cellStyle name="Normal 3 3_BP_Consolidação" xfId="2175" xr:uid="{00000000-0005-0000-0000-00007F080000}"/>
    <cellStyle name="Normal 3 4" xfId="2176" xr:uid="{00000000-0005-0000-0000-000080080000}"/>
    <cellStyle name="Normal 3 4 2" xfId="2177" xr:uid="{00000000-0005-0000-0000-000081080000}"/>
    <cellStyle name="Normal 3 4 3" xfId="2178" xr:uid="{00000000-0005-0000-0000-000082080000}"/>
    <cellStyle name="Normal 3 5" xfId="2179" xr:uid="{00000000-0005-0000-0000-000083080000}"/>
    <cellStyle name="Normal 3 5 2" xfId="2180" xr:uid="{00000000-0005-0000-0000-000084080000}"/>
    <cellStyle name="Normal 3 6" xfId="2181" xr:uid="{00000000-0005-0000-0000-000085080000}"/>
    <cellStyle name="Normal 3 6 2" xfId="2182" xr:uid="{00000000-0005-0000-0000-000086080000}"/>
    <cellStyle name="Normal 3 7" xfId="2183" xr:uid="{00000000-0005-0000-0000-000087080000}"/>
    <cellStyle name="Normal 3 8" xfId="2184" xr:uid="{00000000-0005-0000-0000-000088080000}"/>
    <cellStyle name="Normal 3_28a1 e a2 Fábio" xfId="2185" xr:uid="{00000000-0005-0000-0000-000089080000}"/>
    <cellStyle name="Normal 30" xfId="2186" xr:uid="{00000000-0005-0000-0000-00008A080000}"/>
    <cellStyle name="Normal 31" xfId="2187" xr:uid="{00000000-0005-0000-0000-00008B080000}"/>
    <cellStyle name="Normal 32" xfId="2188" xr:uid="{00000000-0005-0000-0000-00008C080000}"/>
    <cellStyle name="Normal 32 2" xfId="2189" xr:uid="{00000000-0005-0000-0000-00008D080000}"/>
    <cellStyle name="Normal 33" xfId="2190" xr:uid="{00000000-0005-0000-0000-00008E080000}"/>
    <cellStyle name="Normal 34" xfId="2191" xr:uid="{00000000-0005-0000-0000-00008F080000}"/>
    <cellStyle name="Normal 35" xfId="2192" xr:uid="{00000000-0005-0000-0000-000090080000}"/>
    <cellStyle name="Normal 36" xfId="2193" xr:uid="{00000000-0005-0000-0000-000091080000}"/>
    <cellStyle name="Normal 37" xfId="2194" xr:uid="{00000000-0005-0000-0000-000092080000}"/>
    <cellStyle name="Normal 37 2" xfId="2195" xr:uid="{00000000-0005-0000-0000-000093080000}"/>
    <cellStyle name="Normal 4" xfId="2196" xr:uid="{00000000-0005-0000-0000-000094080000}"/>
    <cellStyle name="Normal 4 2" xfId="2197" xr:uid="{00000000-0005-0000-0000-000095080000}"/>
    <cellStyle name="Normal 4 2 2" xfId="2198" xr:uid="{00000000-0005-0000-0000-000096080000}"/>
    <cellStyle name="Normal 4 2 2 2" xfId="2199" xr:uid="{00000000-0005-0000-0000-000097080000}"/>
    <cellStyle name="Normal 4 2 2 2 2" xfId="2200" xr:uid="{00000000-0005-0000-0000-000098080000}"/>
    <cellStyle name="Normal 4 2 2 3" xfId="2201" xr:uid="{00000000-0005-0000-0000-000099080000}"/>
    <cellStyle name="Normal 4 2 2 3 2" xfId="2202" xr:uid="{00000000-0005-0000-0000-00009A080000}"/>
    <cellStyle name="Normal 4 2 2 4" xfId="2203" xr:uid="{00000000-0005-0000-0000-00009B080000}"/>
    <cellStyle name="Normal 4 2 3" xfId="2204" xr:uid="{00000000-0005-0000-0000-00009C080000}"/>
    <cellStyle name="Normal 4 2 3 2" xfId="2205" xr:uid="{00000000-0005-0000-0000-00009D080000}"/>
    <cellStyle name="Normal 4 2 4" xfId="2206" xr:uid="{00000000-0005-0000-0000-00009E080000}"/>
    <cellStyle name="Normal 4 2 4 2" xfId="2207" xr:uid="{00000000-0005-0000-0000-00009F080000}"/>
    <cellStyle name="Normal 4 2 5" xfId="2208" xr:uid="{00000000-0005-0000-0000-0000A0080000}"/>
    <cellStyle name="Normal 4 3" xfId="2209" xr:uid="{00000000-0005-0000-0000-0000A1080000}"/>
    <cellStyle name="Normal 4 3 2" xfId="2210" xr:uid="{00000000-0005-0000-0000-0000A2080000}"/>
    <cellStyle name="Normal 4 3 2 2" xfId="2211" xr:uid="{00000000-0005-0000-0000-0000A3080000}"/>
    <cellStyle name="Normal 4 3 3" xfId="2212" xr:uid="{00000000-0005-0000-0000-0000A4080000}"/>
    <cellStyle name="Normal 4 3 3 2" xfId="2213" xr:uid="{00000000-0005-0000-0000-0000A5080000}"/>
    <cellStyle name="Normal 4 3 4" xfId="2214" xr:uid="{00000000-0005-0000-0000-0000A6080000}"/>
    <cellStyle name="Normal 4 4" xfId="2215" xr:uid="{00000000-0005-0000-0000-0000A7080000}"/>
    <cellStyle name="Normal 4 4 2" xfId="2216" xr:uid="{00000000-0005-0000-0000-0000A8080000}"/>
    <cellStyle name="Normal 4 5" xfId="2217" xr:uid="{00000000-0005-0000-0000-0000A9080000}"/>
    <cellStyle name="Normal 4 5 2" xfId="2218" xr:uid="{00000000-0005-0000-0000-0000AA080000}"/>
    <cellStyle name="Normal 4 6" xfId="2219" xr:uid="{00000000-0005-0000-0000-0000AB080000}"/>
    <cellStyle name="Normal 4 7" xfId="2220" xr:uid="{00000000-0005-0000-0000-0000AC080000}"/>
    <cellStyle name="Normal 4_BP_Consolidação" xfId="2221" xr:uid="{00000000-0005-0000-0000-0000AD080000}"/>
    <cellStyle name="Normal 5" xfId="2222" xr:uid="{00000000-0005-0000-0000-0000AE080000}"/>
    <cellStyle name="Normal 5 2" xfId="2223" xr:uid="{00000000-0005-0000-0000-0000AF080000}"/>
    <cellStyle name="Normal 5 2 2" xfId="2224" xr:uid="{00000000-0005-0000-0000-0000B0080000}"/>
    <cellStyle name="Normal 5 3" xfId="2225" xr:uid="{00000000-0005-0000-0000-0000B1080000}"/>
    <cellStyle name="Normal 5 4" xfId="2226" xr:uid="{00000000-0005-0000-0000-0000B2080000}"/>
    <cellStyle name="Normal 5 4 2" xfId="2227" xr:uid="{00000000-0005-0000-0000-0000B3080000}"/>
    <cellStyle name="Normal 6" xfId="2228" xr:uid="{00000000-0005-0000-0000-0000B4080000}"/>
    <cellStyle name="Normal 6 2" xfId="2229" xr:uid="{00000000-0005-0000-0000-0000B5080000}"/>
    <cellStyle name="Normal 6 2 2" xfId="2230" xr:uid="{00000000-0005-0000-0000-0000B6080000}"/>
    <cellStyle name="Normal 6 2 2 2" xfId="2231" xr:uid="{00000000-0005-0000-0000-0000B7080000}"/>
    <cellStyle name="Normal 6 2 3" xfId="2232" xr:uid="{00000000-0005-0000-0000-0000B8080000}"/>
    <cellStyle name="Normal 6 2 3 2" xfId="2233" xr:uid="{00000000-0005-0000-0000-0000B9080000}"/>
    <cellStyle name="Normal 6 2 4" xfId="2234" xr:uid="{00000000-0005-0000-0000-0000BA080000}"/>
    <cellStyle name="Normal 6 3" xfId="2235" xr:uid="{00000000-0005-0000-0000-0000BB080000}"/>
    <cellStyle name="Normal 6 3 2" xfId="2236" xr:uid="{00000000-0005-0000-0000-0000BC080000}"/>
    <cellStyle name="Normal 6 4" xfId="2237" xr:uid="{00000000-0005-0000-0000-0000BD080000}"/>
    <cellStyle name="Normal 6 4 2" xfId="2238" xr:uid="{00000000-0005-0000-0000-0000BE080000}"/>
    <cellStyle name="Normal 6 5" xfId="2239" xr:uid="{00000000-0005-0000-0000-0000BF080000}"/>
    <cellStyle name="Normal 6 6" xfId="2240" xr:uid="{00000000-0005-0000-0000-0000C0080000}"/>
    <cellStyle name="Normal 6 7" xfId="2241" xr:uid="{00000000-0005-0000-0000-0000C1080000}"/>
    <cellStyle name="Normal 7" xfId="2242" xr:uid="{00000000-0005-0000-0000-0000C2080000}"/>
    <cellStyle name="Normal 7 2" xfId="2243" xr:uid="{00000000-0005-0000-0000-0000C3080000}"/>
    <cellStyle name="Normal 7 3" xfId="2244" xr:uid="{00000000-0005-0000-0000-0000C4080000}"/>
    <cellStyle name="Normal 7 3 2" xfId="2245" xr:uid="{00000000-0005-0000-0000-0000C5080000}"/>
    <cellStyle name="Normal 7 3 3" xfId="2246" xr:uid="{00000000-0005-0000-0000-0000C6080000}"/>
    <cellStyle name="Normal 7 3_BP_Consolidação" xfId="2247" xr:uid="{00000000-0005-0000-0000-0000C7080000}"/>
    <cellStyle name="Normal 8" xfId="2248" xr:uid="{00000000-0005-0000-0000-0000C8080000}"/>
    <cellStyle name="Normal 8 2" xfId="2249" xr:uid="{00000000-0005-0000-0000-0000C9080000}"/>
    <cellStyle name="Normal 8 2 2" xfId="2250" xr:uid="{00000000-0005-0000-0000-0000CA080000}"/>
    <cellStyle name="Normal 8 2 2 2" xfId="2251" xr:uid="{00000000-0005-0000-0000-0000CB080000}"/>
    <cellStyle name="Normal 8 2 2 2 2" xfId="2252" xr:uid="{00000000-0005-0000-0000-0000CC080000}"/>
    <cellStyle name="Normal 8 2 2 2 3" xfId="2253" xr:uid="{00000000-0005-0000-0000-0000CD080000}"/>
    <cellStyle name="Normal 8 2 2 3" xfId="2254" xr:uid="{00000000-0005-0000-0000-0000CE080000}"/>
    <cellStyle name="Normal 8 2 2 4" xfId="2255" xr:uid="{00000000-0005-0000-0000-0000CF080000}"/>
    <cellStyle name="Normal 8 2 3" xfId="2256" xr:uid="{00000000-0005-0000-0000-0000D0080000}"/>
    <cellStyle name="Normal 8 2 3 2" xfId="2257" xr:uid="{00000000-0005-0000-0000-0000D1080000}"/>
    <cellStyle name="Normal 8 2 3 3" xfId="2258" xr:uid="{00000000-0005-0000-0000-0000D2080000}"/>
    <cellStyle name="Normal 8 2 4" xfId="2259" xr:uid="{00000000-0005-0000-0000-0000D3080000}"/>
    <cellStyle name="Normal 8 2 5" xfId="2260" xr:uid="{00000000-0005-0000-0000-0000D4080000}"/>
    <cellStyle name="Normal 8 2 6" xfId="2261" xr:uid="{00000000-0005-0000-0000-0000D5080000}"/>
    <cellStyle name="Normal 8 3" xfId="2262" xr:uid="{00000000-0005-0000-0000-0000D6080000}"/>
    <cellStyle name="Normal 8 3 2" xfId="2263" xr:uid="{00000000-0005-0000-0000-0000D7080000}"/>
    <cellStyle name="Normal 8 3 2 2" xfId="2264" xr:uid="{00000000-0005-0000-0000-0000D8080000}"/>
    <cellStyle name="Normal 8 3 2 2 2" xfId="2265" xr:uid="{00000000-0005-0000-0000-0000D9080000}"/>
    <cellStyle name="Normal 8 3 2 2 3" xfId="2266" xr:uid="{00000000-0005-0000-0000-0000DA080000}"/>
    <cellStyle name="Normal 8 3 2 3" xfId="2267" xr:uid="{00000000-0005-0000-0000-0000DB080000}"/>
    <cellStyle name="Normal 8 3 2 4" xfId="2268" xr:uid="{00000000-0005-0000-0000-0000DC080000}"/>
    <cellStyle name="Normal 8 3 3" xfId="2269" xr:uid="{00000000-0005-0000-0000-0000DD080000}"/>
    <cellStyle name="Normal 8 3 3 2" xfId="2270" xr:uid="{00000000-0005-0000-0000-0000DE080000}"/>
    <cellStyle name="Normal 8 3 3 3" xfId="2271" xr:uid="{00000000-0005-0000-0000-0000DF080000}"/>
    <cellStyle name="Normal 8 3 4" xfId="2272" xr:uid="{00000000-0005-0000-0000-0000E0080000}"/>
    <cellStyle name="Normal 8 3 5" xfId="2273" xr:uid="{00000000-0005-0000-0000-0000E1080000}"/>
    <cellStyle name="Normal 8 3 6" xfId="2274" xr:uid="{00000000-0005-0000-0000-0000E2080000}"/>
    <cellStyle name="Normal 8 4" xfId="2275" xr:uid="{00000000-0005-0000-0000-0000E3080000}"/>
    <cellStyle name="Normal 8 4 2" xfId="2276" xr:uid="{00000000-0005-0000-0000-0000E4080000}"/>
    <cellStyle name="Normal 8 4 2 2" xfId="2277" xr:uid="{00000000-0005-0000-0000-0000E5080000}"/>
    <cellStyle name="Normal 8 4 2 2 2" xfId="2278" xr:uid="{00000000-0005-0000-0000-0000E6080000}"/>
    <cellStyle name="Normal 8 4 2 2 3" xfId="2279" xr:uid="{00000000-0005-0000-0000-0000E7080000}"/>
    <cellStyle name="Normal 8 4 2 3" xfId="2280" xr:uid="{00000000-0005-0000-0000-0000E8080000}"/>
    <cellStyle name="Normal 8 4 2 4" xfId="2281" xr:uid="{00000000-0005-0000-0000-0000E9080000}"/>
    <cellStyle name="Normal 8 4 3" xfId="2282" xr:uid="{00000000-0005-0000-0000-0000EA080000}"/>
    <cellStyle name="Normal 8 4 3 2" xfId="2283" xr:uid="{00000000-0005-0000-0000-0000EB080000}"/>
    <cellStyle name="Normal 8 4 3 3" xfId="2284" xr:uid="{00000000-0005-0000-0000-0000EC080000}"/>
    <cellStyle name="Normal 8 4 4" xfId="2285" xr:uid="{00000000-0005-0000-0000-0000ED080000}"/>
    <cellStyle name="Normal 8 4 5" xfId="2286" xr:uid="{00000000-0005-0000-0000-0000EE080000}"/>
    <cellStyle name="Normal 8 5" xfId="2287" xr:uid="{00000000-0005-0000-0000-0000EF080000}"/>
    <cellStyle name="Normal 8 5 2" xfId="2288" xr:uid="{00000000-0005-0000-0000-0000F0080000}"/>
    <cellStyle name="Normal 8 5 2 2" xfId="2289" xr:uid="{00000000-0005-0000-0000-0000F1080000}"/>
    <cellStyle name="Normal 8 5 2 3" xfId="2290" xr:uid="{00000000-0005-0000-0000-0000F2080000}"/>
    <cellStyle name="Normal 8 5 3" xfId="2291" xr:uid="{00000000-0005-0000-0000-0000F3080000}"/>
    <cellStyle name="Normal 8 5 4" xfId="2292" xr:uid="{00000000-0005-0000-0000-0000F4080000}"/>
    <cellStyle name="Normal 8 6" xfId="2293" xr:uid="{00000000-0005-0000-0000-0000F5080000}"/>
    <cellStyle name="Normal 8 6 2" xfId="2294" xr:uid="{00000000-0005-0000-0000-0000F6080000}"/>
    <cellStyle name="Normal 8 6 3" xfId="2295" xr:uid="{00000000-0005-0000-0000-0000F7080000}"/>
    <cellStyle name="Normal 8 7" xfId="2296" xr:uid="{00000000-0005-0000-0000-0000F8080000}"/>
    <cellStyle name="Normal 8 8" xfId="2297" xr:uid="{00000000-0005-0000-0000-0000F9080000}"/>
    <cellStyle name="Normal 8 9" xfId="2298" xr:uid="{00000000-0005-0000-0000-0000FA080000}"/>
    <cellStyle name="Normal 9" xfId="2299" xr:uid="{00000000-0005-0000-0000-0000FB080000}"/>
    <cellStyle name="Normal 9 2" xfId="2300" xr:uid="{00000000-0005-0000-0000-0000FC080000}"/>
    <cellStyle name="Normal 9 2 2" xfId="2301" xr:uid="{00000000-0005-0000-0000-0000FD080000}"/>
    <cellStyle name="Normal 9 2 2 2" xfId="2302" xr:uid="{00000000-0005-0000-0000-0000FE080000}"/>
    <cellStyle name="Normal 9 2 3" xfId="2303" xr:uid="{00000000-0005-0000-0000-0000FF080000}"/>
    <cellStyle name="Normal 9 2 3 2" xfId="2304" xr:uid="{00000000-0005-0000-0000-000000090000}"/>
    <cellStyle name="Normal 9 2 4" xfId="2305" xr:uid="{00000000-0005-0000-0000-000001090000}"/>
    <cellStyle name="Normal 9 3" xfId="2306" xr:uid="{00000000-0005-0000-0000-000002090000}"/>
    <cellStyle name="Normal 9 3 2" xfId="2307" xr:uid="{00000000-0005-0000-0000-000003090000}"/>
    <cellStyle name="Normal 9 4" xfId="2308" xr:uid="{00000000-0005-0000-0000-000004090000}"/>
    <cellStyle name="Normal 9 5" xfId="2309" xr:uid="{00000000-0005-0000-0000-000005090000}"/>
    <cellStyle name="Normalny_laroux" xfId="2310" xr:uid="{00000000-0005-0000-0000-000006090000}"/>
    <cellStyle name="Nota 10" xfId="2311" xr:uid="{00000000-0005-0000-0000-000007090000}"/>
    <cellStyle name="Nota 10 2" xfId="2312" xr:uid="{00000000-0005-0000-0000-000008090000}"/>
    <cellStyle name="Nota 10 2 2" xfId="2313" xr:uid="{00000000-0005-0000-0000-000009090000}"/>
    <cellStyle name="Nota 10 2 2 2" xfId="2314" xr:uid="{00000000-0005-0000-0000-00000A090000}"/>
    <cellStyle name="Nota 10 2 3" xfId="2315" xr:uid="{00000000-0005-0000-0000-00000B090000}"/>
    <cellStyle name="Nota 10 2 3 2" xfId="2316" xr:uid="{00000000-0005-0000-0000-00000C090000}"/>
    <cellStyle name="Nota 10 2 4" xfId="2317" xr:uid="{00000000-0005-0000-0000-00000D090000}"/>
    <cellStyle name="Nota 10 3" xfId="2318" xr:uid="{00000000-0005-0000-0000-00000E090000}"/>
    <cellStyle name="Nota 10 3 2" xfId="2319" xr:uid="{00000000-0005-0000-0000-00000F090000}"/>
    <cellStyle name="Nota 10 3 2 2" xfId="2320" xr:uid="{00000000-0005-0000-0000-000010090000}"/>
    <cellStyle name="Nota 10 3 3" xfId="2321" xr:uid="{00000000-0005-0000-0000-000011090000}"/>
    <cellStyle name="Nota 10 4" xfId="2322" xr:uid="{00000000-0005-0000-0000-000012090000}"/>
    <cellStyle name="Nota 10 4 2" xfId="2323" xr:uid="{00000000-0005-0000-0000-000013090000}"/>
    <cellStyle name="Nota 10 5" xfId="2324" xr:uid="{00000000-0005-0000-0000-000014090000}"/>
    <cellStyle name="Nota 10 5 2" xfId="2325" xr:uid="{00000000-0005-0000-0000-000015090000}"/>
    <cellStyle name="Nota 10 6" xfId="2326" xr:uid="{00000000-0005-0000-0000-000016090000}"/>
    <cellStyle name="Nota 11" xfId="2327" xr:uid="{00000000-0005-0000-0000-000017090000}"/>
    <cellStyle name="Nota 11 2" xfId="2328" xr:uid="{00000000-0005-0000-0000-000018090000}"/>
    <cellStyle name="Nota 11 2 2" xfId="2329" xr:uid="{00000000-0005-0000-0000-000019090000}"/>
    <cellStyle name="Nota 11 2 2 2" xfId="2330" xr:uid="{00000000-0005-0000-0000-00001A090000}"/>
    <cellStyle name="Nota 11 2 2 2 2" xfId="2331" xr:uid="{00000000-0005-0000-0000-00001B090000}"/>
    <cellStyle name="Nota 11 2 2 2 3" xfId="2332" xr:uid="{00000000-0005-0000-0000-00001C090000}"/>
    <cellStyle name="Nota 11 2 2 3" xfId="2333" xr:uid="{00000000-0005-0000-0000-00001D090000}"/>
    <cellStyle name="Nota 11 2 2 4" xfId="2334" xr:uid="{00000000-0005-0000-0000-00001E090000}"/>
    <cellStyle name="Nota 11 2 3" xfId="2335" xr:uid="{00000000-0005-0000-0000-00001F090000}"/>
    <cellStyle name="Nota 11 2 3 2" xfId="2336" xr:uid="{00000000-0005-0000-0000-000020090000}"/>
    <cellStyle name="Nota 11 2 3 3" xfId="2337" xr:uid="{00000000-0005-0000-0000-000021090000}"/>
    <cellStyle name="Nota 11 2 4" xfId="2338" xr:uid="{00000000-0005-0000-0000-000022090000}"/>
    <cellStyle name="Nota 11 2 5" xfId="2339" xr:uid="{00000000-0005-0000-0000-000023090000}"/>
    <cellStyle name="Nota 11 2 6" xfId="2340" xr:uid="{00000000-0005-0000-0000-000024090000}"/>
    <cellStyle name="Nota 11 3" xfId="2341" xr:uid="{00000000-0005-0000-0000-000025090000}"/>
    <cellStyle name="Nota 11 3 2" xfId="2342" xr:uid="{00000000-0005-0000-0000-000026090000}"/>
    <cellStyle name="Nota 11 3 2 2" xfId="2343" xr:uid="{00000000-0005-0000-0000-000027090000}"/>
    <cellStyle name="Nota 11 3 2 3" xfId="2344" xr:uid="{00000000-0005-0000-0000-000028090000}"/>
    <cellStyle name="Nota 11 3 3" xfId="2345" xr:uid="{00000000-0005-0000-0000-000029090000}"/>
    <cellStyle name="Nota 11 3 4" xfId="2346" xr:uid="{00000000-0005-0000-0000-00002A090000}"/>
    <cellStyle name="Nota 11 4" xfId="2347" xr:uid="{00000000-0005-0000-0000-00002B090000}"/>
    <cellStyle name="Nota 11 4 2" xfId="2348" xr:uid="{00000000-0005-0000-0000-00002C090000}"/>
    <cellStyle name="Nota 11 4 3" xfId="2349" xr:uid="{00000000-0005-0000-0000-00002D090000}"/>
    <cellStyle name="Nota 11 5" xfId="2350" xr:uid="{00000000-0005-0000-0000-00002E090000}"/>
    <cellStyle name="Nota 11 6" xfId="2351" xr:uid="{00000000-0005-0000-0000-00002F090000}"/>
    <cellStyle name="Nota 11 7" xfId="2352" xr:uid="{00000000-0005-0000-0000-000030090000}"/>
    <cellStyle name="Nota 12" xfId="2353" xr:uid="{00000000-0005-0000-0000-000031090000}"/>
    <cellStyle name="Nota 12 2" xfId="2354" xr:uid="{00000000-0005-0000-0000-000032090000}"/>
    <cellStyle name="Nota 12 2 2" xfId="2355" xr:uid="{00000000-0005-0000-0000-000033090000}"/>
    <cellStyle name="Nota 13" xfId="2356" xr:uid="{00000000-0005-0000-0000-000034090000}"/>
    <cellStyle name="Nota 14" xfId="2357" xr:uid="{00000000-0005-0000-0000-000035090000}"/>
    <cellStyle name="Nota 14 2" xfId="2358" xr:uid="{00000000-0005-0000-0000-000036090000}"/>
    <cellStyle name="Nota 15" xfId="2359" xr:uid="{00000000-0005-0000-0000-000037090000}"/>
    <cellStyle name="Nota 15 2" xfId="2360" xr:uid="{00000000-0005-0000-0000-000038090000}"/>
    <cellStyle name="Nota 16" xfId="2361" xr:uid="{00000000-0005-0000-0000-000039090000}"/>
    <cellStyle name="Nota 16 2" xfId="2362" xr:uid="{00000000-0005-0000-0000-00003A090000}"/>
    <cellStyle name="Nota 17" xfId="2363" xr:uid="{00000000-0005-0000-0000-00003B090000}"/>
    <cellStyle name="Nota 17 2" xfId="2364" xr:uid="{00000000-0005-0000-0000-00003C090000}"/>
    <cellStyle name="Nota 18" xfId="2365" xr:uid="{00000000-0005-0000-0000-00003D090000}"/>
    <cellStyle name="Nota 18 2" xfId="2366" xr:uid="{00000000-0005-0000-0000-00003E090000}"/>
    <cellStyle name="Nota 2" xfId="2367" xr:uid="{00000000-0005-0000-0000-00003F090000}"/>
    <cellStyle name="Nota 2 2" xfId="2368" xr:uid="{00000000-0005-0000-0000-000040090000}"/>
    <cellStyle name="Nota 2 2 2" xfId="2369" xr:uid="{00000000-0005-0000-0000-000041090000}"/>
    <cellStyle name="Nota 2 2 2 2" xfId="2370" xr:uid="{00000000-0005-0000-0000-000042090000}"/>
    <cellStyle name="Nota 2 2 2 2 2" xfId="2371" xr:uid="{00000000-0005-0000-0000-000043090000}"/>
    <cellStyle name="Nota 2 2 2 2 2 2" xfId="2372" xr:uid="{00000000-0005-0000-0000-000044090000}"/>
    <cellStyle name="Nota 2 2 2 2 2 2 2" xfId="2373" xr:uid="{00000000-0005-0000-0000-000045090000}"/>
    <cellStyle name="Nota 2 2 2 2 2 3" xfId="2374" xr:uid="{00000000-0005-0000-0000-000046090000}"/>
    <cellStyle name="Nota 2 2 2 2 3" xfId="2375" xr:uid="{00000000-0005-0000-0000-000047090000}"/>
    <cellStyle name="Nota 2 2 2 2 3 2" xfId="2376" xr:uid="{00000000-0005-0000-0000-000048090000}"/>
    <cellStyle name="Nota 2 2 2 2 3 2 2" xfId="2377" xr:uid="{00000000-0005-0000-0000-000049090000}"/>
    <cellStyle name="Nota 2 2 2 2 3 3" xfId="2378" xr:uid="{00000000-0005-0000-0000-00004A090000}"/>
    <cellStyle name="Nota 2 2 2 2 4" xfId="2379" xr:uid="{00000000-0005-0000-0000-00004B090000}"/>
    <cellStyle name="Nota 2 2 2 2 4 2" xfId="2380" xr:uid="{00000000-0005-0000-0000-00004C090000}"/>
    <cellStyle name="Nota 2 2 2 2 5" xfId="2381" xr:uid="{00000000-0005-0000-0000-00004D090000}"/>
    <cellStyle name="Nota 2 2 2 3" xfId="2382" xr:uid="{00000000-0005-0000-0000-00004E090000}"/>
    <cellStyle name="Nota 2 2 2 3 2" xfId="2383" xr:uid="{00000000-0005-0000-0000-00004F090000}"/>
    <cellStyle name="Nota 2 2 2 3 2 2" xfId="2384" xr:uid="{00000000-0005-0000-0000-000050090000}"/>
    <cellStyle name="Nota 2 2 2 3 3" xfId="2385" xr:uid="{00000000-0005-0000-0000-000051090000}"/>
    <cellStyle name="Nota 2 2 2 4" xfId="2386" xr:uid="{00000000-0005-0000-0000-000052090000}"/>
    <cellStyle name="Nota 2 2 2 4 2" xfId="2387" xr:uid="{00000000-0005-0000-0000-000053090000}"/>
    <cellStyle name="Nota 2 2 2 4 2 2" xfId="2388" xr:uid="{00000000-0005-0000-0000-000054090000}"/>
    <cellStyle name="Nota 2 2 2 4 3" xfId="2389" xr:uid="{00000000-0005-0000-0000-000055090000}"/>
    <cellStyle name="Nota 2 2 2 5" xfId="2390" xr:uid="{00000000-0005-0000-0000-000056090000}"/>
    <cellStyle name="Nota 2 2 2 5 2" xfId="2391" xr:uid="{00000000-0005-0000-0000-000057090000}"/>
    <cellStyle name="Nota 2 2 2 6" xfId="2392" xr:uid="{00000000-0005-0000-0000-000058090000}"/>
    <cellStyle name="Nota 2 2 3" xfId="2393" xr:uid="{00000000-0005-0000-0000-000059090000}"/>
    <cellStyle name="Nota 2 2 3 2" xfId="2394" xr:uid="{00000000-0005-0000-0000-00005A090000}"/>
    <cellStyle name="Nota 2 2 3 2 2" xfId="2395" xr:uid="{00000000-0005-0000-0000-00005B090000}"/>
    <cellStyle name="Nota 2 2 3 2 2 2" xfId="2396" xr:uid="{00000000-0005-0000-0000-00005C090000}"/>
    <cellStyle name="Nota 2 2 3 2 3" xfId="2397" xr:uid="{00000000-0005-0000-0000-00005D090000}"/>
    <cellStyle name="Nota 2 2 3 3" xfId="2398" xr:uid="{00000000-0005-0000-0000-00005E090000}"/>
    <cellStyle name="Nota 2 2 3 3 2" xfId="2399" xr:uid="{00000000-0005-0000-0000-00005F090000}"/>
    <cellStyle name="Nota 2 2 3 3 2 2" xfId="2400" xr:uid="{00000000-0005-0000-0000-000060090000}"/>
    <cellStyle name="Nota 2 2 3 3 3" xfId="2401" xr:uid="{00000000-0005-0000-0000-000061090000}"/>
    <cellStyle name="Nota 2 2 3 4" xfId="2402" xr:uid="{00000000-0005-0000-0000-000062090000}"/>
    <cellStyle name="Nota 2 2 3 4 2" xfId="2403" xr:uid="{00000000-0005-0000-0000-000063090000}"/>
    <cellStyle name="Nota 2 2 3 5" xfId="2404" xr:uid="{00000000-0005-0000-0000-000064090000}"/>
    <cellStyle name="Nota 2 2 4" xfId="2405" xr:uid="{00000000-0005-0000-0000-000065090000}"/>
    <cellStyle name="Nota 2 2 4 2" xfId="2406" xr:uid="{00000000-0005-0000-0000-000066090000}"/>
    <cellStyle name="Nota 2 2 4 2 2" xfId="2407" xr:uid="{00000000-0005-0000-0000-000067090000}"/>
    <cellStyle name="Nota 2 2 4 3" xfId="2408" xr:uid="{00000000-0005-0000-0000-000068090000}"/>
    <cellStyle name="Nota 2 2 5" xfId="2409" xr:uid="{00000000-0005-0000-0000-000069090000}"/>
    <cellStyle name="Nota 2 2 5 2" xfId="2410" xr:uid="{00000000-0005-0000-0000-00006A090000}"/>
    <cellStyle name="Nota 2 2 5 2 2" xfId="2411" xr:uid="{00000000-0005-0000-0000-00006B090000}"/>
    <cellStyle name="Nota 2 2 5 3" xfId="2412" xr:uid="{00000000-0005-0000-0000-00006C090000}"/>
    <cellStyle name="Nota 2 2 6" xfId="2413" xr:uid="{00000000-0005-0000-0000-00006D090000}"/>
    <cellStyle name="Nota 2 2 6 2" xfId="2414" xr:uid="{00000000-0005-0000-0000-00006E090000}"/>
    <cellStyle name="Nota 2 2 7" xfId="2415" xr:uid="{00000000-0005-0000-0000-00006F090000}"/>
    <cellStyle name="Nota 2 3" xfId="2416" xr:uid="{00000000-0005-0000-0000-000070090000}"/>
    <cellStyle name="Nota 2 3 2" xfId="2417" xr:uid="{00000000-0005-0000-0000-000071090000}"/>
    <cellStyle name="Nota 2 3 2 2" xfId="2418" xr:uid="{00000000-0005-0000-0000-000072090000}"/>
    <cellStyle name="Nota 2 3 2 2 2" xfId="2419" xr:uid="{00000000-0005-0000-0000-000073090000}"/>
    <cellStyle name="Nota 2 3 2 2 2 2" xfId="2420" xr:uid="{00000000-0005-0000-0000-000074090000}"/>
    <cellStyle name="Nota 2 3 2 2 3" xfId="2421" xr:uid="{00000000-0005-0000-0000-000075090000}"/>
    <cellStyle name="Nota 2 3 2 3" xfId="2422" xr:uid="{00000000-0005-0000-0000-000076090000}"/>
    <cellStyle name="Nota 2 3 2 3 2" xfId="2423" xr:uid="{00000000-0005-0000-0000-000077090000}"/>
    <cellStyle name="Nota 2 3 2 3 2 2" xfId="2424" xr:uid="{00000000-0005-0000-0000-000078090000}"/>
    <cellStyle name="Nota 2 3 2 3 3" xfId="2425" xr:uid="{00000000-0005-0000-0000-000079090000}"/>
    <cellStyle name="Nota 2 3 2 4" xfId="2426" xr:uid="{00000000-0005-0000-0000-00007A090000}"/>
    <cellStyle name="Nota 2 3 2 4 2" xfId="2427" xr:uid="{00000000-0005-0000-0000-00007B090000}"/>
    <cellStyle name="Nota 2 3 2 5" xfId="2428" xr:uid="{00000000-0005-0000-0000-00007C090000}"/>
    <cellStyle name="Nota 2 3 3" xfId="2429" xr:uid="{00000000-0005-0000-0000-00007D090000}"/>
    <cellStyle name="Nota 2 3 3 2" xfId="2430" xr:uid="{00000000-0005-0000-0000-00007E090000}"/>
    <cellStyle name="Nota 2 3 3 2 2" xfId="2431" xr:uid="{00000000-0005-0000-0000-00007F090000}"/>
    <cellStyle name="Nota 2 3 3 3" xfId="2432" xr:uid="{00000000-0005-0000-0000-000080090000}"/>
    <cellStyle name="Nota 2 3 4" xfId="2433" xr:uid="{00000000-0005-0000-0000-000081090000}"/>
    <cellStyle name="Nota 2 3 4 2" xfId="2434" xr:uid="{00000000-0005-0000-0000-000082090000}"/>
    <cellStyle name="Nota 2 3 4 2 2" xfId="2435" xr:uid="{00000000-0005-0000-0000-000083090000}"/>
    <cellStyle name="Nota 2 3 4 3" xfId="2436" xr:uid="{00000000-0005-0000-0000-000084090000}"/>
    <cellStyle name="Nota 2 3 5" xfId="2437" xr:uid="{00000000-0005-0000-0000-000085090000}"/>
    <cellStyle name="Nota 2 3 5 2" xfId="2438" xr:uid="{00000000-0005-0000-0000-000086090000}"/>
    <cellStyle name="Nota 2 3 6" xfId="2439" xr:uid="{00000000-0005-0000-0000-000087090000}"/>
    <cellStyle name="Nota 2 4" xfId="2440" xr:uid="{00000000-0005-0000-0000-000088090000}"/>
    <cellStyle name="Nota 2 4 2" xfId="2441" xr:uid="{00000000-0005-0000-0000-000089090000}"/>
    <cellStyle name="Nota 2 4 2 2" xfId="2442" xr:uid="{00000000-0005-0000-0000-00008A090000}"/>
    <cellStyle name="Nota 2 4 2 2 2" xfId="2443" xr:uid="{00000000-0005-0000-0000-00008B090000}"/>
    <cellStyle name="Nota 2 4 2 3" xfId="2444" xr:uid="{00000000-0005-0000-0000-00008C090000}"/>
    <cellStyle name="Nota 2 4 3" xfId="2445" xr:uid="{00000000-0005-0000-0000-00008D090000}"/>
    <cellStyle name="Nota 2 4 3 2" xfId="2446" xr:uid="{00000000-0005-0000-0000-00008E090000}"/>
    <cellStyle name="Nota 2 4 3 2 2" xfId="2447" xr:uid="{00000000-0005-0000-0000-00008F090000}"/>
    <cellStyle name="Nota 2 4 3 3" xfId="2448" xr:uid="{00000000-0005-0000-0000-000090090000}"/>
    <cellStyle name="Nota 2 4 4" xfId="2449" xr:uid="{00000000-0005-0000-0000-000091090000}"/>
    <cellStyle name="Nota 2 4 4 2" xfId="2450" xr:uid="{00000000-0005-0000-0000-000092090000}"/>
    <cellStyle name="Nota 2 4 5" xfId="2451" xr:uid="{00000000-0005-0000-0000-000093090000}"/>
    <cellStyle name="Nota 2 5" xfId="2452" xr:uid="{00000000-0005-0000-0000-000094090000}"/>
    <cellStyle name="Nota 2 5 2" xfId="2453" xr:uid="{00000000-0005-0000-0000-000095090000}"/>
    <cellStyle name="Nota 2 5 2 2" xfId="2454" xr:uid="{00000000-0005-0000-0000-000096090000}"/>
    <cellStyle name="Nota 2 5 3" xfId="2455" xr:uid="{00000000-0005-0000-0000-000097090000}"/>
    <cellStyle name="Nota 2 6" xfId="2456" xr:uid="{00000000-0005-0000-0000-000098090000}"/>
    <cellStyle name="Nota 2 6 2" xfId="2457" xr:uid="{00000000-0005-0000-0000-000099090000}"/>
    <cellStyle name="Nota 2 6 2 2" xfId="2458" xr:uid="{00000000-0005-0000-0000-00009A090000}"/>
    <cellStyle name="Nota 2 6 3" xfId="2459" xr:uid="{00000000-0005-0000-0000-00009B090000}"/>
    <cellStyle name="Nota 2 7" xfId="2460" xr:uid="{00000000-0005-0000-0000-00009C090000}"/>
    <cellStyle name="Nota 2 8" xfId="2461" xr:uid="{00000000-0005-0000-0000-00009D090000}"/>
    <cellStyle name="Nota 2 8 2" xfId="2462" xr:uid="{00000000-0005-0000-0000-00009E090000}"/>
    <cellStyle name="Nota 2 9" xfId="2463" xr:uid="{00000000-0005-0000-0000-00009F090000}"/>
    <cellStyle name="Nota 2_BP_Consolidação" xfId="2464" xr:uid="{00000000-0005-0000-0000-0000A0090000}"/>
    <cellStyle name="Nota 3" xfId="2465" xr:uid="{00000000-0005-0000-0000-0000A1090000}"/>
    <cellStyle name="Nota 3 2" xfId="2466" xr:uid="{00000000-0005-0000-0000-0000A2090000}"/>
    <cellStyle name="Nota 3 2 2" xfId="2467" xr:uid="{00000000-0005-0000-0000-0000A3090000}"/>
    <cellStyle name="Nota 3 2 2 2" xfId="2468" xr:uid="{00000000-0005-0000-0000-0000A4090000}"/>
    <cellStyle name="Nota 3 2 2 2 2" xfId="2469" xr:uid="{00000000-0005-0000-0000-0000A5090000}"/>
    <cellStyle name="Nota 3 2 2 2 2 2" xfId="2470" xr:uid="{00000000-0005-0000-0000-0000A6090000}"/>
    <cellStyle name="Nota 3 2 2 2 2 2 2" xfId="2471" xr:uid="{00000000-0005-0000-0000-0000A7090000}"/>
    <cellStyle name="Nota 3 2 2 2 2 3" xfId="2472" xr:uid="{00000000-0005-0000-0000-0000A8090000}"/>
    <cellStyle name="Nota 3 2 2 2 3" xfId="2473" xr:uid="{00000000-0005-0000-0000-0000A9090000}"/>
    <cellStyle name="Nota 3 2 2 2 3 2" xfId="2474" xr:uid="{00000000-0005-0000-0000-0000AA090000}"/>
    <cellStyle name="Nota 3 2 2 2 3 2 2" xfId="2475" xr:uid="{00000000-0005-0000-0000-0000AB090000}"/>
    <cellStyle name="Nota 3 2 2 2 3 3" xfId="2476" xr:uid="{00000000-0005-0000-0000-0000AC090000}"/>
    <cellStyle name="Nota 3 2 2 2 4" xfId="2477" xr:uid="{00000000-0005-0000-0000-0000AD090000}"/>
    <cellStyle name="Nota 3 2 2 2 4 2" xfId="2478" xr:uid="{00000000-0005-0000-0000-0000AE090000}"/>
    <cellStyle name="Nota 3 2 2 2 5" xfId="2479" xr:uid="{00000000-0005-0000-0000-0000AF090000}"/>
    <cellStyle name="Nota 3 2 2 3" xfId="2480" xr:uid="{00000000-0005-0000-0000-0000B0090000}"/>
    <cellStyle name="Nota 3 2 2 3 2" xfId="2481" xr:uid="{00000000-0005-0000-0000-0000B1090000}"/>
    <cellStyle name="Nota 3 2 2 3 2 2" xfId="2482" xr:uid="{00000000-0005-0000-0000-0000B2090000}"/>
    <cellStyle name="Nota 3 2 2 3 3" xfId="2483" xr:uid="{00000000-0005-0000-0000-0000B3090000}"/>
    <cellStyle name="Nota 3 2 2 4" xfId="2484" xr:uid="{00000000-0005-0000-0000-0000B4090000}"/>
    <cellStyle name="Nota 3 2 2 4 2" xfId="2485" xr:uid="{00000000-0005-0000-0000-0000B5090000}"/>
    <cellStyle name="Nota 3 2 2 4 2 2" xfId="2486" xr:uid="{00000000-0005-0000-0000-0000B6090000}"/>
    <cellStyle name="Nota 3 2 2 4 3" xfId="2487" xr:uid="{00000000-0005-0000-0000-0000B7090000}"/>
    <cellStyle name="Nota 3 2 2 5" xfId="2488" xr:uid="{00000000-0005-0000-0000-0000B8090000}"/>
    <cellStyle name="Nota 3 2 2 5 2" xfId="2489" xr:uid="{00000000-0005-0000-0000-0000B9090000}"/>
    <cellStyle name="Nota 3 2 2 6" xfId="2490" xr:uid="{00000000-0005-0000-0000-0000BA090000}"/>
    <cellStyle name="Nota 3 2 3" xfId="2491" xr:uid="{00000000-0005-0000-0000-0000BB090000}"/>
    <cellStyle name="Nota 3 2 3 2" xfId="2492" xr:uid="{00000000-0005-0000-0000-0000BC090000}"/>
    <cellStyle name="Nota 3 2 3 2 2" xfId="2493" xr:uid="{00000000-0005-0000-0000-0000BD090000}"/>
    <cellStyle name="Nota 3 2 3 2 2 2" xfId="2494" xr:uid="{00000000-0005-0000-0000-0000BE090000}"/>
    <cellStyle name="Nota 3 2 3 2 3" xfId="2495" xr:uid="{00000000-0005-0000-0000-0000BF090000}"/>
    <cellStyle name="Nota 3 2 3 3" xfId="2496" xr:uid="{00000000-0005-0000-0000-0000C0090000}"/>
    <cellStyle name="Nota 3 2 3 3 2" xfId="2497" xr:uid="{00000000-0005-0000-0000-0000C1090000}"/>
    <cellStyle name="Nota 3 2 3 3 2 2" xfId="2498" xr:uid="{00000000-0005-0000-0000-0000C2090000}"/>
    <cellStyle name="Nota 3 2 3 3 3" xfId="2499" xr:uid="{00000000-0005-0000-0000-0000C3090000}"/>
    <cellStyle name="Nota 3 2 3 4" xfId="2500" xr:uid="{00000000-0005-0000-0000-0000C4090000}"/>
    <cellStyle name="Nota 3 2 3 4 2" xfId="2501" xr:uid="{00000000-0005-0000-0000-0000C5090000}"/>
    <cellStyle name="Nota 3 2 3 5" xfId="2502" xr:uid="{00000000-0005-0000-0000-0000C6090000}"/>
    <cellStyle name="Nota 3 2 4" xfId="2503" xr:uid="{00000000-0005-0000-0000-0000C7090000}"/>
    <cellStyle name="Nota 3 2 4 2" xfId="2504" xr:uid="{00000000-0005-0000-0000-0000C8090000}"/>
    <cellStyle name="Nota 3 2 4 2 2" xfId="2505" xr:uid="{00000000-0005-0000-0000-0000C9090000}"/>
    <cellStyle name="Nota 3 2 4 3" xfId="2506" xr:uid="{00000000-0005-0000-0000-0000CA090000}"/>
    <cellStyle name="Nota 3 2 5" xfId="2507" xr:uid="{00000000-0005-0000-0000-0000CB090000}"/>
    <cellStyle name="Nota 3 2 5 2" xfId="2508" xr:uid="{00000000-0005-0000-0000-0000CC090000}"/>
    <cellStyle name="Nota 3 2 5 2 2" xfId="2509" xr:uid="{00000000-0005-0000-0000-0000CD090000}"/>
    <cellStyle name="Nota 3 2 5 3" xfId="2510" xr:uid="{00000000-0005-0000-0000-0000CE090000}"/>
    <cellStyle name="Nota 3 2 6" xfId="2511" xr:uid="{00000000-0005-0000-0000-0000CF090000}"/>
    <cellStyle name="Nota 3 2 6 2" xfId="2512" xr:uid="{00000000-0005-0000-0000-0000D0090000}"/>
    <cellStyle name="Nota 3 2 7" xfId="2513" xr:uid="{00000000-0005-0000-0000-0000D1090000}"/>
    <cellStyle name="Nota 3 3" xfId="2514" xr:uid="{00000000-0005-0000-0000-0000D2090000}"/>
    <cellStyle name="Nota 3 3 2" xfId="2515" xr:uid="{00000000-0005-0000-0000-0000D3090000}"/>
    <cellStyle name="Nota 3 3 2 2" xfId="2516" xr:uid="{00000000-0005-0000-0000-0000D4090000}"/>
    <cellStyle name="Nota 3 3 2 2 2" xfId="2517" xr:uid="{00000000-0005-0000-0000-0000D5090000}"/>
    <cellStyle name="Nota 3 3 2 2 2 2" xfId="2518" xr:uid="{00000000-0005-0000-0000-0000D6090000}"/>
    <cellStyle name="Nota 3 3 2 2 3" xfId="2519" xr:uid="{00000000-0005-0000-0000-0000D7090000}"/>
    <cellStyle name="Nota 3 3 2 3" xfId="2520" xr:uid="{00000000-0005-0000-0000-0000D8090000}"/>
    <cellStyle name="Nota 3 3 2 3 2" xfId="2521" xr:uid="{00000000-0005-0000-0000-0000D9090000}"/>
    <cellStyle name="Nota 3 3 2 3 2 2" xfId="2522" xr:uid="{00000000-0005-0000-0000-0000DA090000}"/>
    <cellStyle name="Nota 3 3 2 3 3" xfId="2523" xr:uid="{00000000-0005-0000-0000-0000DB090000}"/>
    <cellStyle name="Nota 3 3 2 4" xfId="2524" xr:uid="{00000000-0005-0000-0000-0000DC090000}"/>
    <cellStyle name="Nota 3 3 2 4 2" xfId="2525" xr:uid="{00000000-0005-0000-0000-0000DD090000}"/>
    <cellStyle name="Nota 3 3 2 5" xfId="2526" xr:uid="{00000000-0005-0000-0000-0000DE090000}"/>
    <cellStyle name="Nota 3 3 3" xfId="2527" xr:uid="{00000000-0005-0000-0000-0000DF090000}"/>
    <cellStyle name="Nota 3 3 3 2" xfId="2528" xr:uid="{00000000-0005-0000-0000-0000E0090000}"/>
    <cellStyle name="Nota 3 3 3 2 2" xfId="2529" xr:uid="{00000000-0005-0000-0000-0000E1090000}"/>
    <cellStyle name="Nota 3 3 3 3" xfId="2530" xr:uid="{00000000-0005-0000-0000-0000E2090000}"/>
    <cellStyle name="Nota 3 3 4" xfId="2531" xr:uid="{00000000-0005-0000-0000-0000E3090000}"/>
    <cellStyle name="Nota 3 3 4 2" xfId="2532" xr:uid="{00000000-0005-0000-0000-0000E4090000}"/>
    <cellStyle name="Nota 3 3 4 2 2" xfId="2533" xr:uid="{00000000-0005-0000-0000-0000E5090000}"/>
    <cellStyle name="Nota 3 3 4 3" xfId="2534" xr:uid="{00000000-0005-0000-0000-0000E6090000}"/>
    <cellStyle name="Nota 3 3 5" xfId="2535" xr:uid="{00000000-0005-0000-0000-0000E7090000}"/>
    <cellStyle name="Nota 3 3 5 2" xfId="2536" xr:uid="{00000000-0005-0000-0000-0000E8090000}"/>
    <cellStyle name="Nota 3 3 6" xfId="2537" xr:uid="{00000000-0005-0000-0000-0000E9090000}"/>
    <cellStyle name="Nota 3 4" xfId="2538" xr:uid="{00000000-0005-0000-0000-0000EA090000}"/>
    <cellStyle name="Nota 3 4 2" xfId="2539" xr:uid="{00000000-0005-0000-0000-0000EB090000}"/>
    <cellStyle name="Nota 3 4 2 2" xfId="2540" xr:uid="{00000000-0005-0000-0000-0000EC090000}"/>
    <cellStyle name="Nota 3 4 2 2 2" xfId="2541" xr:uid="{00000000-0005-0000-0000-0000ED090000}"/>
    <cellStyle name="Nota 3 4 2 3" xfId="2542" xr:uid="{00000000-0005-0000-0000-0000EE090000}"/>
    <cellStyle name="Nota 3 4 3" xfId="2543" xr:uid="{00000000-0005-0000-0000-0000EF090000}"/>
    <cellStyle name="Nota 3 4 3 2" xfId="2544" xr:uid="{00000000-0005-0000-0000-0000F0090000}"/>
    <cellStyle name="Nota 3 4 3 2 2" xfId="2545" xr:uid="{00000000-0005-0000-0000-0000F1090000}"/>
    <cellStyle name="Nota 3 4 3 3" xfId="2546" xr:uid="{00000000-0005-0000-0000-0000F2090000}"/>
    <cellStyle name="Nota 3 4 4" xfId="2547" xr:uid="{00000000-0005-0000-0000-0000F3090000}"/>
    <cellStyle name="Nota 3 4 4 2" xfId="2548" xr:uid="{00000000-0005-0000-0000-0000F4090000}"/>
    <cellStyle name="Nota 3 4 5" xfId="2549" xr:uid="{00000000-0005-0000-0000-0000F5090000}"/>
    <cellStyle name="Nota 3 5" xfId="2550" xr:uid="{00000000-0005-0000-0000-0000F6090000}"/>
    <cellStyle name="Nota 3 5 2" xfId="2551" xr:uid="{00000000-0005-0000-0000-0000F7090000}"/>
    <cellStyle name="Nota 3 5 2 2" xfId="2552" xr:uid="{00000000-0005-0000-0000-0000F8090000}"/>
    <cellStyle name="Nota 3 5 3" xfId="2553" xr:uid="{00000000-0005-0000-0000-0000F9090000}"/>
    <cellStyle name="Nota 3 6" xfId="2554" xr:uid="{00000000-0005-0000-0000-0000FA090000}"/>
    <cellStyle name="Nota 3 6 2" xfId="2555" xr:uid="{00000000-0005-0000-0000-0000FB090000}"/>
    <cellStyle name="Nota 3 6 2 2" xfId="2556" xr:uid="{00000000-0005-0000-0000-0000FC090000}"/>
    <cellStyle name="Nota 3 6 3" xfId="2557" xr:uid="{00000000-0005-0000-0000-0000FD090000}"/>
    <cellStyle name="Nota 3 7" xfId="2558" xr:uid="{00000000-0005-0000-0000-0000FE090000}"/>
    <cellStyle name="Nota 3 8" xfId="2559" xr:uid="{00000000-0005-0000-0000-0000FF090000}"/>
    <cellStyle name="Nota 3 8 2" xfId="2560" xr:uid="{00000000-0005-0000-0000-0000000A0000}"/>
    <cellStyle name="Nota 4" xfId="2561" xr:uid="{00000000-0005-0000-0000-0000010A0000}"/>
    <cellStyle name="Nota 4 2" xfId="2562" xr:uid="{00000000-0005-0000-0000-0000020A0000}"/>
    <cellStyle name="Nota 4 3" xfId="2563" xr:uid="{00000000-0005-0000-0000-0000030A0000}"/>
    <cellStyle name="Nota 4 4" xfId="2564" xr:uid="{00000000-0005-0000-0000-0000040A0000}"/>
    <cellStyle name="Nota 5" xfId="2565" xr:uid="{00000000-0005-0000-0000-0000050A0000}"/>
    <cellStyle name="Nota 6" xfId="2566" xr:uid="{00000000-0005-0000-0000-0000060A0000}"/>
    <cellStyle name="Nota 6 2" xfId="2567" xr:uid="{00000000-0005-0000-0000-0000070A0000}"/>
    <cellStyle name="Nota 6 2 2" xfId="2568" xr:uid="{00000000-0005-0000-0000-0000080A0000}"/>
    <cellStyle name="Nota 6 2 2 2" xfId="2569" xr:uid="{00000000-0005-0000-0000-0000090A0000}"/>
    <cellStyle name="Nota 6 2 2 2 2" xfId="2570" xr:uid="{00000000-0005-0000-0000-00000A0A0000}"/>
    <cellStyle name="Nota 6 2 2 3" xfId="2571" xr:uid="{00000000-0005-0000-0000-00000B0A0000}"/>
    <cellStyle name="Nota 6 2 3" xfId="2572" xr:uid="{00000000-0005-0000-0000-00000C0A0000}"/>
    <cellStyle name="Nota 6 2 3 2" xfId="2573" xr:uid="{00000000-0005-0000-0000-00000D0A0000}"/>
    <cellStyle name="Nota 6 2 3 2 2" xfId="2574" xr:uid="{00000000-0005-0000-0000-00000E0A0000}"/>
    <cellStyle name="Nota 6 2 3 3" xfId="2575" xr:uid="{00000000-0005-0000-0000-00000F0A0000}"/>
    <cellStyle name="Nota 6 2 4" xfId="2576" xr:uid="{00000000-0005-0000-0000-0000100A0000}"/>
    <cellStyle name="Nota 6 2 4 2" xfId="2577" xr:uid="{00000000-0005-0000-0000-0000110A0000}"/>
    <cellStyle name="Nota 6 2 5" xfId="2578" xr:uid="{00000000-0005-0000-0000-0000120A0000}"/>
    <cellStyle name="Nota 6 3" xfId="2579" xr:uid="{00000000-0005-0000-0000-0000130A0000}"/>
    <cellStyle name="Nota 6 3 2" xfId="2580" xr:uid="{00000000-0005-0000-0000-0000140A0000}"/>
    <cellStyle name="Nota 6 3 2 2" xfId="2581" xr:uid="{00000000-0005-0000-0000-0000150A0000}"/>
    <cellStyle name="Nota 6 3 3" xfId="2582" xr:uid="{00000000-0005-0000-0000-0000160A0000}"/>
    <cellStyle name="Nota 6 4" xfId="2583" xr:uid="{00000000-0005-0000-0000-0000170A0000}"/>
    <cellStyle name="Nota 6 4 2" xfId="2584" xr:uid="{00000000-0005-0000-0000-0000180A0000}"/>
    <cellStyle name="Nota 6 5" xfId="2585" xr:uid="{00000000-0005-0000-0000-0000190A0000}"/>
    <cellStyle name="Nota 6 5 2" xfId="2586" xr:uid="{00000000-0005-0000-0000-00001A0A0000}"/>
    <cellStyle name="Nota 6 6" xfId="2587" xr:uid="{00000000-0005-0000-0000-00001B0A0000}"/>
    <cellStyle name="Nota 7" xfId="2588" xr:uid="{00000000-0005-0000-0000-00001C0A0000}"/>
    <cellStyle name="Nota 7 2" xfId="2589" xr:uid="{00000000-0005-0000-0000-00001D0A0000}"/>
    <cellStyle name="Nota 7 2 2" xfId="2590" xr:uid="{00000000-0005-0000-0000-00001E0A0000}"/>
    <cellStyle name="Nota 7 2 2 2" xfId="2591" xr:uid="{00000000-0005-0000-0000-00001F0A0000}"/>
    <cellStyle name="Nota 7 2 3" xfId="2592" xr:uid="{00000000-0005-0000-0000-0000200A0000}"/>
    <cellStyle name="Nota 7 2 3 2" xfId="2593" xr:uid="{00000000-0005-0000-0000-0000210A0000}"/>
    <cellStyle name="Nota 7 2 4" xfId="2594" xr:uid="{00000000-0005-0000-0000-0000220A0000}"/>
    <cellStyle name="Nota 7 3" xfId="2595" xr:uid="{00000000-0005-0000-0000-0000230A0000}"/>
    <cellStyle name="Nota 7 3 2" xfId="2596" xr:uid="{00000000-0005-0000-0000-0000240A0000}"/>
    <cellStyle name="Nota 7 3 2 2" xfId="2597" xr:uid="{00000000-0005-0000-0000-0000250A0000}"/>
    <cellStyle name="Nota 7 3 3" xfId="2598" xr:uid="{00000000-0005-0000-0000-0000260A0000}"/>
    <cellStyle name="Nota 7 4" xfId="2599" xr:uid="{00000000-0005-0000-0000-0000270A0000}"/>
    <cellStyle name="Nota 7 4 2" xfId="2600" xr:uid="{00000000-0005-0000-0000-0000280A0000}"/>
    <cellStyle name="Nota 7 5" xfId="2601" xr:uid="{00000000-0005-0000-0000-0000290A0000}"/>
    <cellStyle name="Nota 7 5 2" xfId="2602" xr:uid="{00000000-0005-0000-0000-00002A0A0000}"/>
    <cellStyle name="Nota 7 6" xfId="2603" xr:uid="{00000000-0005-0000-0000-00002B0A0000}"/>
    <cellStyle name="Nota 8" xfId="2604" xr:uid="{00000000-0005-0000-0000-00002C0A0000}"/>
    <cellStyle name="Nota 9" xfId="2605" xr:uid="{00000000-0005-0000-0000-00002D0A0000}"/>
    <cellStyle name="Nota 9 2" xfId="2606" xr:uid="{00000000-0005-0000-0000-00002E0A0000}"/>
    <cellStyle name="Nota 9 2 2" xfId="2607" xr:uid="{00000000-0005-0000-0000-00002F0A0000}"/>
    <cellStyle name="Nota 9 2 2 2" xfId="2608" xr:uid="{00000000-0005-0000-0000-0000300A0000}"/>
    <cellStyle name="Nota 9 2 2 2 2" xfId="2609" xr:uid="{00000000-0005-0000-0000-0000310A0000}"/>
    <cellStyle name="Nota 9 2 2 2 3" xfId="2610" xr:uid="{00000000-0005-0000-0000-0000320A0000}"/>
    <cellStyle name="Nota 9 2 2 3" xfId="2611" xr:uid="{00000000-0005-0000-0000-0000330A0000}"/>
    <cellStyle name="Nota 9 2 2 4" xfId="2612" xr:uid="{00000000-0005-0000-0000-0000340A0000}"/>
    <cellStyle name="Nota 9 2 3" xfId="2613" xr:uid="{00000000-0005-0000-0000-0000350A0000}"/>
    <cellStyle name="Nota 9 2 3 2" xfId="2614" xr:uid="{00000000-0005-0000-0000-0000360A0000}"/>
    <cellStyle name="Nota 9 2 3 3" xfId="2615" xr:uid="{00000000-0005-0000-0000-0000370A0000}"/>
    <cellStyle name="Nota 9 2 4" xfId="2616" xr:uid="{00000000-0005-0000-0000-0000380A0000}"/>
    <cellStyle name="Nota 9 2 5" xfId="2617" xr:uid="{00000000-0005-0000-0000-0000390A0000}"/>
    <cellStyle name="Nota 9 2 6" xfId="2618" xr:uid="{00000000-0005-0000-0000-00003A0A0000}"/>
    <cellStyle name="Nota 9 3" xfId="2619" xr:uid="{00000000-0005-0000-0000-00003B0A0000}"/>
    <cellStyle name="Nota 9 3 2" xfId="2620" xr:uid="{00000000-0005-0000-0000-00003C0A0000}"/>
    <cellStyle name="Nota 9 3 2 2" xfId="2621" xr:uid="{00000000-0005-0000-0000-00003D0A0000}"/>
    <cellStyle name="Nota 9 3 2 2 2" xfId="2622" xr:uid="{00000000-0005-0000-0000-00003E0A0000}"/>
    <cellStyle name="Nota 9 3 2 2 3" xfId="2623" xr:uid="{00000000-0005-0000-0000-00003F0A0000}"/>
    <cellStyle name="Nota 9 3 2 3" xfId="2624" xr:uid="{00000000-0005-0000-0000-0000400A0000}"/>
    <cellStyle name="Nota 9 3 2 4" xfId="2625" xr:uid="{00000000-0005-0000-0000-0000410A0000}"/>
    <cellStyle name="Nota 9 3 3" xfId="2626" xr:uid="{00000000-0005-0000-0000-0000420A0000}"/>
    <cellStyle name="Nota 9 3 3 2" xfId="2627" xr:uid="{00000000-0005-0000-0000-0000430A0000}"/>
    <cellStyle name="Nota 9 3 3 3" xfId="2628" xr:uid="{00000000-0005-0000-0000-0000440A0000}"/>
    <cellStyle name="Nota 9 3 4" xfId="2629" xr:uid="{00000000-0005-0000-0000-0000450A0000}"/>
    <cellStyle name="Nota 9 3 5" xfId="2630" xr:uid="{00000000-0005-0000-0000-0000460A0000}"/>
    <cellStyle name="Nota 9 4" xfId="2631" xr:uid="{00000000-0005-0000-0000-0000470A0000}"/>
    <cellStyle name="Nota 9 4 2" xfId="2632" xr:uid="{00000000-0005-0000-0000-0000480A0000}"/>
    <cellStyle name="Nota 9 4 2 2" xfId="2633" xr:uid="{00000000-0005-0000-0000-0000490A0000}"/>
    <cellStyle name="Nota 9 4 2 3" xfId="2634" xr:uid="{00000000-0005-0000-0000-00004A0A0000}"/>
    <cellStyle name="Nota 9 4 3" xfId="2635" xr:uid="{00000000-0005-0000-0000-00004B0A0000}"/>
    <cellStyle name="Nota 9 4 4" xfId="2636" xr:uid="{00000000-0005-0000-0000-00004C0A0000}"/>
    <cellStyle name="Nota 9 5" xfId="2637" xr:uid="{00000000-0005-0000-0000-00004D0A0000}"/>
    <cellStyle name="Nota 9 5 2" xfId="2638" xr:uid="{00000000-0005-0000-0000-00004E0A0000}"/>
    <cellStyle name="Nota 9 5 3" xfId="2639" xr:uid="{00000000-0005-0000-0000-00004F0A0000}"/>
    <cellStyle name="Nota 9 6" xfId="2640" xr:uid="{00000000-0005-0000-0000-0000500A0000}"/>
    <cellStyle name="Nota 9 7" xfId="2641" xr:uid="{00000000-0005-0000-0000-0000510A0000}"/>
    <cellStyle name="Nota 9 8" xfId="2642" xr:uid="{00000000-0005-0000-0000-0000520A0000}"/>
    <cellStyle name="Palavras" xfId="2643" xr:uid="{00000000-0005-0000-0000-0000530A0000}"/>
    <cellStyle name="Percent (0)" xfId="2644" xr:uid="{00000000-0005-0000-0000-0000540A0000}"/>
    <cellStyle name="Percent (0) 2" xfId="2645" xr:uid="{00000000-0005-0000-0000-0000550A0000}"/>
    <cellStyle name="Percent (0) 3" xfId="2646" xr:uid="{00000000-0005-0000-0000-0000560A0000}"/>
    <cellStyle name="Percent (0) 4" xfId="2647" xr:uid="{00000000-0005-0000-0000-0000570A0000}"/>
    <cellStyle name="Percent (0)_BP_Consolidação" xfId="2648" xr:uid="{00000000-0005-0000-0000-0000580A0000}"/>
    <cellStyle name="Percent 2" xfId="2649" xr:uid="{00000000-0005-0000-0000-0000590A0000}"/>
    <cellStyle name="Porcentagem" xfId="2650" builtinId="5"/>
    <cellStyle name="Porcentagem 10" xfId="2651" xr:uid="{00000000-0005-0000-0000-00005B0A0000}"/>
    <cellStyle name="Porcentagem 2" xfId="2652" xr:uid="{00000000-0005-0000-0000-00005C0A0000}"/>
    <cellStyle name="Porcentagem 2 2" xfId="2653" xr:uid="{00000000-0005-0000-0000-00005D0A0000}"/>
    <cellStyle name="Porcentagem 2 2 2" xfId="2654" xr:uid="{00000000-0005-0000-0000-00005E0A0000}"/>
    <cellStyle name="Porcentagem 2 2 2 2" xfId="2655" xr:uid="{00000000-0005-0000-0000-00005F0A0000}"/>
    <cellStyle name="Porcentagem 2 3" xfId="2656" xr:uid="{00000000-0005-0000-0000-0000600A0000}"/>
    <cellStyle name="Porcentagem 2 4" xfId="2657" xr:uid="{00000000-0005-0000-0000-0000610A0000}"/>
    <cellStyle name="Porcentagem 2 5" xfId="2658" xr:uid="{00000000-0005-0000-0000-0000620A0000}"/>
    <cellStyle name="Porcentagem 2 6" xfId="2659" xr:uid="{00000000-0005-0000-0000-0000630A0000}"/>
    <cellStyle name="Porcentagem 2 6 2" xfId="2660" xr:uid="{00000000-0005-0000-0000-0000640A0000}"/>
    <cellStyle name="Porcentagem 2_BP_Consolidação" xfId="2661" xr:uid="{00000000-0005-0000-0000-0000650A0000}"/>
    <cellStyle name="Porcentagem 3" xfId="2662" xr:uid="{00000000-0005-0000-0000-0000660A0000}"/>
    <cellStyle name="Porcentagem 3 2" xfId="2663" xr:uid="{00000000-0005-0000-0000-0000670A0000}"/>
    <cellStyle name="Porcentagem 3 3" xfId="2664" xr:uid="{00000000-0005-0000-0000-0000680A0000}"/>
    <cellStyle name="Porcentagem 3 3 2" xfId="2665" xr:uid="{00000000-0005-0000-0000-0000690A0000}"/>
    <cellStyle name="Porcentagem 4" xfId="2666" xr:uid="{00000000-0005-0000-0000-00006A0A0000}"/>
    <cellStyle name="Porcentagem 4 10" xfId="2667" xr:uid="{00000000-0005-0000-0000-00006B0A0000}"/>
    <cellStyle name="Porcentagem 4 2" xfId="2668" xr:uid="{00000000-0005-0000-0000-00006C0A0000}"/>
    <cellStyle name="Porcentagem 4 2 2" xfId="2669" xr:uid="{00000000-0005-0000-0000-00006D0A0000}"/>
    <cellStyle name="Porcentagem 4 2 2 2" xfId="2670" xr:uid="{00000000-0005-0000-0000-00006E0A0000}"/>
    <cellStyle name="Porcentagem 4 2 2 2 2" xfId="2671" xr:uid="{00000000-0005-0000-0000-00006F0A0000}"/>
    <cellStyle name="Porcentagem 4 2 2 3" xfId="2672" xr:uid="{00000000-0005-0000-0000-0000700A0000}"/>
    <cellStyle name="Porcentagem 4 2 3" xfId="2673" xr:uid="{00000000-0005-0000-0000-0000710A0000}"/>
    <cellStyle name="Porcentagem 4 2 3 2" xfId="2674" xr:uid="{00000000-0005-0000-0000-0000720A0000}"/>
    <cellStyle name="Porcentagem 4 2 3 2 2" xfId="2675" xr:uid="{00000000-0005-0000-0000-0000730A0000}"/>
    <cellStyle name="Porcentagem 4 2 3 3" xfId="2676" xr:uid="{00000000-0005-0000-0000-0000740A0000}"/>
    <cellStyle name="Porcentagem 4 2 4" xfId="2677" xr:uid="{00000000-0005-0000-0000-0000750A0000}"/>
    <cellStyle name="Porcentagem 4 2 4 2" xfId="2678" xr:uid="{00000000-0005-0000-0000-0000760A0000}"/>
    <cellStyle name="Porcentagem 4 3" xfId="2679" xr:uid="{00000000-0005-0000-0000-0000770A0000}"/>
    <cellStyle name="Porcentagem 4 3 2" xfId="2680" xr:uid="{00000000-0005-0000-0000-0000780A0000}"/>
    <cellStyle name="Porcentagem 4 3 2 2" xfId="2681" xr:uid="{00000000-0005-0000-0000-0000790A0000}"/>
    <cellStyle name="Porcentagem 4 3 3" xfId="2682" xr:uid="{00000000-0005-0000-0000-00007A0A0000}"/>
    <cellStyle name="Porcentagem 4 4" xfId="2683" xr:uid="{00000000-0005-0000-0000-00007B0A0000}"/>
    <cellStyle name="Porcentagem 4 4 2" xfId="2684" xr:uid="{00000000-0005-0000-0000-00007C0A0000}"/>
    <cellStyle name="Porcentagem 4 4 2 2" xfId="2685" xr:uid="{00000000-0005-0000-0000-00007D0A0000}"/>
    <cellStyle name="Porcentagem 4 4 3" xfId="2686" xr:uid="{00000000-0005-0000-0000-00007E0A0000}"/>
    <cellStyle name="Porcentagem 4 5" xfId="2687" xr:uid="{00000000-0005-0000-0000-00007F0A0000}"/>
    <cellStyle name="Porcentagem 4 5 2" xfId="2688" xr:uid="{00000000-0005-0000-0000-0000800A0000}"/>
    <cellStyle name="Porcentagem 4 6" xfId="2689" xr:uid="{00000000-0005-0000-0000-0000810A0000}"/>
    <cellStyle name="Porcentagem 4 7" xfId="2690" xr:uid="{00000000-0005-0000-0000-0000820A0000}"/>
    <cellStyle name="Porcentagem 4 7 2" xfId="2691" xr:uid="{00000000-0005-0000-0000-0000830A0000}"/>
    <cellStyle name="Porcentagem 4 8" xfId="2692" xr:uid="{00000000-0005-0000-0000-0000840A0000}"/>
    <cellStyle name="Porcentagem 4 8 2" xfId="2693" xr:uid="{00000000-0005-0000-0000-0000850A0000}"/>
    <cellStyle name="Porcentagem 4 9" xfId="2694" xr:uid="{00000000-0005-0000-0000-0000860A0000}"/>
    <cellStyle name="Porcentagem 4 9 2" xfId="2695" xr:uid="{00000000-0005-0000-0000-0000870A0000}"/>
    <cellStyle name="Porcentagem 5" xfId="2696" xr:uid="{00000000-0005-0000-0000-0000880A0000}"/>
    <cellStyle name="Porcentagem 6" xfId="2697" xr:uid="{00000000-0005-0000-0000-0000890A0000}"/>
    <cellStyle name="Porcentagem 7" xfId="2698" xr:uid="{00000000-0005-0000-0000-00008A0A0000}"/>
    <cellStyle name="Porcentagem 7 2" xfId="2699" xr:uid="{00000000-0005-0000-0000-00008B0A0000}"/>
    <cellStyle name="Porcentagem 8" xfId="2700" xr:uid="{00000000-0005-0000-0000-00008C0A0000}"/>
    <cellStyle name="Porcentagem 9" xfId="2701" xr:uid="{00000000-0005-0000-0000-00008D0A0000}"/>
    <cellStyle name="Ruim" xfId="1958" builtinId="27" customBuiltin="1"/>
    <cellStyle name="Saída" xfId="2702" builtinId="21" customBuiltin="1"/>
    <cellStyle name="Saída 2" xfId="2703" xr:uid="{00000000-0005-0000-0000-00008F0A0000}"/>
    <cellStyle name="Saída 2 2" xfId="2704" xr:uid="{00000000-0005-0000-0000-0000900A0000}"/>
    <cellStyle name="Saída 2 3" xfId="2705" xr:uid="{00000000-0005-0000-0000-0000910A0000}"/>
    <cellStyle name="Saída 2 4" xfId="2706" xr:uid="{00000000-0005-0000-0000-0000920A0000}"/>
    <cellStyle name="Saída 3" xfId="2707" xr:uid="{00000000-0005-0000-0000-0000930A0000}"/>
    <cellStyle name="Saída 3 2" xfId="2708" xr:uid="{00000000-0005-0000-0000-0000940A0000}"/>
    <cellStyle name="Saída 3 3" xfId="2709" xr:uid="{00000000-0005-0000-0000-0000950A0000}"/>
    <cellStyle name="Saída 4" xfId="2710" xr:uid="{00000000-0005-0000-0000-0000960A0000}"/>
    <cellStyle name="Saída 5" xfId="2711" xr:uid="{00000000-0005-0000-0000-0000970A0000}"/>
    <cellStyle name="Separador de milhares 2" xfId="2712" xr:uid="{00000000-0005-0000-0000-0000980A0000}"/>
    <cellStyle name="Separador de milhares 2 2" xfId="2713" xr:uid="{00000000-0005-0000-0000-0000990A0000}"/>
    <cellStyle name="Separador de milhares 2 2 2" xfId="2714" xr:uid="{00000000-0005-0000-0000-00009A0A0000}"/>
    <cellStyle name="Separador de milhares 2 3" xfId="2715" xr:uid="{00000000-0005-0000-0000-00009B0A0000}"/>
    <cellStyle name="Separador de milhares 3" xfId="2716" xr:uid="{00000000-0005-0000-0000-00009C0A0000}"/>
    <cellStyle name="Separador de milhares 3 2" xfId="2717" xr:uid="{00000000-0005-0000-0000-00009D0A0000}"/>
    <cellStyle name="Separador de milhares 3 2 2" xfId="2718" xr:uid="{00000000-0005-0000-0000-00009E0A0000}"/>
    <cellStyle name="Separador de milhares 3 2 2 2" xfId="2719" xr:uid="{00000000-0005-0000-0000-00009F0A0000}"/>
    <cellStyle name="Separador de milhares 3 2 3" xfId="2720" xr:uid="{00000000-0005-0000-0000-0000A00A0000}"/>
    <cellStyle name="Separador de milhares 3 3" xfId="2721" xr:uid="{00000000-0005-0000-0000-0000A10A0000}"/>
    <cellStyle name="Separador de milhares 4" xfId="2722" xr:uid="{00000000-0005-0000-0000-0000A20A0000}"/>
    <cellStyle name="Separador de milhares 4 2" xfId="2723" xr:uid="{00000000-0005-0000-0000-0000A30A0000}"/>
    <cellStyle name="Separador de milhares 4 2 2" xfId="2724" xr:uid="{00000000-0005-0000-0000-0000A40A0000}"/>
    <cellStyle name="Separador de milhares 4 3" xfId="2725" xr:uid="{00000000-0005-0000-0000-0000A50A0000}"/>
    <cellStyle name="Separador de milhares 4 3 2" xfId="2726" xr:uid="{00000000-0005-0000-0000-0000A60A0000}"/>
    <cellStyle name="Separador de milhares 4 4" xfId="2727" xr:uid="{00000000-0005-0000-0000-0000A70A0000}"/>
    <cellStyle name="Style 1" xfId="2728" xr:uid="{00000000-0005-0000-0000-0000A80A0000}"/>
    <cellStyle name="Style 1 2" xfId="2729" xr:uid="{00000000-0005-0000-0000-0000A90A0000}"/>
    <cellStyle name="STYLE1 - Style1" xfId="2730" xr:uid="{00000000-0005-0000-0000-0000AA0A0000}"/>
    <cellStyle name="STYLE1 - Style1 2" xfId="2731" xr:uid="{00000000-0005-0000-0000-0000AB0A0000}"/>
    <cellStyle name="STYLE1 - Style1 3" xfId="2732" xr:uid="{00000000-0005-0000-0000-0000AC0A0000}"/>
    <cellStyle name="STYLE1 - Style1_BP_Consolidação" xfId="2733" xr:uid="{00000000-0005-0000-0000-0000AD0A0000}"/>
    <cellStyle name="STYLE2 - Style2" xfId="2734" xr:uid="{00000000-0005-0000-0000-0000AE0A0000}"/>
    <cellStyle name="STYLE2 - Style2 2" xfId="2735" xr:uid="{00000000-0005-0000-0000-0000AF0A0000}"/>
    <cellStyle name="STYLE2 - Style2 3" xfId="2736" xr:uid="{00000000-0005-0000-0000-0000B00A0000}"/>
    <cellStyle name="STYLE2 - Style2_BP_Consolidação" xfId="2737" xr:uid="{00000000-0005-0000-0000-0000B10A0000}"/>
    <cellStyle name="SubHeading" xfId="2738" xr:uid="{00000000-0005-0000-0000-0000B20A0000}"/>
    <cellStyle name="SubHeading 2" xfId="2739" xr:uid="{00000000-0005-0000-0000-0000B30A0000}"/>
    <cellStyle name="SubHeading 3" xfId="2740" xr:uid="{00000000-0005-0000-0000-0000B40A0000}"/>
    <cellStyle name="SubHeading_BP_Consolidação" xfId="2741" xr:uid="{00000000-0005-0000-0000-0000B50A0000}"/>
    <cellStyle name="Texto de Aviso" xfId="2742" builtinId="11" customBuiltin="1"/>
    <cellStyle name="Texto de Aviso 2" xfId="2743" xr:uid="{00000000-0005-0000-0000-0000B70A0000}"/>
    <cellStyle name="Texto de Aviso 2 2" xfId="2744" xr:uid="{00000000-0005-0000-0000-0000B80A0000}"/>
    <cellStyle name="Texto de Aviso 2 3" xfId="2745" xr:uid="{00000000-0005-0000-0000-0000B90A0000}"/>
    <cellStyle name="Texto de Aviso 2 4" xfId="2746" xr:uid="{00000000-0005-0000-0000-0000BA0A0000}"/>
    <cellStyle name="Texto de Aviso 2 5" xfId="2747" xr:uid="{00000000-0005-0000-0000-0000BB0A0000}"/>
    <cellStyle name="Texto de Aviso 2 6" xfId="2748" xr:uid="{00000000-0005-0000-0000-0000BC0A0000}"/>
    <cellStyle name="Texto de Aviso 2_BP_Consolidação" xfId="2749" xr:uid="{00000000-0005-0000-0000-0000BD0A0000}"/>
    <cellStyle name="Texto de Aviso 3" xfId="2750" xr:uid="{00000000-0005-0000-0000-0000BE0A0000}"/>
    <cellStyle name="Texto de Aviso 3 2" xfId="2751" xr:uid="{00000000-0005-0000-0000-0000BF0A0000}"/>
    <cellStyle name="Texto de Aviso 3 3" xfId="2752" xr:uid="{00000000-0005-0000-0000-0000C00A0000}"/>
    <cellStyle name="Texto de Aviso 4" xfId="2753" xr:uid="{00000000-0005-0000-0000-0000C10A0000}"/>
    <cellStyle name="Texto Explicativo" xfId="2754" builtinId="53" customBuiltin="1"/>
    <cellStyle name="Texto Explicativo 2" xfId="2755" xr:uid="{00000000-0005-0000-0000-0000C30A0000}"/>
    <cellStyle name="Texto Explicativo 2 2" xfId="2756" xr:uid="{00000000-0005-0000-0000-0000C40A0000}"/>
    <cellStyle name="Texto Explicativo 2 3" xfId="2757" xr:uid="{00000000-0005-0000-0000-0000C50A0000}"/>
    <cellStyle name="Texto Explicativo 2 4" xfId="2758" xr:uid="{00000000-0005-0000-0000-0000C60A0000}"/>
    <cellStyle name="Texto Explicativo 2 5" xfId="2759" xr:uid="{00000000-0005-0000-0000-0000C70A0000}"/>
    <cellStyle name="Texto Explicativo 2 6" xfId="2760" xr:uid="{00000000-0005-0000-0000-0000C80A0000}"/>
    <cellStyle name="Texto Explicativo 2_BP_Consolidação" xfId="2761" xr:uid="{00000000-0005-0000-0000-0000C90A0000}"/>
    <cellStyle name="Texto Explicativo 3" xfId="2762" xr:uid="{00000000-0005-0000-0000-0000CA0A0000}"/>
    <cellStyle name="Texto Explicativo 3 2" xfId="2763" xr:uid="{00000000-0005-0000-0000-0000CB0A0000}"/>
    <cellStyle name="Texto Explicativo 3 3" xfId="2764" xr:uid="{00000000-0005-0000-0000-0000CC0A0000}"/>
    <cellStyle name="Texto Explicativo 4" xfId="2765" xr:uid="{00000000-0005-0000-0000-0000CD0A0000}"/>
    <cellStyle name="Tickmark" xfId="2766" xr:uid="{00000000-0005-0000-0000-0000CE0A0000}"/>
    <cellStyle name="Título" xfId="2767" builtinId="15" customBuiltin="1"/>
    <cellStyle name="Título 1" xfId="2768" builtinId="16" customBuiltin="1"/>
    <cellStyle name="Título 1 1" xfId="2769" xr:uid="{00000000-0005-0000-0000-0000D10A0000}"/>
    <cellStyle name="Título 1 2" xfId="2770" xr:uid="{00000000-0005-0000-0000-0000D20A0000}"/>
    <cellStyle name="Título 1 2 2" xfId="2771" xr:uid="{00000000-0005-0000-0000-0000D30A0000}"/>
    <cellStyle name="Título 1 2 3" xfId="2772" xr:uid="{00000000-0005-0000-0000-0000D40A0000}"/>
    <cellStyle name="Título 1 2 4" xfId="2773" xr:uid="{00000000-0005-0000-0000-0000D50A0000}"/>
    <cellStyle name="Título 1 2 5" xfId="2774" xr:uid="{00000000-0005-0000-0000-0000D60A0000}"/>
    <cellStyle name="Título 1 2_BP_Consolidação" xfId="2775" xr:uid="{00000000-0005-0000-0000-0000D70A0000}"/>
    <cellStyle name="Título 1 3" xfId="2776" xr:uid="{00000000-0005-0000-0000-0000D80A0000}"/>
    <cellStyle name="Título 1 4" xfId="2777" xr:uid="{00000000-0005-0000-0000-0000D90A0000}"/>
    <cellStyle name="Título 2" xfId="2778" builtinId="17" customBuiltin="1"/>
    <cellStyle name="Título 2 2" xfId="2779" xr:uid="{00000000-0005-0000-0000-0000DB0A0000}"/>
    <cellStyle name="Título 2 2 2" xfId="2780" xr:uid="{00000000-0005-0000-0000-0000DC0A0000}"/>
    <cellStyle name="Título 2 2 3" xfId="2781" xr:uid="{00000000-0005-0000-0000-0000DD0A0000}"/>
    <cellStyle name="Título 2 2 4" xfId="2782" xr:uid="{00000000-0005-0000-0000-0000DE0A0000}"/>
    <cellStyle name="Título 2 2 5" xfId="2783" xr:uid="{00000000-0005-0000-0000-0000DF0A0000}"/>
    <cellStyle name="Título 2 2_BP_Consolidação" xfId="2784" xr:uid="{00000000-0005-0000-0000-0000E00A0000}"/>
    <cellStyle name="Título 2 3" xfId="2785" xr:uid="{00000000-0005-0000-0000-0000E10A0000}"/>
    <cellStyle name="Título 3" xfId="2786" builtinId="18" customBuiltin="1"/>
    <cellStyle name="Título 3 2" xfId="2787" xr:uid="{00000000-0005-0000-0000-0000E30A0000}"/>
    <cellStyle name="Título 3 2 2" xfId="2788" xr:uid="{00000000-0005-0000-0000-0000E40A0000}"/>
    <cellStyle name="Título 3 2 3" xfId="2789" xr:uid="{00000000-0005-0000-0000-0000E50A0000}"/>
    <cellStyle name="Título 3 2 4" xfId="2790" xr:uid="{00000000-0005-0000-0000-0000E60A0000}"/>
    <cellStyle name="Título 3 2 5" xfId="2791" xr:uid="{00000000-0005-0000-0000-0000E70A0000}"/>
    <cellStyle name="Título 3 2_BP_Consolidação" xfId="2792" xr:uid="{00000000-0005-0000-0000-0000E80A0000}"/>
    <cellStyle name="Título 3 3" xfId="2793" xr:uid="{00000000-0005-0000-0000-0000E90A0000}"/>
    <cellStyle name="Título 4" xfId="2794" builtinId="19" customBuiltin="1"/>
    <cellStyle name="Título 4 2" xfId="2795" xr:uid="{00000000-0005-0000-0000-0000EB0A0000}"/>
    <cellStyle name="Título 4 2 2" xfId="2796" xr:uid="{00000000-0005-0000-0000-0000EC0A0000}"/>
    <cellStyle name="Título 4 2 3" xfId="2797" xr:uid="{00000000-0005-0000-0000-0000ED0A0000}"/>
    <cellStyle name="Título 4 2 4" xfId="2798" xr:uid="{00000000-0005-0000-0000-0000EE0A0000}"/>
    <cellStyle name="Título 4 2 5" xfId="2799" xr:uid="{00000000-0005-0000-0000-0000EF0A0000}"/>
    <cellStyle name="Título 4 2_BP_Consolidação" xfId="2800" xr:uid="{00000000-0005-0000-0000-0000F00A0000}"/>
    <cellStyle name="Título 4 3" xfId="2801" xr:uid="{00000000-0005-0000-0000-0000F10A0000}"/>
    <cellStyle name="Título 5" xfId="2802" xr:uid="{00000000-0005-0000-0000-0000F20A0000}"/>
    <cellStyle name="Título 5 2" xfId="2803" xr:uid="{00000000-0005-0000-0000-0000F30A0000}"/>
    <cellStyle name="Título 5 3" xfId="2804" xr:uid="{00000000-0005-0000-0000-0000F40A0000}"/>
    <cellStyle name="Título 5 4" xfId="2805" xr:uid="{00000000-0005-0000-0000-0000F50A0000}"/>
    <cellStyle name="Título 6" xfId="2806" xr:uid="{00000000-0005-0000-0000-0000F60A0000}"/>
    <cellStyle name="Total" xfId="2807" builtinId="25" customBuiltin="1"/>
    <cellStyle name="Total 2" xfId="2808" xr:uid="{00000000-0005-0000-0000-0000F80A0000}"/>
    <cellStyle name="Total 2 2" xfId="2809" xr:uid="{00000000-0005-0000-0000-0000F90A0000}"/>
    <cellStyle name="Total 2 3" xfId="2810" xr:uid="{00000000-0005-0000-0000-0000FA0A0000}"/>
    <cellStyle name="Total 2 4" xfId="2811" xr:uid="{00000000-0005-0000-0000-0000FB0A0000}"/>
    <cellStyle name="Total 2 5" xfId="2812" xr:uid="{00000000-0005-0000-0000-0000FC0A0000}"/>
    <cellStyle name="Total 2 6" xfId="2813" xr:uid="{00000000-0005-0000-0000-0000FD0A0000}"/>
    <cellStyle name="Total 2_BP_Consolidação" xfId="2814" xr:uid="{00000000-0005-0000-0000-0000FE0A0000}"/>
    <cellStyle name="Total 3" xfId="2815" xr:uid="{00000000-0005-0000-0000-0000FF0A0000}"/>
    <cellStyle name="Total 3 2" xfId="2816" xr:uid="{00000000-0005-0000-0000-0000000B0000}"/>
    <cellStyle name="Total 3 3" xfId="2817" xr:uid="{00000000-0005-0000-0000-0000010B0000}"/>
    <cellStyle name="Total 4" xfId="2818" xr:uid="{00000000-0005-0000-0000-0000020B0000}"/>
    <cellStyle name="Total 4 2" xfId="2819" xr:uid="{00000000-0005-0000-0000-0000030B0000}"/>
    <cellStyle name="Total 4 3" xfId="2820" xr:uid="{00000000-0005-0000-0000-0000040B0000}"/>
    <cellStyle name="Total 5" xfId="2821" xr:uid="{00000000-0005-0000-0000-0000050B0000}"/>
    <cellStyle name="Unprotect" xfId="2822" xr:uid="{00000000-0005-0000-0000-0000060B0000}"/>
    <cellStyle name="Unprotect 2" xfId="2823" xr:uid="{00000000-0005-0000-0000-0000070B0000}"/>
    <cellStyle name="Unprotect 3" xfId="2824" xr:uid="{00000000-0005-0000-0000-0000080B0000}"/>
    <cellStyle name="Vírgula" xfId="2825" builtinId="3"/>
    <cellStyle name="Vírgula 10" xfId="2826" xr:uid="{00000000-0005-0000-0000-00000A0B0000}"/>
    <cellStyle name="Vírgula 10 2" xfId="2827" xr:uid="{00000000-0005-0000-0000-00000B0B0000}"/>
    <cellStyle name="Vírgula 11" xfId="2828" xr:uid="{00000000-0005-0000-0000-00000C0B0000}"/>
    <cellStyle name="Vírgula 11 2" xfId="2829" xr:uid="{00000000-0005-0000-0000-00000D0B0000}"/>
    <cellStyle name="Vírgula 12" xfId="2830" xr:uid="{00000000-0005-0000-0000-00000E0B0000}"/>
    <cellStyle name="Vírgula 12 2" xfId="2831" xr:uid="{00000000-0005-0000-0000-00000F0B0000}"/>
    <cellStyle name="Vírgula 13" xfId="2832" xr:uid="{00000000-0005-0000-0000-0000100B0000}"/>
    <cellStyle name="Vírgula 13 2" xfId="2833" xr:uid="{00000000-0005-0000-0000-0000110B0000}"/>
    <cellStyle name="Vírgula 14" xfId="2834" xr:uid="{00000000-0005-0000-0000-0000120B0000}"/>
    <cellStyle name="Vírgula 14 2" xfId="2835" xr:uid="{00000000-0005-0000-0000-0000130B0000}"/>
    <cellStyle name="Vírgula 15" xfId="2836" xr:uid="{00000000-0005-0000-0000-0000140B0000}"/>
    <cellStyle name="Vírgula 15 2" xfId="2837" xr:uid="{00000000-0005-0000-0000-0000150B0000}"/>
    <cellStyle name="Vírgula 16" xfId="2838" xr:uid="{00000000-0005-0000-0000-0000160B0000}"/>
    <cellStyle name="Vírgula 16 2" xfId="2839" xr:uid="{00000000-0005-0000-0000-0000170B0000}"/>
    <cellStyle name="Vírgula 17" xfId="2840" xr:uid="{00000000-0005-0000-0000-0000180B0000}"/>
    <cellStyle name="Vírgula 17 2" xfId="2841" xr:uid="{00000000-0005-0000-0000-0000190B0000}"/>
    <cellStyle name="Vírgula 18" xfId="2842" xr:uid="{00000000-0005-0000-0000-00001A0B0000}"/>
    <cellStyle name="Vírgula 18 2" xfId="2843" xr:uid="{00000000-0005-0000-0000-00001B0B0000}"/>
    <cellStyle name="Vírgula 19" xfId="2844" xr:uid="{00000000-0005-0000-0000-00001C0B0000}"/>
    <cellStyle name="Vírgula 2" xfId="2845" xr:uid="{00000000-0005-0000-0000-00001D0B0000}"/>
    <cellStyle name="Vírgula 2 2" xfId="2846" xr:uid="{00000000-0005-0000-0000-00001E0B0000}"/>
    <cellStyle name="Vírgula 2 2 2" xfId="2847" xr:uid="{00000000-0005-0000-0000-00001F0B0000}"/>
    <cellStyle name="Vírgula 2 2 2 2" xfId="2848" xr:uid="{00000000-0005-0000-0000-0000200B0000}"/>
    <cellStyle name="Vírgula 2 2 3" xfId="2849" xr:uid="{00000000-0005-0000-0000-0000210B0000}"/>
    <cellStyle name="Vírgula 2 2 3 2" xfId="2850" xr:uid="{00000000-0005-0000-0000-0000220B0000}"/>
    <cellStyle name="Vírgula 2 2 4" xfId="2851" xr:uid="{00000000-0005-0000-0000-0000230B0000}"/>
    <cellStyle name="Vírgula 2 2_BP_Consolidação" xfId="2852" xr:uid="{00000000-0005-0000-0000-0000240B0000}"/>
    <cellStyle name="Vírgula 2 3" xfId="2853" xr:uid="{00000000-0005-0000-0000-0000250B0000}"/>
    <cellStyle name="Vírgula 2 3 2" xfId="2854" xr:uid="{00000000-0005-0000-0000-0000260B0000}"/>
    <cellStyle name="Vírgula 2 4" xfId="2855" xr:uid="{00000000-0005-0000-0000-0000270B0000}"/>
    <cellStyle name="Vírgula 2 4 2" xfId="2856" xr:uid="{00000000-0005-0000-0000-0000280B0000}"/>
    <cellStyle name="Vírgula 2 4 2 2" xfId="2857" xr:uid="{00000000-0005-0000-0000-0000290B0000}"/>
    <cellStyle name="Vírgula 2 4 2 2 2" xfId="2858" xr:uid="{00000000-0005-0000-0000-00002A0B0000}"/>
    <cellStyle name="Vírgula 2 4 2 3" xfId="2859" xr:uid="{00000000-0005-0000-0000-00002B0B0000}"/>
    <cellStyle name="Vírgula 2 4 2 3 2" xfId="2860" xr:uid="{00000000-0005-0000-0000-00002C0B0000}"/>
    <cellStyle name="Vírgula 2 4 2 4" xfId="2861" xr:uid="{00000000-0005-0000-0000-00002D0B0000}"/>
    <cellStyle name="Vírgula 2 4 3" xfId="2862" xr:uid="{00000000-0005-0000-0000-00002E0B0000}"/>
    <cellStyle name="Vírgula 2 4 3 2" xfId="2863" xr:uid="{00000000-0005-0000-0000-00002F0B0000}"/>
    <cellStyle name="Vírgula 2 4 4" xfId="2864" xr:uid="{00000000-0005-0000-0000-0000300B0000}"/>
    <cellStyle name="Vírgula 2 4 4 2" xfId="2865" xr:uid="{00000000-0005-0000-0000-0000310B0000}"/>
    <cellStyle name="Vírgula 2 4 5" xfId="2866" xr:uid="{00000000-0005-0000-0000-0000320B0000}"/>
    <cellStyle name="Vírgula 2 5" xfId="2867" xr:uid="{00000000-0005-0000-0000-0000330B0000}"/>
    <cellStyle name="Vírgula 2 5 2" xfId="2868" xr:uid="{00000000-0005-0000-0000-0000340B0000}"/>
    <cellStyle name="Vírgula 2 5 2 2" xfId="2869" xr:uid="{00000000-0005-0000-0000-0000350B0000}"/>
    <cellStyle name="Vírgula 2 5 3" xfId="2870" xr:uid="{00000000-0005-0000-0000-0000360B0000}"/>
    <cellStyle name="Vírgula 2 6" xfId="2871" xr:uid="{00000000-0005-0000-0000-0000370B0000}"/>
    <cellStyle name="Vírgula 2 6 2" xfId="2872" xr:uid="{00000000-0005-0000-0000-0000380B0000}"/>
    <cellStyle name="Vírgula 2 7" xfId="2873" xr:uid="{00000000-0005-0000-0000-0000390B0000}"/>
    <cellStyle name="Vírgula 2 7 2" xfId="2874" xr:uid="{00000000-0005-0000-0000-00003A0B0000}"/>
    <cellStyle name="Vírgula 2 7 2 2" xfId="2875" xr:uid="{00000000-0005-0000-0000-00003B0B0000}"/>
    <cellStyle name="Vírgula 2 7 3" xfId="2876" xr:uid="{00000000-0005-0000-0000-00003C0B0000}"/>
    <cellStyle name="Vírgula 2 8" xfId="2877" xr:uid="{00000000-0005-0000-0000-00003D0B0000}"/>
    <cellStyle name="Vírgula 2 9" xfId="2878" xr:uid="{00000000-0005-0000-0000-00003E0B0000}"/>
    <cellStyle name="Vírgula 3" xfId="2879" xr:uid="{00000000-0005-0000-0000-00003F0B0000}"/>
    <cellStyle name="Vírgula 3 2" xfId="2880" xr:uid="{00000000-0005-0000-0000-0000400B0000}"/>
    <cellStyle name="Vírgula 3 3" xfId="2881" xr:uid="{00000000-0005-0000-0000-0000410B0000}"/>
    <cellStyle name="Vírgula 3 3 2" xfId="2882" xr:uid="{00000000-0005-0000-0000-0000420B0000}"/>
    <cellStyle name="Vírgula 3 4" xfId="2883" xr:uid="{00000000-0005-0000-0000-0000430B0000}"/>
    <cellStyle name="Vírgula 3_28a1 e a2 Fábio" xfId="2884" xr:uid="{00000000-0005-0000-0000-0000440B0000}"/>
    <cellStyle name="Vírgula 4" xfId="2885" xr:uid="{00000000-0005-0000-0000-0000450B0000}"/>
    <cellStyle name="Vírgula 4 2" xfId="2886" xr:uid="{00000000-0005-0000-0000-0000460B0000}"/>
    <cellStyle name="Vírgula 4 2 2" xfId="2887" xr:uid="{00000000-0005-0000-0000-0000470B0000}"/>
    <cellStyle name="Vírgula 4 2 2 2" xfId="2888" xr:uid="{00000000-0005-0000-0000-0000480B0000}"/>
    <cellStyle name="Vírgula 4 2 2 2 2" xfId="2889" xr:uid="{00000000-0005-0000-0000-0000490B0000}"/>
    <cellStyle name="Vírgula 4 2 2 3" xfId="2890" xr:uid="{00000000-0005-0000-0000-00004A0B0000}"/>
    <cellStyle name="Vírgula 4 2 3" xfId="2891" xr:uid="{00000000-0005-0000-0000-00004B0B0000}"/>
    <cellStyle name="Vírgula 4 2 3 2" xfId="2892" xr:uid="{00000000-0005-0000-0000-00004C0B0000}"/>
    <cellStyle name="Vírgula 4 2 3 2 2" xfId="2893" xr:uid="{00000000-0005-0000-0000-00004D0B0000}"/>
    <cellStyle name="Vírgula 4 2 3 3" xfId="2894" xr:uid="{00000000-0005-0000-0000-00004E0B0000}"/>
    <cellStyle name="Vírgula 4 2 4" xfId="2895" xr:uid="{00000000-0005-0000-0000-00004F0B0000}"/>
    <cellStyle name="Vírgula 4 2 4 2" xfId="2896" xr:uid="{00000000-0005-0000-0000-0000500B0000}"/>
    <cellStyle name="Vírgula 4 2 5" xfId="2897" xr:uid="{00000000-0005-0000-0000-0000510B0000}"/>
    <cellStyle name="Vírgula 4 3" xfId="2898" xr:uid="{00000000-0005-0000-0000-0000520B0000}"/>
    <cellStyle name="Vírgula 4 3 2" xfId="2899" xr:uid="{00000000-0005-0000-0000-0000530B0000}"/>
    <cellStyle name="Vírgula 4 3 2 2" xfId="2900" xr:uid="{00000000-0005-0000-0000-0000540B0000}"/>
    <cellStyle name="Vírgula 4 3 3" xfId="2901" xr:uid="{00000000-0005-0000-0000-0000550B0000}"/>
    <cellStyle name="Vírgula 4 4" xfId="2902" xr:uid="{00000000-0005-0000-0000-0000560B0000}"/>
    <cellStyle name="Vírgula 4 4 2" xfId="2903" xr:uid="{00000000-0005-0000-0000-0000570B0000}"/>
    <cellStyle name="Vírgula 4 4 2 2" xfId="2904" xr:uid="{00000000-0005-0000-0000-0000580B0000}"/>
    <cellStyle name="Vírgula 4 4 3" xfId="2905" xr:uid="{00000000-0005-0000-0000-0000590B0000}"/>
    <cellStyle name="Vírgula 4 5" xfId="2906" xr:uid="{00000000-0005-0000-0000-00005A0B0000}"/>
    <cellStyle name="Vírgula 4 5 2" xfId="2907" xr:uid="{00000000-0005-0000-0000-00005B0B0000}"/>
    <cellStyle name="Vírgula 4 6" xfId="2908" xr:uid="{00000000-0005-0000-0000-00005C0B0000}"/>
    <cellStyle name="Vírgula 4 6 2" xfId="2909" xr:uid="{00000000-0005-0000-0000-00005D0B0000}"/>
    <cellStyle name="Vírgula 4 7" xfId="2910" xr:uid="{00000000-0005-0000-0000-00005E0B0000}"/>
    <cellStyle name="Vírgula 4 7 2" xfId="2911" xr:uid="{00000000-0005-0000-0000-00005F0B0000}"/>
    <cellStyle name="Vírgula 4 8" xfId="2912" xr:uid="{00000000-0005-0000-0000-0000600B0000}"/>
    <cellStyle name="Vírgula 4 8 2" xfId="2913" xr:uid="{00000000-0005-0000-0000-0000610B0000}"/>
    <cellStyle name="Vírgula 4 8 2 2" xfId="2914" xr:uid="{00000000-0005-0000-0000-0000620B0000}"/>
    <cellStyle name="Vírgula 4 8 3" xfId="2915" xr:uid="{00000000-0005-0000-0000-0000630B0000}"/>
    <cellStyle name="Vírgula 4_BP_Consolidação" xfId="2916" xr:uid="{00000000-0005-0000-0000-0000640B0000}"/>
    <cellStyle name="Vírgula 5" xfId="2917" xr:uid="{00000000-0005-0000-0000-0000650B0000}"/>
    <cellStyle name="Vírgula 5 2" xfId="2918" xr:uid="{00000000-0005-0000-0000-0000660B0000}"/>
    <cellStyle name="Vírgula 5 2 2" xfId="2919" xr:uid="{00000000-0005-0000-0000-0000670B0000}"/>
    <cellStyle name="Vírgula 5 3" xfId="2920" xr:uid="{00000000-0005-0000-0000-0000680B0000}"/>
    <cellStyle name="Vírgula 6" xfId="2921" xr:uid="{00000000-0005-0000-0000-0000690B0000}"/>
    <cellStyle name="Vírgula 6 2" xfId="2922" xr:uid="{00000000-0005-0000-0000-00006A0B0000}"/>
    <cellStyle name="Vírgula 6 2 2" xfId="2923" xr:uid="{00000000-0005-0000-0000-00006B0B0000}"/>
    <cellStyle name="Vírgula 6 2 2 2" xfId="2924" xr:uid="{00000000-0005-0000-0000-00006C0B0000}"/>
    <cellStyle name="Vírgula 6 2 3" xfId="2925" xr:uid="{00000000-0005-0000-0000-00006D0B0000}"/>
    <cellStyle name="Vírgula 6 3" xfId="2926" xr:uid="{00000000-0005-0000-0000-00006E0B0000}"/>
    <cellStyle name="Vírgula 6 3 2" xfId="2927" xr:uid="{00000000-0005-0000-0000-00006F0B0000}"/>
    <cellStyle name="Vírgula 6 4" xfId="2928" xr:uid="{00000000-0005-0000-0000-0000700B0000}"/>
    <cellStyle name="Vírgula 7" xfId="2929" xr:uid="{00000000-0005-0000-0000-0000710B0000}"/>
    <cellStyle name="Vírgula 7 2" xfId="2930" xr:uid="{00000000-0005-0000-0000-0000720B0000}"/>
    <cellStyle name="Vírgula 7 2 2" xfId="2931" xr:uid="{00000000-0005-0000-0000-0000730B0000}"/>
    <cellStyle name="Vírgula 7 3" xfId="2932" xr:uid="{00000000-0005-0000-0000-0000740B0000}"/>
    <cellStyle name="Vírgula 7 3 2" xfId="2933" xr:uid="{00000000-0005-0000-0000-0000750B0000}"/>
    <cellStyle name="Vírgula 7 4" xfId="2934" xr:uid="{00000000-0005-0000-0000-0000760B0000}"/>
    <cellStyle name="Vírgula 8" xfId="2935" xr:uid="{00000000-0005-0000-0000-0000770B0000}"/>
    <cellStyle name="Vírgula 8 2" xfId="2936" xr:uid="{00000000-0005-0000-0000-0000780B0000}"/>
    <cellStyle name="Vírgula 8 2 2" xfId="2937" xr:uid="{00000000-0005-0000-0000-0000790B0000}"/>
    <cellStyle name="Vírgula 9" xfId="2938" xr:uid="{00000000-0005-0000-0000-00007A0B0000}"/>
    <cellStyle name="Vírgula 9 2" xfId="2939" xr:uid="{00000000-0005-0000-0000-00007B0B0000}"/>
    <cellStyle name="Walutowy [0]_laroux" xfId="2940" xr:uid="{00000000-0005-0000-0000-00007C0B0000}"/>
    <cellStyle name="Walutowy_laroux" xfId="2941" xr:uid="{00000000-0005-0000-0000-00007D0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3" tint="-0.249977111117893"/>
    <pageSetUpPr fitToPage="1"/>
  </sheetPr>
  <dimension ref="A1:JI23"/>
  <sheetViews>
    <sheetView showGridLines="0" tabSelected="1" zoomScaleNormal="100" workbookViewId="0">
      <pane xSplit="3" ySplit="9" topLeftCell="BO10" activePane="bottomRight" state="frozen"/>
      <selection activeCell="B36" sqref="B36"/>
      <selection pane="topRight" activeCell="B36" sqref="B36"/>
      <selection pane="bottomLeft" activeCell="B36" sqref="B36"/>
      <selection pane="bottomRight" activeCell="BA1" sqref="AP1:BA1048576"/>
    </sheetView>
  </sheetViews>
  <sheetFormatPr defaultColWidth="9.140625" defaultRowHeight="15" outlineLevelCol="1"/>
  <cols>
    <col min="1" max="1" width="7.7109375" style="14" customWidth="1"/>
    <col min="2" max="2" width="47.140625" style="14" customWidth="1"/>
    <col min="3" max="3" width="60.7109375" style="17" customWidth="1"/>
    <col min="4" max="4" width="8.28515625" style="17" customWidth="1" outlineLevel="1"/>
    <col min="5" max="7" width="9.28515625" style="17" customWidth="1" outlineLevel="1"/>
    <col min="8" max="8" width="8.7109375" style="17" customWidth="1" outlineLevel="1"/>
    <col min="9" max="11" width="9.28515625" style="17" customWidth="1" outlineLevel="1"/>
    <col min="12" max="12" width="8.7109375" style="17" customWidth="1" outlineLevel="1"/>
    <col min="13" max="43" width="9.28515625" style="17" customWidth="1" outlineLevel="1"/>
    <col min="44" max="44" width="8.7109375" style="17" customWidth="1" outlineLevel="1"/>
    <col min="45" max="47" width="9.28515625" style="17" customWidth="1" outlineLevel="1"/>
    <col min="48" max="48" width="9.28515625" style="17" customWidth="1" outlineLevel="1" collapsed="1"/>
    <col min="49" max="50" width="9.28515625" style="17" customWidth="1" outlineLevel="1"/>
    <col min="51" max="51" width="10.28515625" style="55" customWidth="1" outlineLevel="1"/>
    <col min="52" max="62" width="12.42578125" style="55" customWidth="1"/>
    <col min="63" max="63" width="11.7109375" style="55" hidden="1" customWidth="1"/>
    <col min="64" max="66" width="12.42578125" style="55" customWidth="1" outlineLevel="1"/>
    <col min="67" max="74" width="12.42578125" style="17" customWidth="1" outlineLevel="1"/>
    <col min="75" max="75" width="12.42578125" style="17" customWidth="1" outlineLevel="1" collapsed="1"/>
    <col min="76" max="78" width="12.42578125" style="17" customWidth="1"/>
    <col min="79" max="16384" width="9.140625" style="38"/>
  </cols>
  <sheetData>
    <row r="1" spans="1:269">
      <c r="V1" s="32" t="s">
        <v>0</v>
      </c>
    </row>
    <row r="2" spans="1:269" s="36" customFormat="1" ht="15.75" thickBot="1">
      <c r="A2" s="14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1:269" s="36" customFormat="1" ht="8.25" customHeight="1">
      <c r="A3" s="1"/>
      <c r="B3" s="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</row>
    <row r="4" spans="1:269" s="29" customFormat="1" ht="15" customHeight="1">
      <c r="A4" s="1"/>
      <c r="B4" s="240" t="s">
        <v>277</v>
      </c>
      <c r="C4" s="242" t="s">
        <v>109</v>
      </c>
      <c r="D4" s="99" t="s">
        <v>289</v>
      </c>
      <c r="E4" s="99" t="s">
        <v>290</v>
      </c>
      <c r="F4" s="99" t="s">
        <v>291</v>
      </c>
      <c r="G4" s="99" t="s">
        <v>293</v>
      </c>
      <c r="H4" s="99" t="s">
        <v>292</v>
      </c>
      <c r="I4" s="99" t="s">
        <v>294</v>
      </c>
      <c r="J4" s="99" t="s">
        <v>295</v>
      </c>
      <c r="K4" s="99" t="s">
        <v>296</v>
      </c>
      <c r="L4" s="99" t="s">
        <v>297</v>
      </c>
      <c r="M4" s="99" t="s">
        <v>298</v>
      </c>
      <c r="N4" s="99" t="s">
        <v>299</v>
      </c>
      <c r="O4" s="99" t="s">
        <v>300</v>
      </c>
      <c r="P4" s="99" t="s">
        <v>301</v>
      </c>
      <c r="Q4" s="99" t="s">
        <v>302</v>
      </c>
      <c r="R4" s="99" t="s">
        <v>303</v>
      </c>
      <c r="S4" s="99" t="s">
        <v>304</v>
      </c>
      <c r="T4" s="99" t="s">
        <v>305</v>
      </c>
      <c r="U4" s="99" t="s">
        <v>306</v>
      </c>
      <c r="V4" s="99" t="s">
        <v>307</v>
      </c>
      <c r="W4" s="99" t="s">
        <v>308</v>
      </c>
      <c r="X4" s="99" t="s">
        <v>309</v>
      </c>
      <c r="Y4" s="99" t="s">
        <v>310</v>
      </c>
      <c r="Z4" s="99" t="s">
        <v>311</v>
      </c>
      <c r="AA4" s="99" t="s">
        <v>312</v>
      </c>
      <c r="AB4" s="99" t="s">
        <v>313</v>
      </c>
      <c r="AC4" s="99" t="s">
        <v>314</v>
      </c>
      <c r="AD4" s="99" t="s">
        <v>315</v>
      </c>
      <c r="AE4" s="99" t="s">
        <v>316</v>
      </c>
      <c r="AF4" s="99" t="s">
        <v>317</v>
      </c>
      <c r="AG4" s="99" t="s">
        <v>318</v>
      </c>
      <c r="AH4" s="99" t="s">
        <v>319</v>
      </c>
      <c r="AI4" s="99" t="s">
        <v>320</v>
      </c>
      <c r="AJ4" s="99" t="s">
        <v>321</v>
      </c>
      <c r="AK4" s="99" t="s">
        <v>322</v>
      </c>
      <c r="AL4" s="99" t="s">
        <v>323</v>
      </c>
      <c r="AM4" s="99" t="s">
        <v>324</v>
      </c>
      <c r="AN4" s="99" t="s">
        <v>325</v>
      </c>
      <c r="AO4" s="99" t="s">
        <v>326</v>
      </c>
      <c r="AP4" s="99" t="s">
        <v>327</v>
      </c>
      <c r="AQ4" s="99" t="s">
        <v>328</v>
      </c>
      <c r="AR4" s="99" t="s">
        <v>329</v>
      </c>
      <c r="AS4" s="99" t="s">
        <v>330</v>
      </c>
      <c r="AT4" s="99" t="s">
        <v>331</v>
      </c>
      <c r="AU4" s="99" t="s">
        <v>332</v>
      </c>
      <c r="AV4" s="99" t="s">
        <v>333</v>
      </c>
      <c r="AW4" s="99" t="s">
        <v>334</v>
      </c>
      <c r="AX4" s="99" t="s">
        <v>335</v>
      </c>
      <c r="AY4" s="99" t="s">
        <v>336</v>
      </c>
      <c r="AZ4" s="99" t="s">
        <v>337</v>
      </c>
      <c r="BA4" s="99" t="s">
        <v>338</v>
      </c>
      <c r="BB4" s="99" t="s">
        <v>339</v>
      </c>
      <c r="BC4" s="99" t="s">
        <v>340</v>
      </c>
      <c r="BD4" s="99" t="s">
        <v>341</v>
      </c>
      <c r="BE4" s="99" t="s">
        <v>342</v>
      </c>
      <c r="BF4" s="99" t="s">
        <v>343</v>
      </c>
      <c r="BG4" s="99" t="s">
        <v>344</v>
      </c>
      <c r="BH4" s="99" t="s">
        <v>345</v>
      </c>
      <c r="BI4" s="99" t="s">
        <v>346</v>
      </c>
      <c r="BJ4" s="99" t="s">
        <v>347</v>
      </c>
      <c r="BK4" s="99" t="s">
        <v>348</v>
      </c>
      <c r="BL4" s="238">
        <v>2010</v>
      </c>
      <c r="BM4" s="238">
        <v>2011</v>
      </c>
      <c r="BN4" s="238">
        <v>2012</v>
      </c>
      <c r="BO4" s="238">
        <v>2013</v>
      </c>
      <c r="BP4" s="238">
        <v>2014</v>
      </c>
      <c r="BQ4" s="238">
        <v>2015</v>
      </c>
      <c r="BR4" s="238">
        <v>2016</v>
      </c>
      <c r="BS4" s="238">
        <v>2017</v>
      </c>
      <c r="BT4" s="238">
        <v>2018</v>
      </c>
      <c r="BU4" s="238">
        <v>2019</v>
      </c>
      <c r="BV4" s="238">
        <v>2020</v>
      </c>
      <c r="BW4" s="238">
        <v>2021</v>
      </c>
      <c r="BX4" s="238">
        <v>2022</v>
      </c>
      <c r="BY4" s="238">
        <v>2023</v>
      </c>
      <c r="BZ4" s="238">
        <v>2024</v>
      </c>
    </row>
    <row r="5" spans="1:269" s="29" customFormat="1" ht="12.75">
      <c r="A5" s="1"/>
      <c r="B5" s="241"/>
      <c r="C5" s="243"/>
      <c r="D5" s="99" t="s">
        <v>58</v>
      </c>
      <c r="E5" s="99" t="s">
        <v>57</v>
      </c>
      <c r="F5" s="99" t="s">
        <v>56</v>
      </c>
      <c r="G5" s="99" t="s">
        <v>47</v>
      </c>
      <c r="H5" s="99" t="s">
        <v>55</v>
      </c>
      <c r="I5" s="99" t="s">
        <v>54</v>
      </c>
      <c r="J5" s="99" t="s">
        <v>53</v>
      </c>
      <c r="K5" s="99" t="s">
        <v>52</v>
      </c>
      <c r="L5" s="99" t="s">
        <v>51</v>
      </c>
      <c r="M5" s="99" t="s">
        <v>50</v>
      </c>
      <c r="N5" s="99" t="s">
        <v>49</v>
      </c>
      <c r="O5" s="99" t="s">
        <v>48</v>
      </c>
      <c r="P5" s="99" t="s">
        <v>10</v>
      </c>
      <c r="Q5" s="99" t="s">
        <v>11</v>
      </c>
      <c r="R5" s="99" t="s">
        <v>12</v>
      </c>
      <c r="S5" s="99" t="s">
        <v>13</v>
      </c>
      <c r="T5" s="99" t="s">
        <v>14</v>
      </c>
      <c r="U5" s="99" t="s">
        <v>15</v>
      </c>
      <c r="V5" s="99" t="s">
        <v>16</v>
      </c>
      <c r="W5" s="99" t="s">
        <v>17</v>
      </c>
      <c r="X5" s="99" t="s">
        <v>18</v>
      </c>
      <c r="Y5" s="99" t="s">
        <v>19</v>
      </c>
      <c r="Z5" s="99" t="s">
        <v>20</v>
      </c>
      <c r="AA5" s="99" t="s">
        <v>21</v>
      </c>
      <c r="AB5" s="99" t="s">
        <v>22</v>
      </c>
      <c r="AC5" s="99" t="s">
        <v>23</v>
      </c>
      <c r="AD5" s="99" t="s">
        <v>24</v>
      </c>
      <c r="AE5" s="99" t="s">
        <v>25</v>
      </c>
      <c r="AF5" s="99" t="s">
        <v>26</v>
      </c>
      <c r="AG5" s="99" t="s">
        <v>27</v>
      </c>
      <c r="AH5" s="99" t="s">
        <v>28</v>
      </c>
      <c r="AI5" s="99" t="s">
        <v>29</v>
      </c>
      <c r="AJ5" s="99" t="s">
        <v>30</v>
      </c>
      <c r="AK5" s="99" t="s">
        <v>31</v>
      </c>
      <c r="AL5" s="99" t="s">
        <v>32</v>
      </c>
      <c r="AM5" s="99" t="s">
        <v>33</v>
      </c>
      <c r="AN5" s="99" t="s">
        <v>34</v>
      </c>
      <c r="AO5" s="99" t="s">
        <v>35</v>
      </c>
      <c r="AP5" s="99" t="s">
        <v>36</v>
      </c>
      <c r="AQ5" s="99" t="s">
        <v>37</v>
      </c>
      <c r="AR5" s="99" t="s">
        <v>3</v>
      </c>
      <c r="AS5" s="99" t="s">
        <v>38</v>
      </c>
      <c r="AT5" s="99" t="s">
        <v>39</v>
      </c>
      <c r="AU5" s="99" t="s">
        <v>8</v>
      </c>
      <c r="AV5" s="99" t="s">
        <v>9</v>
      </c>
      <c r="AW5" s="99" t="s">
        <v>40</v>
      </c>
      <c r="AX5" s="99" t="s">
        <v>41</v>
      </c>
      <c r="AY5" s="99" t="s">
        <v>42</v>
      </c>
      <c r="AZ5" s="99" t="s">
        <v>71</v>
      </c>
      <c r="BA5" s="99" t="s">
        <v>75</v>
      </c>
      <c r="BB5" s="99" t="s">
        <v>76</v>
      </c>
      <c r="BC5" s="99" t="s">
        <v>77</v>
      </c>
      <c r="BD5" s="99" t="s">
        <v>91</v>
      </c>
      <c r="BE5" s="99" t="s">
        <v>92</v>
      </c>
      <c r="BF5" s="99" t="s">
        <v>93</v>
      </c>
      <c r="BG5" s="99" t="s">
        <v>94</v>
      </c>
      <c r="BH5" s="99" t="s">
        <v>256</v>
      </c>
      <c r="BI5" s="99" t="s">
        <v>257</v>
      </c>
      <c r="BJ5" s="99" t="s">
        <v>258</v>
      </c>
      <c r="BK5" s="99" t="s">
        <v>259</v>
      </c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</row>
    <row r="6" spans="1:269" s="15" customFormat="1" ht="12.75">
      <c r="A6" s="1"/>
      <c r="B6" s="205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</row>
    <row r="7" spans="1:269" s="15" customFormat="1" ht="12.75">
      <c r="A7" s="1"/>
      <c r="B7" s="206" t="s">
        <v>278</v>
      </c>
      <c r="C7" s="31" t="s">
        <v>110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</row>
    <row r="8" spans="1:269" s="15" customFormat="1" ht="12.75">
      <c r="A8" s="1"/>
      <c r="B8" s="207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</row>
    <row r="9" spans="1:269" s="29" customFormat="1" ht="12.75">
      <c r="A9" s="1"/>
      <c r="B9" s="20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</row>
    <row r="10" spans="1:269" s="29" customFormat="1" ht="12.75">
      <c r="A10" s="1"/>
      <c r="B10" s="209" t="s">
        <v>279</v>
      </c>
      <c r="C10" s="102" t="s">
        <v>99</v>
      </c>
      <c r="D10" s="103">
        <v>73244</v>
      </c>
      <c r="E10" s="103">
        <v>75841</v>
      </c>
      <c r="F10" s="103">
        <v>97862</v>
      </c>
      <c r="G10" s="103">
        <v>119383</v>
      </c>
      <c r="H10" s="103">
        <v>60718</v>
      </c>
      <c r="I10" s="103">
        <v>86038</v>
      </c>
      <c r="J10" s="103">
        <v>125679</v>
      </c>
      <c r="K10" s="103">
        <v>149691</v>
      </c>
      <c r="L10" s="103">
        <v>97702</v>
      </c>
      <c r="M10" s="103">
        <v>73495</v>
      </c>
      <c r="N10" s="103">
        <v>94818</v>
      </c>
      <c r="O10" s="103">
        <v>158426</v>
      </c>
      <c r="P10" s="103">
        <v>119521</v>
      </c>
      <c r="Q10" s="103">
        <v>128779</v>
      </c>
      <c r="R10" s="103">
        <v>166926</v>
      </c>
      <c r="S10" s="103">
        <v>179536</v>
      </c>
      <c r="T10" s="103">
        <v>173270</v>
      </c>
      <c r="U10" s="103">
        <v>226683</v>
      </c>
      <c r="V10" s="103">
        <v>254348</v>
      </c>
      <c r="W10" s="103">
        <v>251540</v>
      </c>
      <c r="X10" s="103">
        <v>107909</v>
      </c>
      <c r="Y10" s="103">
        <v>171520</v>
      </c>
      <c r="Z10" s="103">
        <v>202765</v>
      </c>
      <c r="AA10" s="103">
        <v>223785</v>
      </c>
      <c r="AB10" s="103">
        <v>115793</v>
      </c>
      <c r="AC10" s="103">
        <v>88293</v>
      </c>
      <c r="AD10" s="103">
        <v>120912</v>
      </c>
      <c r="AE10" s="103">
        <v>150300</v>
      </c>
      <c r="AF10" s="103">
        <v>117231</v>
      </c>
      <c r="AG10" s="103">
        <v>125031</v>
      </c>
      <c r="AH10" s="103">
        <v>161769</v>
      </c>
      <c r="AI10" s="103">
        <v>174344</v>
      </c>
      <c r="AJ10" s="103">
        <v>108595</v>
      </c>
      <c r="AK10" s="103">
        <v>107649</v>
      </c>
      <c r="AL10" s="103">
        <v>166100</v>
      </c>
      <c r="AM10" s="103">
        <v>193956</v>
      </c>
      <c r="AN10" s="103">
        <v>137531</v>
      </c>
      <c r="AO10" s="103">
        <v>117052</v>
      </c>
      <c r="AP10" s="103">
        <v>149522</v>
      </c>
      <c r="AQ10" s="103">
        <v>179360</v>
      </c>
      <c r="AR10" s="103">
        <v>127482</v>
      </c>
      <c r="AS10" s="103">
        <v>93992</v>
      </c>
      <c r="AT10" s="103">
        <v>201645</v>
      </c>
      <c r="AU10" s="103">
        <v>248124</v>
      </c>
      <c r="AV10" s="103">
        <v>236180</v>
      </c>
      <c r="AW10" s="103">
        <v>242654</v>
      </c>
      <c r="AX10" s="103">
        <v>330467</v>
      </c>
      <c r="AY10" s="103">
        <v>416878</v>
      </c>
      <c r="AZ10" s="103">
        <v>437595</v>
      </c>
      <c r="BA10" s="103">
        <v>360074</v>
      </c>
      <c r="BB10" s="103">
        <v>515754</v>
      </c>
      <c r="BC10" s="103">
        <v>501978</v>
      </c>
      <c r="BD10" s="103">
        <v>323104</v>
      </c>
      <c r="BE10" s="103">
        <v>281197</v>
      </c>
      <c r="BF10" s="103">
        <v>405628</v>
      </c>
      <c r="BG10" s="103">
        <f>+DRE!BG8</f>
        <v>502205</v>
      </c>
      <c r="BH10" s="103">
        <f>+DRE!BH8</f>
        <v>380311</v>
      </c>
      <c r="BI10" s="103">
        <f>+DRE!BI8</f>
        <v>327834</v>
      </c>
      <c r="BJ10" s="103">
        <f>+DRE!BJ8</f>
        <v>439052</v>
      </c>
      <c r="BK10" s="103"/>
      <c r="BL10" s="103">
        <v>366330</v>
      </c>
      <c r="BM10" s="103">
        <v>422126</v>
      </c>
      <c r="BN10" s="103">
        <v>424441</v>
      </c>
      <c r="BO10" s="103">
        <v>594762</v>
      </c>
      <c r="BP10" s="103">
        <v>905841</v>
      </c>
      <c r="BQ10" s="103">
        <v>705979</v>
      </c>
      <c r="BR10" s="103">
        <v>475298</v>
      </c>
      <c r="BS10" s="103">
        <v>578375</v>
      </c>
      <c r="BT10" s="103">
        <v>576300</v>
      </c>
      <c r="BU10" s="103">
        <v>583465</v>
      </c>
      <c r="BV10" s="103">
        <v>671243</v>
      </c>
      <c r="BW10" s="103">
        <v>1226179</v>
      </c>
      <c r="BX10" s="103">
        <v>1815401</v>
      </c>
      <c r="BY10" s="103">
        <f>+SUM(BD10:BG10)</f>
        <v>1512134</v>
      </c>
      <c r="BZ10" s="103">
        <f>+SUM(BH10:BJ10)</f>
        <v>1147197</v>
      </c>
      <c r="CA10" s="40"/>
    </row>
    <row r="11" spans="1:269" s="29" customFormat="1" ht="12.75">
      <c r="A11" s="1"/>
      <c r="B11" s="210" t="s">
        <v>280</v>
      </c>
      <c r="C11" s="102" t="s">
        <v>100</v>
      </c>
      <c r="D11" s="104">
        <v>-59545</v>
      </c>
      <c r="E11" s="104">
        <v>-58305</v>
      </c>
      <c r="F11" s="104">
        <v>-73562</v>
      </c>
      <c r="G11" s="104">
        <v>-94396</v>
      </c>
      <c r="H11" s="104">
        <v>-50691</v>
      </c>
      <c r="I11" s="104">
        <v>-70632</v>
      </c>
      <c r="J11" s="104">
        <v>-98920</v>
      </c>
      <c r="K11" s="104">
        <v>-116173</v>
      </c>
      <c r="L11" s="104">
        <v>-77506</v>
      </c>
      <c r="M11" s="104">
        <v>-58772</v>
      </c>
      <c r="N11" s="104">
        <v>-73268</v>
      </c>
      <c r="O11" s="104">
        <v>-118856</v>
      </c>
      <c r="P11" s="104">
        <v>-93018</v>
      </c>
      <c r="Q11" s="104">
        <v>-98440</v>
      </c>
      <c r="R11" s="104">
        <v>-114210</v>
      </c>
      <c r="S11" s="104">
        <v>-127179</v>
      </c>
      <c r="T11" s="104">
        <v>-129967</v>
      </c>
      <c r="U11" s="104">
        <v>-170321</v>
      </c>
      <c r="V11" s="104">
        <v>-186027</v>
      </c>
      <c r="W11" s="104">
        <v>-201606</v>
      </c>
      <c r="X11" s="104">
        <v>-104917</v>
      </c>
      <c r="Y11" s="104">
        <v>-152761</v>
      </c>
      <c r="Z11" s="104">
        <v>-165765</v>
      </c>
      <c r="AA11" s="104">
        <v>-191739</v>
      </c>
      <c r="AB11" s="104">
        <v>-106041</v>
      </c>
      <c r="AC11" s="104">
        <v>-82907</v>
      </c>
      <c r="AD11" s="104">
        <v>-102607</v>
      </c>
      <c r="AE11" s="104">
        <v>-151039</v>
      </c>
      <c r="AF11" s="104">
        <v>-107369</v>
      </c>
      <c r="AG11" s="104">
        <v>-112326</v>
      </c>
      <c r="AH11" s="104">
        <v>-142870</v>
      </c>
      <c r="AI11" s="104">
        <v>-167382</v>
      </c>
      <c r="AJ11" s="104">
        <v>-101662</v>
      </c>
      <c r="AK11" s="104">
        <v>-101849</v>
      </c>
      <c r="AL11" s="104">
        <v>-140221</v>
      </c>
      <c r="AM11" s="104">
        <v>-149208</v>
      </c>
      <c r="AN11" s="104">
        <v>-110435</v>
      </c>
      <c r="AO11" s="104">
        <v>-89200</v>
      </c>
      <c r="AP11" s="104">
        <v>-109016</v>
      </c>
      <c r="AQ11" s="104">
        <v>-129620</v>
      </c>
      <c r="AR11" s="104">
        <v>-97886</v>
      </c>
      <c r="AS11" s="104">
        <v>-73524</v>
      </c>
      <c r="AT11" s="104">
        <v>-144691</v>
      </c>
      <c r="AU11" s="104">
        <v>-192625</v>
      </c>
      <c r="AV11" s="104">
        <v>-185107</v>
      </c>
      <c r="AW11" s="104">
        <v>-198522</v>
      </c>
      <c r="AX11" s="104">
        <v>-239625</v>
      </c>
      <c r="AY11" s="104">
        <v>-271436</v>
      </c>
      <c r="AZ11" s="104">
        <v>-267844</v>
      </c>
      <c r="BA11" s="104">
        <v>-239419</v>
      </c>
      <c r="BB11" s="104">
        <v>-330920</v>
      </c>
      <c r="BC11" s="104">
        <v>-315035</v>
      </c>
      <c r="BD11" s="104">
        <v>-220701</v>
      </c>
      <c r="BE11" s="104">
        <v>-199116</v>
      </c>
      <c r="BF11" s="104">
        <v>-292745</v>
      </c>
      <c r="BG11" s="104">
        <f>+DRE!BG10</f>
        <v>-350724</v>
      </c>
      <c r="BH11" s="104">
        <f>+DRE!BH10</f>
        <v>-258002</v>
      </c>
      <c r="BI11" s="104">
        <f>+DRE!BI10</f>
        <v>-230874</v>
      </c>
      <c r="BJ11" s="104">
        <f>+DRE!BJ10</f>
        <v>-307958</v>
      </c>
      <c r="BK11" s="104"/>
      <c r="BL11" s="104">
        <v>-285808</v>
      </c>
      <c r="BM11" s="104">
        <v>-336416</v>
      </c>
      <c r="BN11" s="104">
        <v>-328402</v>
      </c>
      <c r="BO11" s="104">
        <v>-432847</v>
      </c>
      <c r="BP11" s="104">
        <v>-687921</v>
      </c>
      <c r="BQ11" s="104">
        <v>-615182</v>
      </c>
      <c r="BR11" s="104">
        <v>-442594</v>
      </c>
      <c r="BS11" s="104">
        <v>-529947</v>
      </c>
      <c r="BT11" s="104">
        <v>-492940</v>
      </c>
      <c r="BU11" s="104">
        <v>-438271</v>
      </c>
      <c r="BV11" s="104">
        <v>-508726</v>
      </c>
      <c r="BW11" s="104">
        <v>-894690</v>
      </c>
      <c r="BX11" s="104">
        <v>-1153218</v>
      </c>
      <c r="BY11" s="103">
        <f>+SUM(BD11:BG11)</f>
        <v>-1063286</v>
      </c>
      <c r="BZ11" s="103">
        <f>+SUM(BH11:BJ11)</f>
        <v>-796834</v>
      </c>
    </row>
    <row r="12" spans="1:269" s="29" customFormat="1" ht="12.75">
      <c r="A12" s="1"/>
      <c r="B12" s="210" t="s">
        <v>281</v>
      </c>
      <c r="C12" s="102" t="s">
        <v>101</v>
      </c>
      <c r="D12" s="104">
        <v>13699</v>
      </c>
      <c r="E12" s="104">
        <v>17536</v>
      </c>
      <c r="F12" s="104">
        <v>24300</v>
      </c>
      <c r="G12" s="104">
        <v>24987</v>
      </c>
      <c r="H12" s="104">
        <v>10027</v>
      </c>
      <c r="I12" s="104">
        <v>15406</v>
      </c>
      <c r="J12" s="104">
        <v>26759</v>
      </c>
      <c r="K12" s="104">
        <v>33518</v>
      </c>
      <c r="L12" s="104">
        <v>20196</v>
      </c>
      <c r="M12" s="104">
        <v>14723</v>
      </c>
      <c r="N12" s="104">
        <v>21550</v>
      </c>
      <c r="O12" s="104">
        <v>39570</v>
      </c>
      <c r="P12" s="104">
        <v>26503</v>
      </c>
      <c r="Q12" s="104">
        <v>30339</v>
      </c>
      <c r="R12" s="104">
        <v>52716</v>
      </c>
      <c r="S12" s="104">
        <v>52357</v>
      </c>
      <c r="T12" s="104">
        <v>43303</v>
      </c>
      <c r="U12" s="104">
        <v>56362</v>
      </c>
      <c r="V12" s="104">
        <v>68321</v>
      </c>
      <c r="W12" s="104">
        <v>49934</v>
      </c>
      <c r="X12" s="104">
        <v>2992</v>
      </c>
      <c r="Y12" s="104">
        <v>18759</v>
      </c>
      <c r="Z12" s="104">
        <v>37000</v>
      </c>
      <c r="AA12" s="104">
        <v>32046</v>
      </c>
      <c r="AB12" s="104">
        <v>9752</v>
      </c>
      <c r="AC12" s="104">
        <v>5386</v>
      </c>
      <c r="AD12" s="104">
        <v>18305</v>
      </c>
      <c r="AE12" s="104">
        <v>-739</v>
      </c>
      <c r="AF12" s="104">
        <v>9862</v>
      </c>
      <c r="AG12" s="104">
        <v>12705</v>
      </c>
      <c r="AH12" s="104">
        <v>18899</v>
      </c>
      <c r="AI12" s="104">
        <v>6962</v>
      </c>
      <c r="AJ12" s="104">
        <v>6933</v>
      </c>
      <c r="AK12" s="104">
        <v>5800</v>
      </c>
      <c r="AL12" s="104">
        <v>25879</v>
      </c>
      <c r="AM12" s="104">
        <v>44748</v>
      </c>
      <c r="AN12" s="104">
        <v>27096</v>
      </c>
      <c r="AO12" s="104">
        <v>27852</v>
      </c>
      <c r="AP12" s="104">
        <v>40506</v>
      </c>
      <c r="AQ12" s="104">
        <v>49740</v>
      </c>
      <c r="AR12" s="104">
        <v>29596</v>
      </c>
      <c r="AS12" s="104">
        <v>20468</v>
      </c>
      <c r="AT12" s="104">
        <v>56954</v>
      </c>
      <c r="AU12" s="104">
        <v>55499</v>
      </c>
      <c r="AV12" s="104">
        <v>51073</v>
      </c>
      <c r="AW12" s="104">
        <v>44132</v>
      </c>
      <c r="AX12" s="104">
        <v>90842</v>
      </c>
      <c r="AY12" s="104">
        <v>145441</v>
      </c>
      <c r="AZ12" s="104">
        <v>169751</v>
      </c>
      <c r="BA12" s="104">
        <v>120655</v>
      </c>
      <c r="BB12" s="104">
        <v>184834</v>
      </c>
      <c r="BC12" s="104">
        <v>186943</v>
      </c>
      <c r="BD12" s="104">
        <v>102403</v>
      </c>
      <c r="BE12" s="104">
        <v>82081</v>
      </c>
      <c r="BF12" s="104">
        <v>112883</v>
      </c>
      <c r="BG12" s="104">
        <f>+BG10+BG11</f>
        <v>151481</v>
      </c>
      <c r="BH12" s="104">
        <f>+BH10+BH11</f>
        <v>122309</v>
      </c>
      <c r="BI12" s="104">
        <f>+BI10+BI11</f>
        <v>96960</v>
      </c>
      <c r="BJ12" s="104">
        <f>+BJ10+BJ11</f>
        <v>131094</v>
      </c>
      <c r="BK12" s="104"/>
      <c r="BL12" s="104">
        <v>80522</v>
      </c>
      <c r="BM12" s="104">
        <v>85710</v>
      </c>
      <c r="BN12" s="104">
        <v>96039</v>
      </c>
      <c r="BO12" s="104">
        <v>161915</v>
      </c>
      <c r="BP12" s="104">
        <v>217920</v>
      </c>
      <c r="BQ12" s="104">
        <v>90797</v>
      </c>
      <c r="BR12" s="104">
        <v>32704</v>
      </c>
      <c r="BS12" s="104">
        <v>48428</v>
      </c>
      <c r="BT12" s="104">
        <v>83360</v>
      </c>
      <c r="BU12" s="104">
        <v>145194</v>
      </c>
      <c r="BV12" s="104">
        <v>162517</v>
      </c>
      <c r="BW12" s="104">
        <v>331488</v>
      </c>
      <c r="BX12" s="104">
        <v>662183</v>
      </c>
      <c r="BY12" s="104">
        <f>+BY10+BY11</f>
        <v>448848</v>
      </c>
      <c r="BZ12" s="104">
        <f>+BZ10+BZ11</f>
        <v>350363</v>
      </c>
    </row>
    <row r="13" spans="1:269" s="29" customFormat="1" ht="12.75">
      <c r="A13" s="1"/>
      <c r="B13" s="210" t="s">
        <v>282</v>
      </c>
      <c r="C13" s="102" t="s">
        <v>102</v>
      </c>
      <c r="D13" s="104">
        <v>-1364</v>
      </c>
      <c r="E13" s="104">
        <v>3675</v>
      </c>
      <c r="F13" s="104">
        <v>7036</v>
      </c>
      <c r="G13" s="104">
        <v>18289</v>
      </c>
      <c r="H13" s="104">
        <v>-3155</v>
      </c>
      <c r="I13" s="104">
        <v>6206</v>
      </c>
      <c r="J13" s="104">
        <v>8164</v>
      </c>
      <c r="K13" s="104">
        <v>17039</v>
      </c>
      <c r="L13" s="104">
        <v>3419</v>
      </c>
      <c r="M13" s="104">
        <v>561</v>
      </c>
      <c r="N13" s="104">
        <v>7255</v>
      </c>
      <c r="O13" s="104">
        <v>20046</v>
      </c>
      <c r="P13" s="104">
        <v>8600</v>
      </c>
      <c r="Q13" s="104">
        <v>8699</v>
      </c>
      <c r="R13" s="104">
        <v>19751</v>
      </c>
      <c r="S13" s="104">
        <v>25048</v>
      </c>
      <c r="T13" s="104">
        <v>23774</v>
      </c>
      <c r="U13" s="104">
        <v>25067</v>
      </c>
      <c r="V13" s="104">
        <v>34247</v>
      </c>
      <c r="W13" s="104">
        <v>49596</v>
      </c>
      <c r="X13" s="104">
        <v>-14281</v>
      </c>
      <c r="Y13" s="104">
        <v>648</v>
      </c>
      <c r="Z13" s="104">
        <v>6743</v>
      </c>
      <c r="AA13" s="104">
        <v>13127</v>
      </c>
      <c r="AB13" s="104">
        <v>-5728</v>
      </c>
      <c r="AC13" s="104">
        <v>-7522</v>
      </c>
      <c r="AD13" s="104">
        <v>2326</v>
      </c>
      <c r="AE13" s="104">
        <v>-11200</v>
      </c>
      <c r="AF13" s="104">
        <v>-5802</v>
      </c>
      <c r="AG13" s="104">
        <v>-5218</v>
      </c>
      <c r="AH13" s="104">
        <v>-3834</v>
      </c>
      <c r="AI13" s="104">
        <v>-19403</v>
      </c>
      <c r="AJ13" s="104">
        <v>-10604</v>
      </c>
      <c r="AK13" s="104">
        <v>-13983</v>
      </c>
      <c r="AL13" s="104">
        <v>4105</v>
      </c>
      <c r="AM13" s="104">
        <v>28748</v>
      </c>
      <c r="AN13" s="104">
        <v>4082</v>
      </c>
      <c r="AO13" s="104">
        <v>-3518</v>
      </c>
      <c r="AP13" s="104">
        <v>15899</v>
      </c>
      <c r="AQ13" s="104">
        <v>21109</v>
      </c>
      <c r="AR13" s="104">
        <v>8749</v>
      </c>
      <c r="AS13" s="104">
        <v>15198</v>
      </c>
      <c r="AT13" s="104">
        <v>21958</v>
      </c>
      <c r="AU13" s="104">
        <v>20745</v>
      </c>
      <c r="AV13" s="104">
        <v>17208</v>
      </c>
      <c r="AW13" s="104">
        <v>11823</v>
      </c>
      <c r="AX13" s="104">
        <v>41133</v>
      </c>
      <c r="AY13" s="104">
        <v>84471</v>
      </c>
      <c r="AZ13" s="104">
        <v>93640</v>
      </c>
      <c r="BA13" s="104">
        <v>60168</v>
      </c>
      <c r="BB13" s="104">
        <v>115648</v>
      </c>
      <c r="BC13" s="104">
        <v>113012</v>
      </c>
      <c r="BD13" s="104">
        <v>51241</v>
      </c>
      <c r="BE13" s="104">
        <v>33358</v>
      </c>
      <c r="BF13" s="104">
        <v>66591</v>
      </c>
      <c r="BG13" s="104">
        <f>+DRE!BG24</f>
        <v>94024</v>
      </c>
      <c r="BH13" s="104">
        <f>+DRE!BH24</f>
        <v>52156</v>
      </c>
      <c r="BI13" s="104">
        <f>+DRE!BI24</f>
        <v>37004</v>
      </c>
      <c r="BJ13" s="104">
        <f>+DRE!BJ24</f>
        <v>59641</v>
      </c>
      <c r="BK13" s="104"/>
      <c r="BL13" s="104">
        <v>27636</v>
      </c>
      <c r="BM13" s="104">
        <v>28254</v>
      </c>
      <c r="BN13" s="104">
        <v>31281</v>
      </c>
      <c r="BO13" s="104">
        <v>62098</v>
      </c>
      <c r="BP13" s="104">
        <v>132684</v>
      </c>
      <c r="BQ13" s="104">
        <v>6237</v>
      </c>
      <c r="BR13" s="104">
        <v>-22124</v>
      </c>
      <c r="BS13" s="104">
        <v>-34257</v>
      </c>
      <c r="BT13" s="104">
        <v>8266</v>
      </c>
      <c r="BU13" s="104">
        <v>37572</v>
      </c>
      <c r="BV13" s="104">
        <v>67650</v>
      </c>
      <c r="BW13" s="104">
        <v>154635</v>
      </c>
      <c r="BX13" s="104">
        <v>382468</v>
      </c>
      <c r="BY13" s="103">
        <f>+SUM(BD13:BG13)</f>
        <v>245214</v>
      </c>
      <c r="BZ13" s="103">
        <f>+SUM(BH13:BJ13)</f>
        <v>148801</v>
      </c>
    </row>
    <row r="14" spans="1:269" s="29" customFormat="1" ht="12.75">
      <c r="A14" s="1"/>
      <c r="B14" s="210" t="s">
        <v>103</v>
      </c>
      <c r="C14" s="102" t="s">
        <v>103</v>
      </c>
      <c r="D14" s="104">
        <v>7264</v>
      </c>
      <c r="E14" s="104">
        <v>10587</v>
      </c>
      <c r="F14" s="104">
        <v>14507</v>
      </c>
      <c r="G14" s="104">
        <v>20937</v>
      </c>
      <c r="H14" s="104">
        <v>1162</v>
      </c>
      <c r="I14" s="104">
        <v>10296</v>
      </c>
      <c r="J14" s="104">
        <v>18301</v>
      </c>
      <c r="K14" s="104">
        <v>22632</v>
      </c>
      <c r="L14" s="104">
        <v>10138</v>
      </c>
      <c r="M14" s="104">
        <v>6979</v>
      </c>
      <c r="N14" s="104">
        <v>12229</v>
      </c>
      <c r="O14" s="104">
        <v>27553</v>
      </c>
      <c r="P14" s="104">
        <v>15427</v>
      </c>
      <c r="Q14" s="104">
        <v>20798</v>
      </c>
      <c r="R14" s="104">
        <v>35729</v>
      </c>
      <c r="S14" s="104">
        <v>26344</v>
      </c>
      <c r="T14" s="104">
        <v>34772</v>
      </c>
      <c r="U14" s="104">
        <v>44669</v>
      </c>
      <c r="V14" s="104">
        <v>58357</v>
      </c>
      <c r="W14" s="104">
        <v>23171</v>
      </c>
      <c r="X14" s="104">
        <v>-10957</v>
      </c>
      <c r="Y14" s="104">
        <v>3450</v>
      </c>
      <c r="Z14" s="104">
        <v>22493</v>
      </c>
      <c r="AA14" s="104">
        <v>13837</v>
      </c>
      <c r="AB14" s="104">
        <v>-4807</v>
      </c>
      <c r="AC14" s="104">
        <v>-7461</v>
      </c>
      <c r="AD14" s="104">
        <v>7774</v>
      </c>
      <c r="AE14" s="104">
        <v>-18835</v>
      </c>
      <c r="AF14" s="104">
        <v>-2571</v>
      </c>
      <c r="AG14" s="104">
        <v>-1096</v>
      </c>
      <c r="AH14" s="104">
        <v>-491</v>
      </c>
      <c r="AI14" s="104">
        <v>-8591</v>
      </c>
      <c r="AJ14" s="104">
        <v>-3066</v>
      </c>
      <c r="AK14" s="104">
        <v>-4930</v>
      </c>
      <c r="AL14" s="104">
        <v>13227</v>
      </c>
      <c r="AM14" s="104">
        <v>43187</v>
      </c>
      <c r="AN14" s="104">
        <v>15298</v>
      </c>
      <c r="AO14" s="104">
        <v>11698</v>
      </c>
      <c r="AP14" s="104">
        <v>25382</v>
      </c>
      <c r="AQ14" s="104">
        <v>30937</v>
      </c>
      <c r="AR14" s="104">
        <v>17486</v>
      </c>
      <c r="AS14" s="104">
        <v>23392</v>
      </c>
      <c r="AT14" s="104">
        <v>37413</v>
      </c>
      <c r="AU14" s="104">
        <v>30463</v>
      </c>
      <c r="AV14" s="104">
        <v>32893</v>
      </c>
      <c r="AW14" s="104">
        <v>21351</v>
      </c>
      <c r="AX14" s="104">
        <v>59873</v>
      </c>
      <c r="AY14" s="104">
        <v>119053</v>
      </c>
      <c r="AZ14" s="104">
        <v>146801</v>
      </c>
      <c r="BA14" s="104">
        <v>94340</v>
      </c>
      <c r="BB14" s="104">
        <v>155843</v>
      </c>
      <c r="BC14" s="104">
        <v>151274</v>
      </c>
      <c r="BD14" s="104">
        <v>77425</v>
      </c>
      <c r="BE14" s="104">
        <v>53755</v>
      </c>
      <c r="BF14" s="104">
        <v>88307</v>
      </c>
      <c r="BG14" s="104">
        <f>+EBITDA!BG11</f>
        <v>117239</v>
      </c>
      <c r="BH14" s="104">
        <f>+EBITDA!BH11</f>
        <v>90424</v>
      </c>
      <c r="BI14" s="104">
        <f>+EBITDA!BI11</f>
        <v>63270</v>
      </c>
      <c r="BJ14" s="104">
        <f>+EBITDA!BJ11</f>
        <v>92917</v>
      </c>
      <c r="BK14" s="104"/>
      <c r="BL14" s="104">
        <v>53295</v>
      </c>
      <c r="BM14" s="104">
        <v>52391</v>
      </c>
      <c r="BN14" s="104">
        <v>56899</v>
      </c>
      <c r="BO14" s="104">
        <v>98298</v>
      </c>
      <c r="BP14" s="104">
        <v>160969</v>
      </c>
      <c r="BQ14" s="104">
        <v>28823</v>
      </c>
      <c r="BR14" s="104">
        <v>-23329</v>
      </c>
      <c r="BS14" s="104">
        <v>-12749</v>
      </c>
      <c r="BT14" s="104">
        <v>48418</v>
      </c>
      <c r="BU14" s="104">
        <v>83315</v>
      </c>
      <c r="BV14" s="104">
        <v>108754</v>
      </c>
      <c r="BW14" s="104">
        <v>233170</v>
      </c>
      <c r="BX14" s="104">
        <v>548258</v>
      </c>
      <c r="BY14" s="103">
        <f>+SUM(BD14:BG14)</f>
        <v>336726</v>
      </c>
      <c r="BZ14" s="103">
        <f>+SUM(BH14:BJ14)</f>
        <v>246611</v>
      </c>
    </row>
    <row r="15" spans="1:269" s="29" customFormat="1" ht="12.75">
      <c r="A15" s="1"/>
      <c r="B15" s="210" t="s">
        <v>283</v>
      </c>
      <c r="C15" s="102" t="s">
        <v>104</v>
      </c>
      <c r="D15" s="105">
        <v>0.18703238490524821</v>
      </c>
      <c r="E15" s="105">
        <v>0.23122057989741696</v>
      </c>
      <c r="F15" s="105">
        <v>0.24830884306472378</v>
      </c>
      <c r="G15" s="105">
        <v>0.20930115678111624</v>
      </c>
      <c r="H15" s="105">
        <v>0.16514048552323857</v>
      </c>
      <c r="I15" s="105">
        <v>0.17906041516539203</v>
      </c>
      <c r="J15" s="105">
        <v>0.2129154433119296</v>
      </c>
      <c r="K15" s="105">
        <v>0.22391459740398553</v>
      </c>
      <c r="L15" s="105">
        <v>0.20671020040531413</v>
      </c>
      <c r="M15" s="105">
        <v>0.2003265528267229</v>
      </c>
      <c r="N15" s="105">
        <v>0.22727752114577401</v>
      </c>
      <c r="O15" s="105">
        <v>0.24976960852385341</v>
      </c>
      <c r="P15" s="105">
        <v>0.22174345930840605</v>
      </c>
      <c r="Q15" s="105">
        <v>0.23558965359258885</v>
      </c>
      <c r="R15" s="105">
        <v>0.31580460802990545</v>
      </c>
      <c r="S15" s="105">
        <v>0.29162396399607876</v>
      </c>
      <c r="T15" s="105">
        <v>0.24991631557684538</v>
      </c>
      <c r="U15" s="105">
        <v>0.24863796579364134</v>
      </c>
      <c r="V15" s="105">
        <v>0.26861229496595218</v>
      </c>
      <c r="W15" s="105">
        <v>0.19851315894092392</v>
      </c>
      <c r="X15" s="105">
        <v>2.7727066324402968E-2</v>
      </c>
      <c r="Y15" s="105">
        <v>0.10936916977611941</v>
      </c>
      <c r="Z15" s="105">
        <v>0.18247725199122136</v>
      </c>
      <c r="AA15" s="105">
        <v>0.14319994637710301</v>
      </c>
      <c r="AB15" s="105">
        <v>8.4219253322739718E-2</v>
      </c>
      <c r="AC15" s="105">
        <v>6.1001438392624556E-2</v>
      </c>
      <c r="AD15" s="105">
        <v>0.15139109434960962</v>
      </c>
      <c r="AE15" s="105">
        <v>-4.9168330006653356E-3</v>
      </c>
      <c r="AF15" s="105">
        <v>8.4124506316588618E-2</v>
      </c>
      <c r="AG15" s="105">
        <v>0.10161479952971662</v>
      </c>
      <c r="AH15" s="105">
        <v>0.11682708059022433</v>
      </c>
      <c r="AI15" s="105">
        <v>3.9932547148166846E-2</v>
      </c>
      <c r="AJ15" s="105">
        <v>6.3842718357198763E-2</v>
      </c>
      <c r="AK15" s="105">
        <v>5.387880983566963E-2</v>
      </c>
      <c r="AL15" s="105">
        <v>0.15580373269114992</v>
      </c>
      <c r="AM15" s="105">
        <v>0.23071212027470148</v>
      </c>
      <c r="AN15" s="105">
        <v>0.19701739971351914</v>
      </c>
      <c r="AO15" s="105">
        <v>0.23794552848306735</v>
      </c>
      <c r="AP15" s="105">
        <v>0.27090327844731876</v>
      </c>
      <c r="AQ15" s="105">
        <v>0.27731935771632471</v>
      </c>
      <c r="AR15" s="105">
        <v>0.23215826548061688</v>
      </c>
      <c r="AS15" s="105">
        <v>0.21776321389054387</v>
      </c>
      <c r="AT15" s="105">
        <v>0.28244687445758637</v>
      </c>
      <c r="AU15" s="105">
        <v>0.22367445309603262</v>
      </c>
      <c r="AV15" s="105">
        <v>0.21624608349563892</v>
      </c>
      <c r="AW15" s="105">
        <v>0.18187213068814032</v>
      </c>
      <c r="AX15" s="105">
        <v>0.27488977719409202</v>
      </c>
      <c r="AY15" s="105">
        <v>0.34888144732991427</v>
      </c>
      <c r="AZ15" s="105">
        <v>0.38791805208011976</v>
      </c>
      <c r="BA15" s="105">
        <v>0.33508389942067462</v>
      </c>
      <c r="BB15" s="105">
        <v>0.35837628016457457</v>
      </c>
      <c r="BC15" s="105">
        <v>0.37241273521947177</v>
      </c>
      <c r="BD15" s="105">
        <v>0.31693510448648116</v>
      </c>
      <c r="BE15" s="105">
        <v>0.29189856221794686</v>
      </c>
      <c r="BF15" s="105">
        <f>+BF12/BF10</f>
        <v>0.27829193250959006</v>
      </c>
      <c r="BG15" s="105">
        <f>+BG12/BG10</f>
        <v>0.30163180374548243</v>
      </c>
      <c r="BH15" s="105">
        <f>+BH12/BH10</f>
        <v>0.32160258314905432</v>
      </c>
      <c r="BI15" s="105">
        <f>+BI12/BI10</f>
        <v>0.29575943922838999</v>
      </c>
      <c r="BJ15" s="105">
        <f>+BJ12/BJ10</f>
        <v>0.29858422237001542</v>
      </c>
      <c r="BK15" s="105"/>
      <c r="BL15" s="105">
        <v>0.21980727759124286</v>
      </c>
      <c r="BM15" s="105">
        <v>0.20304364099818537</v>
      </c>
      <c r="BN15" s="105">
        <v>0.22627173152452285</v>
      </c>
      <c r="BO15" s="105">
        <v>0.27223494439792723</v>
      </c>
      <c r="BP15" s="105">
        <v>0.24057202091757826</v>
      </c>
      <c r="BQ15" s="105">
        <v>0.12861147427897998</v>
      </c>
      <c r="BR15" s="105">
        <v>6.8807358751772574E-2</v>
      </c>
      <c r="BS15" s="105">
        <v>8.3731143289388368E-2</v>
      </c>
      <c r="BT15" s="105">
        <v>0.14464688530279368</v>
      </c>
      <c r="BU15" s="105">
        <v>0.24884783148946379</v>
      </c>
      <c r="BV15" s="105">
        <v>0.24211351179826085</v>
      </c>
      <c r="BW15" s="105">
        <v>0.27034225834890341</v>
      </c>
      <c r="BX15" s="105">
        <v>0.36475852993360697</v>
      </c>
      <c r="BY15" s="105">
        <f>+BY12/BY10</f>
        <v>0.29683083642058178</v>
      </c>
      <c r="BZ15" s="105">
        <f>+BZ12/BZ10</f>
        <v>0.30540787676397341</v>
      </c>
    </row>
    <row r="16" spans="1:269" s="29" customFormat="1" ht="12.75">
      <c r="A16" s="1"/>
      <c r="B16" s="210" t="s">
        <v>284</v>
      </c>
      <c r="C16" s="102" t="s">
        <v>105</v>
      </c>
      <c r="D16" s="105">
        <v>-1.8622685817268309E-2</v>
      </c>
      <c r="E16" s="105">
        <v>4.8456639548529162E-2</v>
      </c>
      <c r="F16" s="105">
        <v>7.1897161308781751E-2</v>
      </c>
      <c r="G16" s="105">
        <v>0.15319601618320866</v>
      </c>
      <c r="H16" s="105">
        <v>-5.1961527059521062E-2</v>
      </c>
      <c r="I16" s="105">
        <v>7.2130918896301632E-2</v>
      </c>
      <c r="J16" s="105">
        <v>6.4959141940976614E-2</v>
      </c>
      <c r="K16" s="105">
        <v>0.11382781863973118</v>
      </c>
      <c r="L16" s="105">
        <v>3.4994165933143639E-2</v>
      </c>
      <c r="M16" s="105">
        <v>7.633172324647935E-3</v>
      </c>
      <c r="N16" s="105">
        <v>7.6515007698960108E-2</v>
      </c>
      <c r="O16" s="105">
        <v>0.12653226111875576</v>
      </c>
      <c r="P16" s="105">
        <v>7.195388258130371E-2</v>
      </c>
      <c r="Q16" s="105">
        <v>6.7549833435575676E-2</v>
      </c>
      <c r="R16" s="105">
        <v>0.11832189113739022</v>
      </c>
      <c r="S16" s="105">
        <v>0.13951519472417789</v>
      </c>
      <c r="T16" s="105">
        <v>0.13720782593639985</v>
      </c>
      <c r="U16" s="105">
        <v>0.1105817374924454</v>
      </c>
      <c r="V16" s="105">
        <v>0.13464623272052464</v>
      </c>
      <c r="W16" s="105">
        <v>0.19716943627256103</v>
      </c>
      <c r="X16" s="105">
        <v>-0.13234299270681779</v>
      </c>
      <c r="Y16" s="105">
        <v>3.7779850746268656E-3</v>
      </c>
      <c r="Z16" s="105">
        <v>3.3255246220994746E-2</v>
      </c>
      <c r="AA16" s="105">
        <v>5.8658980718099961E-2</v>
      </c>
      <c r="AB16" s="105">
        <v>-4.9467584396293389E-2</v>
      </c>
      <c r="AC16" s="105">
        <v>-8.5193616708006292E-2</v>
      </c>
      <c r="AD16" s="105">
        <v>1.9237131136694455E-2</v>
      </c>
      <c r="AE16" s="105">
        <v>-7.4517631403858947E-2</v>
      </c>
      <c r="AF16" s="105">
        <v>-4.9492028558998896E-2</v>
      </c>
      <c r="AG16" s="105">
        <v>-4.1733650054786416E-2</v>
      </c>
      <c r="AH16" s="105">
        <v>-2.37004617695603E-2</v>
      </c>
      <c r="AI16" s="105">
        <v>-0.11129146973798926</v>
      </c>
      <c r="AJ16" s="105">
        <v>-9.7647221326948752E-2</v>
      </c>
      <c r="AK16" s="105">
        <v>-0.12989437895382214</v>
      </c>
      <c r="AL16" s="105">
        <v>2.4714027694160146E-2</v>
      </c>
      <c r="AM16" s="105">
        <v>0.1482191837323929</v>
      </c>
      <c r="AN16" s="105">
        <v>2.9680581105350795E-2</v>
      </c>
      <c r="AO16" s="105">
        <v>-3.0055018282472746E-2</v>
      </c>
      <c r="AP16" s="105">
        <v>0.10633217854228809</v>
      </c>
      <c r="AQ16" s="105">
        <v>0.11769067796610169</v>
      </c>
      <c r="AR16" s="105">
        <v>6.8629296685022198E-2</v>
      </c>
      <c r="AS16" s="105">
        <v>0.16169461230743043</v>
      </c>
      <c r="AT16" s="105">
        <v>0.10889434402043195</v>
      </c>
      <c r="AU16" s="105">
        <v>8.3607389853460362E-2</v>
      </c>
      <c r="AV16" s="105">
        <v>7.2859683292404095E-2</v>
      </c>
      <c r="AW16" s="105">
        <v>4.8723697116058257E-2</v>
      </c>
      <c r="AX16" s="105">
        <v>0.12446931161053902</v>
      </c>
      <c r="AY16" s="105">
        <v>0.20262762726744996</v>
      </c>
      <c r="AZ16" s="105">
        <v>0.21398781978770323</v>
      </c>
      <c r="BA16" s="105">
        <v>0.16709898520859601</v>
      </c>
      <c r="BB16" s="105">
        <v>0.22423093180081977</v>
      </c>
      <c r="BC16" s="105">
        <v>0.22513337237886918</v>
      </c>
      <c r="BD16" s="105">
        <v>0.15858980390214916</v>
      </c>
      <c r="BE16" s="105">
        <v>0.11862857711853256</v>
      </c>
      <c r="BF16" s="105">
        <f>+BF13/BF10</f>
        <v>0.16416766100959501</v>
      </c>
      <c r="BG16" s="105">
        <f>+BG13/BG10</f>
        <v>0.18722234943897412</v>
      </c>
      <c r="BH16" s="105">
        <f>+BH13/BH10</f>
        <v>0.13714039299415479</v>
      </c>
      <c r="BI16" s="105">
        <f>+BI13/BI10</f>
        <v>0.11287419852730345</v>
      </c>
      <c r="BJ16" s="105">
        <f>+BJ13/BJ10</f>
        <v>0.13584040159252206</v>
      </c>
      <c r="BK16" s="105"/>
      <c r="BL16" s="105">
        <v>7.5440176889689625E-2</v>
      </c>
      <c r="BM16" s="105">
        <v>6.6932622013332513E-2</v>
      </c>
      <c r="BN16" s="105">
        <v>7.3699289182713262E-2</v>
      </c>
      <c r="BO16" s="105">
        <v>0.10440814981454767</v>
      </c>
      <c r="BP16" s="105">
        <v>0.14647603718533386</v>
      </c>
      <c r="BQ16" s="105">
        <v>8.8345404041763279E-3</v>
      </c>
      <c r="BR16" s="105">
        <v>-4.6547639586112292E-2</v>
      </c>
      <c r="BS16" s="105">
        <v>-5.9229738491463152E-2</v>
      </c>
      <c r="BT16" s="105">
        <v>1.4343224015269825E-2</v>
      </c>
      <c r="BU16" s="105">
        <v>6.4394608074177545E-2</v>
      </c>
      <c r="BV16" s="105">
        <v>0.1007831739027446</v>
      </c>
      <c r="BW16" s="105">
        <v>0.12611127739098452</v>
      </c>
      <c r="BX16" s="105">
        <v>0.21067962395085163</v>
      </c>
      <c r="BY16" s="105">
        <f>+BY13/BY10</f>
        <v>0.16216419973362148</v>
      </c>
      <c r="BZ16" s="105">
        <f>+BZ13/BZ10</f>
        <v>0.12970832385370604</v>
      </c>
    </row>
    <row r="17" spans="1:78" s="29" customFormat="1" ht="12.75">
      <c r="A17" s="1"/>
      <c r="B17" s="210" t="s">
        <v>285</v>
      </c>
      <c r="C17" s="102" t="s">
        <v>106</v>
      </c>
      <c r="D17" s="105">
        <v>9.9175359073780792E-2</v>
      </c>
      <c r="E17" s="105">
        <v>0.13959467834021175</v>
      </c>
      <c r="F17" s="105">
        <v>0.14823935746254929</v>
      </c>
      <c r="G17" s="105">
        <v>0.17537672867996282</v>
      </c>
      <c r="H17" s="105">
        <v>1.9137652755360848E-2</v>
      </c>
      <c r="I17" s="105">
        <v>0.11966805365071248</v>
      </c>
      <c r="J17" s="105">
        <v>0.14561700841031516</v>
      </c>
      <c r="K17" s="105">
        <v>0.15119145439605589</v>
      </c>
      <c r="L17" s="105">
        <v>0.10376450840310332</v>
      </c>
      <c r="M17" s="105">
        <v>9.4958840737465133E-2</v>
      </c>
      <c r="N17" s="105">
        <v>0.12897340167478749</v>
      </c>
      <c r="O17" s="105">
        <v>0.17391716006211103</v>
      </c>
      <c r="P17" s="105">
        <v>0.12907355192811304</v>
      </c>
      <c r="Q17" s="105">
        <v>0.16150148704369502</v>
      </c>
      <c r="R17" s="105">
        <v>0.21404095227825504</v>
      </c>
      <c r="S17" s="105">
        <v>0.14673380269138223</v>
      </c>
      <c r="T17" s="105">
        <v>0.20068101806429273</v>
      </c>
      <c r="U17" s="105">
        <v>0.19705491810148976</v>
      </c>
      <c r="V17" s="105">
        <v>0.22943762089735323</v>
      </c>
      <c r="W17" s="105">
        <v>9.2116561978214204E-2</v>
      </c>
      <c r="X17" s="105">
        <v>-0.10153925993197972</v>
      </c>
      <c r="Y17" s="105">
        <v>2.0114272388059701E-2</v>
      </c>
      <c r="Z17" s="105">
        <v>0.11093137375779843</v>
      </c>
      <c r="AA17" s="105">
        <v>6.1831668789239673E-2</v>
      </c>
      <c r="AB17" s="105">
        <v>-4.1513735718048589E-2</v>
      </c>
      <c r="AC17" s="105">
        <v>-8.4502735211171895E-2</v>
      </c>
      <c r="AD17" s="105">
        <v>6.4294693661505892E-2</v>
      </c>
      <c r="AE17" s="105">
        <v>-0.12531603459747173</v>
      </c>
      <c r="AF17" s="105">
        <v>-2.1931059190828363E-2</v>
      </c>
      <c r="AG17" s="105">
        <v>-8.7658260751333674E-3</v>
      </c>
      <c r="AH17" s="105">
        <v>-3.0351921567172944E-3</v>
      </c>
      <c r="AI17" s="105">
        <v>-4.9276143715872071E-2</v>
      </c>
      <c r="AJ17" s="105">
        <v>-2.8233344076614944E-2</v>
      </c>
      <c r="AK17" s="105">
        <v>-4.5796988360319188E-2</v>
      </c>
      <c r="AL17" s="105">
        <v>7.9632751354605666E-2</v>
      </c>
      <c r="AM17" s="105">
        <v>0.22266390315329249</v>
      </c>
      <c r="AN17" s="105">
        <v>0.11123310380932298</v>
      </c>
      <c r="AO17" s="105">
        <v>9.9938488876738549E-2</v>
      </c>
      <c r="AP17" s="105">
        <v>0.16975428365056647</v>
      </c>
      <c r="AQ17" s="105">
        <v>0.17248550401427298</v>
      </c>
      <c r="AR17" s="105">
        <v>0.13716446243391223</v>
      </c>
      <c r="AS17" s="105">
        <v>0.24887224444633585</v>
      </c>
      <c r="AT17" s="105">
        <v>0.18553894220040171</v>
      </c>
      <c r="AU17" s="105">
        <v>0.12277329077396786</v>
      </c>
      <c r="AV17" s="105">
        <v>0.13927089508002372</v>
      </c>
      <c r="AW17" s="105">
        <v>8.7989482967517532E-2</v>
      </c>
      <c r="AX17" s="105">
        <v>0.18117694051145802</v>
      </c>
      <c r="AY17" s="105">
        <v>0.28558235263074566</v>
      </c>
      <c r="AZ17" s="105">
        <v>0.3354722974439836</v>
      </c>
      <c r="BA17" s="105">
        <v>0.26200169965062736</v>
      </c>
      <c r="BB17" s="105">
        <v>0.30216537341445726</v>
      </c>
      <c r="BC17" s="105">
        <v>0.30135583631155149</v>
      </c>
      <c r="BD17" s="105">
        <v>0.23962872635436269</v>
      </c>
      <c r="BE17" s="105">
        <v>0.19116491285468906</v>
      </c>
      <c r="BF17" s="105">
        <f>+BF14/BF10</f>
        <v>0.2177043991045983</v>
      </c>
      <c r="BG17" s="105">
        <f>+BG14/BG10</f>
        <v>0.23344849214962018</v>
      </c>
      <c r="BH17" s="105">
        <f>+BH14/BH10</f>
        <v>0.23776330424310629</v>
      </c>
      <c r="BI17" s="105">
        <f>+BI14/BI10</f>
        <v>0.19299401526382254</v>
      </c>
      <c r="BJ17" s="105">
        <f>+BJ14/BJ10</f>
        <v>0.21163096854131175</v>
      </c>
      <c r="BK17" s="105"/>
      <c r="BL17" s="105">
        <v>0.14548358037834738</v>
      </c>
      <c r="BM17" s="105">
        <v>0.12411223189284716</v>
      </c>
      <c r="BN17" s="105">
        <v>0.13405632349372468</v>
      </c>
      <c r="BO17" s="105">
        <v>0.16527283182180436</v>
      </c>
      <c r="BP17" s="105">
        <v>0.17770116389079318</v>
      </c>
      <c r="BQ17" s="105">
        <v>4.0826993437481848E-2</v>
      </c>
      <c r="BR17" s="105">
        <v>-4.9082891154601953E-2</v>
      </c>
      <c r="BS17" s="105">
        <v>-2.2042792306029825E-2</v>
      </c>
      <c r="BT17" s="105">
        <v>8.4015269824744054E-2</v>
      </c>
      <c r="BU17" s="105">
        <v>0.14279348375652354</v>
      </c>
      <c r="BV17" s="105">
        <v>0.16201882179776922</v>
      </c>
      <c r="BW17" s="105">
        <v>0.1901598380008139</v>
      </c>
      <c r="BX17" s="105">
        <v>0.30200379971146868</v>
      </c>
      <c r="BY17" s="105">
        <f>+BY14/BY10</f>
        <v>0.22268264585016936</v>
      </c>
      <c r="BZ17" s="105">
        <f>+BZ14/BZ10</f>
        <v>0.21496830971489639</v>
      </c>
    </row>
    <row r="18" spans="1:78" s="29" customFormat="1" ht="12.75">
      <c r="A18" s="1"/>
      <c r="B18" s="210" t="s">
        <v>286</v>
      </c>
      <c r="C18" s="102" t="s">
        <v>271</v>
      </c>
      <c r="D18" s="104">
        <v>99912</v>
      </c>
      <c r="E18" s="104">
        <v>94248</v>
      </c>
      <c r="F18" s="104">
        <v>69185</v>
      </c>
      <c r="G18" s="104">
        <v>48457</v>
      </c>
      <c r="H18" s="104">
        <v>49891</v>
      </c>
      <c r="I18" s="104">
        <v>51476</v>
      </c>
      <c r="J18" s="104">
        <v>41307</v>
      </c>
      <c r="K18" s="104">
        <v>42455</v>
      </c>
      <c r="L18" s="104">
        <v>54601</v>
      </c>
      <c r="M18" s="104">
        <v>62510</v>
      </c>
      <c r="N18" s="104">
        <v>38184</v>
      </c>
      <c r="O18" s="104">
        <v>22582</v>
      </c>
      <c r="P18" s="104">
        <v>20575</v>
      </c>
      <c r="Q18" s="104">
        <v>31772</v>
      </c>
      <c r="R18" s="104">
        <v>-34677</v>
      </c>
      <c r="S18" s="104">
        <v>-2193</v>
      </c>
      <c r="T18" s="104">
        <v>-20814</v>
      </c>
      <c r="U18" s="104">
        <v>-25754</v>
      </c>
      <c r="V18" s="104">
        <v>-116491</v>
      </c>
      <c r="W18" s="104">
        <v>-72216</v>
      </c>
      <c r="X18" s="104">
        <v>-41742</v>
      </c>
      <c r="Y18" s="104">
        <v>7592</v>
      </c>
      <c r="Z18" s="104">
        <v>-6751</v>
      </c>
      <c r="AA18" s="104">
        <v>-5662</v>
      </c>
      <c r="AB18" s="104">
        <v>-6829</v>
      </c>
      <c r="AC18" s="104">
        <v>-17324</v>
      </c>
      <c r="AD18" s="104">
        <v>-70436</v>
      </c>
      <c r="AE18" s="104">
        <v>-60371</v>
      </c>
      <c r="AF18" s="104">
        <v>-33824</v>
      </c>
      <c r="AG18" s="104">
        <v>-2433</v>
      </c>
      <c r="AH18" s="104">
        <v>-25318</v>
      </c>
      <c r="AI18" s="104">
        <v>-35571</v>
      </c>
      <c r="AJ18" s="104">
        <v>-25583</v>
      </c>
      <c r="AK18" s="104">
        <v>-23985</v>
      </c>
      <c r="AL18" s="104">
        <v>-2836</v>
      </c>
      <c r="AM18" s="104">
        <v>-7221</v>
      </c>
      <c r="AN18" s="104">
        <v>7980</v>
      </c>
      <c r="AO18" s="104">
        <v>-3800</v>
      </c>
      <c r="AP18" s="104">
        <v>-23456</v>
      </c>
      <c r="AQ18" s="104">
        <v>-44824</v>
      </c>
      <c r="AR18" s="104">
        <v>-29190</v>
      </c>
      <c r="AS18" s="104">
        <v>-91922</v>
      </c>
      <c r="AT18" s="104">
        <v>-171056</v>
      </c>
      <c r="AU18" s="104">
        <v>-270543</v>
      </c>
      <c r="AV18" s="104">
        <v>-235979</v>
      </c>
      <c r="AW18" s="104">
        <v>-387476</v>
      </c>
      <c r="AX18" s="104">
        <v>-381494</v>
      </c>
      <c r="AY18" s="104">
        <v>-74693</v>
      </c>
      <c r="AZ18" s="104">
        <v>-103480</v>
      </c>
      <c r="BA18" s="104">
        <v>-110779</v>
      </c>
      <c r="BB18" s="104">
        <v>-152443</v>
      </c>
      <c r="BC18" s="104">
        <v>-171086</v>
      </c>
      <c r="BD18" s="104">
        <v>-147263</v>
      </c>
      <c r="BE18" s="104">
        <v>-114091</v>
      </c>
      <c r="BF18" s="104">
        <v>-112992</v>
      </c>
      <c r="BG18" s="104">
        <f>+ENDIVIDAMENTO!BG33</f>
        <v>-159749</v>
      </c>
      <c r="BH18" s="104">
        <f>+ENDIVIDAMENTO!BH33</f>
        <v>-173427</v>
      </c>
      <c r="BI18" s="104">
        <f>+ENDIVIDAMENTO!BI33</f>
        <v>-225112</v>
      </c>
      <c r="BJ18" s="104">
        <f>+ENDIVIDAMENTO!BJ33</f>
        <v>-162929</v>
      </c>
      <c r="BK18" s="104"/>
      <c r="BL18" s="104">
        <v>48457</v>
      </c>
      <c r="BM18" s="104">
        <v>42455</v>
      </c>
      <c r="BN18" s="104">
        <v>22582</v>
      </c>
      <c r="BO18" s="104">
        <v>-2193</v>
      </c>
      <c r="BP18" s="104">
        <v>-72216</v>
      </c>
      <c r="BQ18" s="104">
        <v>-5662</v>
      </c>
      <c r="BR18" s="104">
        <v>-60371</v>
      </c>
      <c r="BS18" s="104">
        <v>-35571</v>
      </c>
      <c r="BT18" s="104">
        <v>-7221</v>
      </c>
      <c r="BU18" s="104">
        <v>-44824</v>
      </c>
      <c r="BV18" s="104">
        <v>-270543</v>
      </c>
      <c r="BW18" s="104">
        <v>-74693</v>
      </c>
      <c r="BX18" s="104">
        <v>-171086</v>
      </c>
      <c r="BY18" s="104">
        <f t="shared" ref="BY18:BY20" si="0">+BG18</f>
        <v>-159749</v>
      </c>
      <c r="BZ18" s="104">
        <f>BI18</f>
        <v>-225112</v>
      </c>
    </row>
    <row r="19" spans="1:78" s="29" customFormat="1" ht="12.75">
      <c r="A19" s="1"/>
      <c r="B19" s="210" t="s">
        <v>287</v>
      </c>
      <c r="C19" s="102" t="s">
        <v>107</v>
      </c>
      <c r="D19" s="106">
        <v>64809</v>
      </c>
      <c r="E19" s="106">
        <v>68514</v>
      </c>
      <c r="F19" s="106">
        <v>101852</v>
      </c>
      <c r="G19" s="106">
        <v>116025</v>
      </c>
      <c r="H19" s="106">
        <v>108323</v>
      </c>
      <c r="I19" s="106">
        <v>102845</v>
      </c>
      <c r="J19" s="106">
        <v>138199</v>
      </c>
      <c r="K19" s="106">
        <v>167711</v>
      </c>
      <c r="L19" s="106">
        <v>149074</v>
      </c>
      <c r="M19" s="106">
        <v>125470</v>
      </c>
      <c r="N19" s="106">
        <v>97538</v>
      </c>
      <c r="O19" s="106">
        <v>111171</v>
      </c>
      <c r="P19" s="106">
        <v>-107349</v>
      </c>
      <c r="Q19" s="106">
        <v>-92560</v>
      </c>
      <c r="R19" s="106">
        <v>-153580</v>
      </c>
      <c r="S19" s="106">
        <v>-117999</v>
      </c>
      <c r="T19" s="106">
        <v>-138683</v>
      </c>
      <c r="U19" s="106">
        <v>-131958</v>
      </c>
      <c r="V19" s="106">
        <v>-217697</v>
      </c>
      <c r="W19" s="106">
        <v>-178611</v>
      </c>
      <c r="X19" s="106">
        <v>-140840</v>
      </c>
      <c r="Y19" s="106">
        <v>-89897</v>
      </c>
      <c r="Z19" s="106">
        <v>-121236</v>
      </c>
      <c r="AA19" s="106">
        <v>-109666</v>
      </c>
      <c r="AB19" s="106">
        <v>-123249</v>
      </c>
      <c r="AC19" s="106">
        <v>-111395</v>
      </c>
      <c r="AD19" s="106">
        <v>-187808</v>
      </c>
      <c r="AE19" s="106">
        <v>-178598</v>
      </c>
      <c r="AF19" s="106">
        <v>-141900</v>
      </c>
      <c r="AG19" s="106">
        <v>-101749</v>
      </c>
      <c r="AH19" s="106">
        <v>-118919</v>
      </c>
      <c r="AI19" s="106">
        <v>-115082</v>
      </c>
      <c r="AJ19" s="106">
        <v>-92411</v>
      </c>
      <c r="AK19" s="106">
        <v>-109569</v>
      </c>
      <c r="AL19" s="106">
        <v>-70973</v>
      </c>
      <c r="AM19" s="106">
        <v>-72743</v>
      </c>
      <c r="AN19" s="106">
        <v>-55574</v>
      </c>
      <c r="AO19" s="106">
        <v>-64847</v>
      </c>
      <c r="AP19" s="106">
        <v>-66198</v>
      </c>
      <c r="AQ19" s="106">
        <v>-84890</v>
      </c>
      <c r="AR19" s="106">
        <v>-81275</v>
      </c>
      <c r="AS19" s="106">
        <v>-143546</v>
      </c>
      <c r="AT19" s="106">
        <v>-221922</v>
      </c>
      <c r="AU19" s="106">
        <v>-281514</v>
      </c>
      <c r="AV19" s="106">
        <v>-245454</v>
      </c>
      <c r="AW19" s="106">
        <v>-395454</v>
      </c>
      <c r="AX19" s="106">
        <v>-438852</v>
      </c>
      <c r="AY19" s="106">
        <v>-131818</v>
      </c>
      <c r="AZ19" s="106">
        <v>-160701</v>
      </c>
      <c r="BA19" s="106">
        <v>-270482</v>
      </c>
      <c r="BB19" s="106">
        <v>298654</v>
      </c>
      <c r="BC19" s="106">
        <v>337877</v>
      </c>
      <c r="BD19" s="106">
        <v>318573</v>
      </c>
      <c r="BE19" s="106">
        <v>266530</v>
      </c>
      <c r="BF19" s="106">
        <v>320036</v>
      </c>
      <c r="BG19" s="106">
        <f>+ENDIVIDAMENTO!BG32</f>
        <v>355235</v>
      </c>
      <c r="BH19" s="106">
        <f>+ENDIVIDAMENTO!BH32</f>
        <v>319722</v>
      </c>
      <c r="BI19" s="106">
        <f>+ENDIVIDAMENTO!BI32</f>
        <v>513442</v>
      </c>
      <c r="BJ19" s="106">
        <f>+ENDIVIDAMENTO!BJ32</f>
        <v>457910</v>
      </c>
      <c r="BK19" s="106"/>
      <c r="BL19" s="106">
        <v>116025</v>
      </c>
      <c r="BM19" s="106">
        <v>167711</v>
      </c>
      <c r="BN19" s="106">
        <v>111171</v>
      </c>
      <c r="BO19" s="106">
        <v>-117999</v>
      </c>
      <c r="BP19" s="106">
        <v>-178611</v>
      </c>
      <c r="BQ19" s="106">
        <v>-109666</v>
      </c>
      <c r="BR19" s="106">
        <v>-178598</v>
      </c>
      <c r="BS19" s="106">
        <v>-115082</v>
      </c>
      <c r="BT19" s="106">
        <v>-72743</v>
      </c>
      <c r="BU19" s="106">
        <v>-84890</v>
      </c>
      <c r="BV19" s="106">
        <v>-281514</v>
      </c>
      <c r="BW19" s="106">
        <v>131818</v>
      </c>
      <c r="BX19" s="106">
        <v>337877</v>
      </c>
      <c r="BY19" s="106">
        <f t="shared" si="0"/>
        <v>355235</v>
      </c>
      <c r="BZ19" s="106">
        <f>BI19</f>
        <v>513442</v>
      </c>
    </row>
    <row r="20" spans="1:78" s="29" customFormat="1" ht="12.75">
      <c r="A20" s="1"/>
      <c r="B20" s="210" t="s">
        <v>288</v>
      </c>
      <c r="C20" s="102" t="s">
        <v>108</v>
      </c>
      <c r="D20" s="106">
        <v>3657</v>
      </c>
      <c r="E20" s="106">
        <v>6614</v>
      </c>
      <c r="F20" s="106">
        <v>10280</v>
      </c>
      <c r="G20" s="106">
        <v>14816</v>
      </c>
      <c r="H20" s="106">
        <v>2945</v>
      </c>
      <c r="I20" s="106">
        <v>8504</v>
      </c>
      <c r="J20" s="106">
        <v>13370</v>
      </c>
      <c r="K20" s="106">
        <v>21532</v>
      </c>
      <c r="L20" s="106">
        <v>2325</v>
      </c>
      <c r="M20" s="106">
        <v>6893</v>
      </c>
      <c r="N20" s="106">
        <v>18979</v>
      </c>
      <c r="O20" s="106">
        <v>26940</v>
      </c>
      <c r="P20" s="106">
        <v>4950</v>
      </c>
      <c r="Q20" s="106">
        <v>11724</v>
      </c>
      <c r="R20" s="106">
        <v>20385</v>
      </c>
      <c r="S20" s="106">
        <v>28064</v>
      </c>
      <c r="T20" s="106">
        <v>17006</v>
      </c>
      <c r="U20" s="106">
        <v>27683</v>
      </c>
      <c r="V20" s="106">
        <v>37724</v>
      </c>
      <c r="W20" s="106">
        <v>64703</v>
      </c>
      <c r="X20" s="106">
        <v>9045</v>
      </c>
      <c r="Y20" s="106">
        <v>16625</v>
      </c>
      <c r="Z20" s="106">
        <v>36326</v>
      </c>
      <c r="AA20" s="106">
        <v>47310</v>
      </c>
      <c r="AB20" s="106">
        <v>5424</v>
      </c>
      <c r="AC20" s="106">
        <v>7938</v>
      </c>
      <c r="AD20" s="106">
        <v>10443</v>
      </c>
      <c r="AE20" s="106">
        <v>13128</v>
      </c>
      <c r="AF20" s="106">
        <v>4144</v>
      </c>
      <c r="AG20" s="106">
        <v>9535</v>
      </c>
      <c r="AH20" s="106">
        <v>14994</v>
      </c>
      <c r="AI20" s="106">
        <v>17991</v>
      </c>
      <c r="AJ20" s="106">
        <v>3657</v>
      </c>
      <c r="AK20" s="106">
        <v>6875</v>
      </c>
      <c r="AL20" s="106">
        <v>9277</v>
      </c>
      <c r="AM20" s="106">
        <v>11004</v>
      </c>
      <c r="AN20" s="106">
        <v>4101</v>
      </c>
      <c r="AO20" s="106">
        <v>5561</v>
      </c>
      <c r="AP20" s="106">
        <v>8213</v>
      </c>
      <c r="AQ20" s="106">
        <v>13199</v>
      </c>
      <c r="AR20" s="106">
        <v>1940</v>
      </c>
      <c r="AS20" s="106">
        <v>3912</v>
      </c>
      <c r="AT20" s="106">
        <v>6897</v>
      </c>
      <c r="AU20" s="106">
        <v>11850</v>
      </c>
      <c r="AV20" s="106">
        <v>12028</v>
      </c>
      <c r="AW20" s="106">
        <v>18631</v>
      </c>
      <c r="AX20" s="106">
        <v>25687</v>
      </c>
      <c r="AY20" s="106">
        <v>39922</v>
      </c>
      <c r="AZ20" s="106">
        <v>7473.7969999999996</v>
      </c>
      <c r="BA20" s="106">
        <v>19146</v>
      </c>
      <c r="BB20" s="106">
        <v>31110</v>
      </c>
      <c r="BC20" s="106">
        <v>55967</v>
      </c>
      <c r="BD20" s="106">
        <v>29445</v>
      </c>
      <c r="BE20" s="106">
        <v>24176</v>
      </c>
      <c r="BF20" s="106">
        <v>53621</v>
      </c>
      <c r="BG20" s="106">
        <f>-'DFC '!BG50</f>
        <v>75366</v>
      </c>
      <c r="BH20" s="106">
        <f>-'DFC '!BH50</f>
        <v>7173</v>
      </c>
      <c r="BI20" s="106">
        <f>-'DFC '!BI50-SUM($BH$20:BH20)</f>
        <v>8384</v>
      </c>
      <c r="BJ20" s="106">
        <f>-'DFC '!BJ50-SUM($BH$20:BI20)</f>
        <v>10580</v>
      </c>
      <c r="BK20" s="106"/>
      <c r="BL20" s="106">
        <v>14816</v>
      </c>
      <c r="BM20" s="106">
        <v>21532</v>
      </c>
      <c r="BN20" s="106">
        <v>26940</v>
      </c>
      <c r="BO20" s="106">
        <v>28064</v>
      </c>
      <c r="BP20" s="106">
        <v>64703</v>
      </c>
      <c r="BQ20" s="106">
        <v>47310</v>
      </c>
      <c r="BR20" s="106">
        <v>13128</v>
      </c>
      <c r="BS20" s="106">
        <v>17991</v>
      </c>
      <c r="BT20" s="106">
        <v>11004</v>
      </c>
      <c r="BU20" s="106">
        <v>13199</v>
      </c>
      <c r="BV20" s="106">
        <v>11850</v>
      </c>
      <c r="BW20" s="106">
        <v>39922</v>
      </c>
      <c r="BX20" s="106">
        <v>55967</v>
      </c>
      <c r="BY20" s="103">
        <f t="shared" si="0"/>
        <v>75366</v>
      </c>
      <c r="BZ20" s="103">
        <f>+SUM(BH20:BJ20)</f>
        <v>26137</v>
      </c>
    </row>
    <row r="21" spans="1:78" s="29" customFormat="1" ht="15.75" thickBot="1">
      <c r="A21" s="1"/>
      <c r="B21" s="21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</row>
    <row r="22" spans="1:78" s="29" customFormat="1" ht="12.75">
      <c r="A22" s="14"/>
      <c r="B22" s="21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</row>
    <row r="23" spans="1:78" s="29" customFormat="1">
      <c r="A23" s="14"/>
      <c r="B23" s="14"/>
      <c r="C23" s="17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</row>
  </sheetData>
  <mergeCells count="17">
    <mergeCell ref="B4:B5"/>
    <mergeCell ref="C4:C5"/>
    <mergeCell ref="BZ4:BZ5"/>
    <mergeCell ref="BY4:BY5"/>
    <mergeCell ref="BX4:BX5"/>
    <mergeCell ref="BL4:BL5"/>
    <mergeCell ref="BM4:BM5"/>
    <mergeCell ref="BN4:BN5"/>
    <mergeCell ref="BO4:BO5"/>
    <mergeCell ref="BP4:BP5"/>
    <mergeCell ref="BW4:BW5"/>
    <mergeCell ref="BQ4:BQ5"/>
    <mergeCell ref="BR4:BR5"/>
    <mergeCell ref="BS4:BS5"/>
    <mergeCell ref="BT4:BT5"/>
    <mergeCell ref="BU4:BU5"/>
    <mergeCell ref="BV4:BV5"/>
  </mergeCells>
  <phoneticPr fontId="87" type="noConversion"/>
  <pageMargins left="0.51181102362204722" right="0.51181102362204722" top="0.78740157480314965" bottom="0.78740157480314965" header="0.31496062992125984" footer="0.31496062992125984"/>
  <pageSetup paperSize="9" scale="61" orientation="landscape" r:id="rId1"/>
  <headerFooter>
    <oddHeader>&amp;A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>
    <tabColor theme="3" tint="-0.249977111117893"/>
    <pageSetUpPr fitToPage="1"/>
  </sheetPr>
  <dimension ref="B1:BK11"/>
  <sheetViews>
    <sheetView showGridLines="0" zoomScaleNormal="100" workbookViewId="0">
      <pane xSplit="3" ySplit="4" topLeftCell="AV5" activePane="bottomRight" state="frozen"/>
      <selection activeCell="B20" sqref="B20"/>
      <selection pane="topRight" activeCell="B20" sqref="B20"/>
      <selection pane="bottomLeft" activeCell="B20" sqref="B20"/>
      <selection pane="bottomRight" activeCell="BK5" sqref="BK5:BK8"/>
    </sheetView>
  </sheetViews>
  <sheetFormatPr defaultRowHeight="15" outlineLevelCol="1"/>
  <cols>
    <col min="1" max="1" width="7.7109375" customWidth="1"/>
    <col min="2" max="2" width="46.28515625" customWidth="1"/>
    <col min="3" max="3" width="60.7109375" customWidth="1"/>
    <col min="4" max="35" width="8.7109375" customWidth="1" outlineLevel="1"/>
    <col min="36" max="36" width="8.7109375" customWidth="1" outlineLevel="1" collapsed="1"/>
    <col min="37" max="38" width="8.7109375" customWidth="1" outlineLevel="1"/>
    <col min="39" max="39" width="8.7109375" style="62" customWidth="1" outlineLevel="1"/>
    <col min="40" max="42" width="8.7109375" customWidth="1" outlineLevel="1"/>
    <col min="43" max="43" width="8.7109375" style="62" customWidth="1" outlineLevel="1"/>
    <col min="44" max="46" width="8.7109375" customWidth="1"/>
    <col min="47" max="47" width="8.7109375" style="62" customWidth="1"/>
    <col min="48" max="50" width="8.7109375" customWidth="1"/>
    <col min="51" max="51" width="8.7109375" style="62" hidden="1" customWidth="1"/>
    <col min="52" max="59" width="8.7109375" customWidth="1" outlineLevel="1"/>
    <col min="60" max="60" width="8.7109375" customWidth="1" outlineLevel="1" collapsed="1"/>
    <col min="61" max="61" width="8.7109375" customWidth="1" outlineLevel="1"/>
    <col min="62" max="63" width="8.7109375" customWidth="1"/>
  </cols>
  <sheetData>
    <row r="1" spans="2:63" ht="15" customHeight="1"/>
    <row r="2" spans="2:63" ht="15" customHeight="1" thickBot="1"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</row>
    <row r="3" spans="2:63" ht="13.5" customHeight="1">
      <c r="B3" s="266" t="s">
        <v>505</v>
      </c>
      <c r="C3" s="266" t="s">
        <v>242</v>
      </c>
      <c r="D3" s="99" t="s">
        <v>301</v>
      </c>
      <c r="E3" s="99" t="s">
        <v>302</v>
      </c>
      <c r="F3" s="99" t="s">
        <v>303</v>
      </c>
      <c r="G3" s="99" t="s">
        <v>304</v>
      </c>
      <c r="H3" s="99" t="s">
        <v>305</v>
      </c>
      <c r="I3" s="99" t="s">
        <v>306</v>
      </c>
      <c r="J3" s="99" t="s">
        <v>307</v>
      </c>
      <c r="K3" s="99" t="s">
        <v>308</v>
      </c>
      <c r="L3" s="99" t="s">
        <v>309</v>
      </c>
      <c r="M3" s="99" t="s">
        <v>310</v>
      </c>
      <c r="N3" s="99" t="s">
        <v>311</v>
      </c>
      <c r="O3" s="99" t="s">
        <v>312</v>
      </c>
      <c r="P3" s="99" t="s">
        <v>313</v>
      </c>
      <c r="Q3" s="99" t="s">
        <v>314</v>
      </c>
      <c r="R3" s="99" t="s">
        <v>315</v>
      </c>
      <c r="S3" s="99" t="s">
        <v>316</v>
      </c>
      <c r="T3" s="99" t="s">
        <v>317</v>
      </c>
      <c r="U3" s="99" t="s">
        <v>318</v>
      </c>
      <c r="V3" s="99" t="s">
        <v>319</v>
      </c>
      <c r="W3" s="99" t="s">
        <v>320</v>
      </c>
      <c r="X3" s="99" t="s">
        <v>321</v>
      </c>
      <c r="Y3" s="99" t="s">
        <v>322</v>
      </c>
      <c r="Z3" s="99" t="s">
        <v>323</v>
      </c>
      <c r="AA3" s="99" t="s">
        <v>324</v>
      </c>
      <c r="AB3" s="99" t="s">
        <v>325</v>
      </c>
      <c r="AC3" s="99" t="s">
        <v>326</v>
      </c>
      <c r="AD3" s="99" t="s">
        <v>327</v>
      </c>
      <c r="AE3" s="99" t="s">
        <v>328</v>
      </c>
      <c r="AF3" s="99" t="s">
        <v>329</v>
      </c>
      <c r="AG3" s="99" t="s">
        <v>330</v>
      </c>
      <c r="AH3" s="99" t="s">
        <v>331</v>
      </c>
      <c r="AI3" s="99" t="s">
        <v>332</v>
      </c>
      <c r="AJ3" s="99" t="s">
        <v>333</v>
      </c>
      <c r="AK3" s="99" t="s">
        <v>334</v>
      </c>
      <c r="AL3" s="99" t="s">
        <v>335</v>
      </c>
      <c r="AM3" s="99" t="s">
        <v>336</v>
      </c>
      <c r="AN3" s="99" t="s">
        <v>337</v>
      </c>
      <c r="AO3" s="99" t="s">
        <v>338</v>
      </c>
      <c r="AP3" s="99" t="s">
        <v>339</v>
      </c>
      <c r="AQ3" s="99" t="s">
        <v>340</v>
      </c>
      <c r="AR3" s="99" t="s">
        <v>341</v>
      </c>
      <c r="AS3" s="99" t="s">
        <v>342</v>
      </c>
      <c r="AT3" s="99" t="s">
        <v>343</v>
      </c>
      <c r="AU3" s="99" t="s">
        <v>344</v>
      </c>
      <c r="AV3" s="99" t="s">
        <v>345</v>
      </c>
      <c r="AW3" s="99" t="s">
        <v>346</v>
      </c>
      <c r="AX3" s="99" t="s">
        <v>347</v>
      </c>
      <c r="AY3" s="99" t="s">
        <v>348</v>
      </c>
      <c r="AZ3" s="238">
        <v>2013</v>
      </c>
      <c r="BA3" s="238">
        <v>2014</v>
      </c>
      <c r="BB3" s="238">
        <v>2015</v>
      </c>
      <c r="BC3" s="238">
        <v>2016</v>
      </c>
      <c r="BD3" s="238">
        <v>2017</v>
      </c>
      <c r="BE3" s="238">
        <v>2018</v>
      </c>
      <c r="BF3" s="238">
        <v>2019</v>
      </c>
      <c r="BG3" s="238">
        <v>2020</v>
      </c>
      <c r="BH3" s="238">
        <v>2021</v>
      </c>
      <c r="BI3" s="238">
        <v>2022</v>
      </c>
      <c r="BJ3" s="238">
        <v>2023</v>
      </c>
      <c r="BK3" s="238">
        <v>2024</v>
      </c>
    </row>
    <row r="4" spans="2:63">
      <c r="B4" s="263"/>
      <c r="C4" s="263"/>
      <c r="D4" s="99" t="s">
        <v>10</v>
      </c>
      <c r="E4" s="99" t="s">
        <v>11</v>
      </c>
      <c r="F4" s="99" t="s">
        <v>12</v>
      </c>
      <c r="G4" s="99" t="s">
        <v>13</v>
      </c>
      <c r="H4" s="99" t="s">
        <v>14</v>
      </c>
      <c r="I4" s="99" t="s">
        <v>15</v>
      </c>
      <c r="J4" s="99" t="s">
        <v>16</v>
      </c>
      <c r="K4" s="99" t="s">
        <v>17</v>
      </c>
      <c r="L4" s="99" t="s">
        <v>18</v>
      </c>
      <c r="M4" s="99" t="s">
        <v>19</v>
      </c>
      <c r="N4" s="99" t="s">
        <v>20</v>
      </c>
      <c r="O4" s="99" t="s">
        <v>21</v>
      </c>
      <c r="P4" s="99" t="s">
        <v>22</v>
      </c>
      <c r="Q4" s="99" t="s">
        <v>23</v>
      </c>
      <c r="R4" s="99" t="s">
        <v>24</v>
      </c>
      <c r="S4" s="99" t="s">
        <v>25</v>
      </c>
      <c r="T4" s="99" t="s">
        <v>26</v>
      </c>
      <c r="U4" s="99" t="s">
        <v>27</v>
      </c>
      <c r="V4" s="99" t="s">
        <v>28</v>
      </c>
      <c r="W4" s="99" t="s">
        <v>29</v>
      </c>
      <c r="X4" s="99" t="s">
        <v>30</v>
      </c>
      <c r="Y4" s="99" t="s">
        <v>31</v>
      </c>
      <c r="Z4" s="99" t="s">
        <v>32</v>
      </c>
      <c r="AA4" s="99" t="s">
        <v>33</v>
      </c>
      <c r="AB4" s="99" t="s">
        <v>34</v>
      </c>
      <c r="AC4" s="99" t="s">
        <v>35</v>
      </c>
      <c r="AD4" s="99" t="s">
        <v>36</v>
      </c>
      <c r="AE4" s="99" t="s">
        <v>37</v>
      </c>
      <c r="AF4" s="99" t="s">
        <v>3</v>
      </c>
      <c r="AG4" s="99" t="s">
        <v>38</v>
      </c>
      <c r="AH4" s="99" t="s">
        <v>39</v>
      </c>
      <c r="AI4" s="99" t="s">
        <v>8</v>
      </c>
      <c r="AJ4" s="99" t="s">
        <v>9</v>
      </c>
      <c r="AK4" s="99" t="s">
        <v>40</v>
      </c>
      <c r="AL4" s="99" t="s">
        <v>41</v>
      </c>
      <c r="AM4" s="99" t="s">
        <v>42</v>
      </c>
      <c r="AN4" s="99" t="s">
        <v>71</v>
      </c>
      <c r="AO4" s="99" t="s">
        <v>75</v>
      </c>
      <c r="AP4" s="99" t="s">
        <v>76</v>
      </c>
      <c r="AQ4" s="99" t="s">
        <v>77</v>
      </c>
      <c r="AR4" s="99" t="s">
        <v>91</v>
      </c>
      <c r="AS4" s="99" t="s">
        <v>92</v>
      </c>
      <c r="AT4" s="99" t="s">
        <v>93</v>
      </c>
      <c r="AU4" s="99" t="s">
        <v>94</v>
      </c>
      <c r="AV4" s="99" t="s">
        <v>256</v>
      </c>
      <c r="AW4" s="99" t="s">
        <v>257</v>
      </c>
      <c r="AX4" s="99" t="s">
        <v>258</v>
      </c>
      <c r="AY4" s="99" t="s">
        <v>259</v>
      </c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</row>
    <row r="5" spans="2:63" ht="12.75" customHeight="1">
      <c r="B5" s="102" t="s">
        <v>506</v>
      </c>
      <c r="C5" s="102" t="s">
        <v>5</v>
      </c>
      <c r="D5" s="136">
        <v>3</v>
      </c>
      <c r="E5" s="136">
        <v>1.8</v>
      </c>
      <c r="F5" s="136">
        <v>4.9000000000000004</v>
      </c>
      <c r="G5" s="136">
        <v>4.0999999999999996</v>
      </c>
      <c r="H5" s="136">
        <v>8.8000000000000007</v>
      </c>
      <c r="I5" s="136">
        <v>6.8</v>
      </c>
      <c r="J5" s="136">
        <v>3.03</v>
      </c>
      <c r="K5" s="136">
        <v>20.2</v>
      </c>
      <c r="L5" s="136">
        <v>0.5</v>
      </c>
      <c r="M5" s="136">
        <v>4.0999999999999996</v>
      </c>
      <c r="N5" s="136">
        <v>15.3</v>
      </c>
      <c r="O5" s="136">
        <v>5.2</v>
      </c>
      <c r="P5" s="136">
        <v>1.4</v>
      </c>
      <c r="Q5" s="136">
        <v>0.5</v>
      </c>
      <c r="R5" s="136">
        <v>0.4</v>
      </c>
      <c r="S5" s="136">
        <v>0.4</v>
      </c>
      <c r="T5" s="136">
        <v>0.58099999999999996</v>
      </c>
      <c r="U5" s="136">
        <v>2.12</v>
      </c>
      <c r="V5" s="136">
        <v>3.5</v>
      </c>
      <c r="W5" s="136">
        <v>1.8</v>
      </c>
      <c r="X5" s="136">
        <v>1.8</v>
      </c>
      <c r="Y5" s="136">
        <v>0.8</v>
      </c>
      <c r="Z5" s="136">
        <v>0.4</v>
      </c>
      <c r="AA5" s="136">
        <v>0.3</v>
      </c>
      <c r="AB5" s="136">
        <v>0.3</v>
      </c>
      <c r="AC5" s="136">
        <v>0.19</v>
      </c>
      <c r="AD5" s="136">
        <v>1</v>
      </c>
      <c r="AE5" s="136">
        <v>2.8</v>
      </c>
      <c r="AF5" s="136">
        <v>0.56999999999999995</v>
      </c>
      <c r="AG5" s="136">
        <v>0.6</v>
      </c>
      <c r="AH5" s="136">
        <v>0.7</v>
      </c>
      <c r="AI5" s="136">
        <v>3.16</v>
      </c>
      <c r="AJ5" s="136">
        <v>8.5</v>
      </c>
      <c r="AK5" s="136">
        <v>3.2</v>
      </c>
      <c r="AL5" s="136">
        <v>2.4</v>
      </c>
      <c r="AM5" s="136">
        <v>12.3</v>
      </c>
      <c r="AN5" s="136">
        <v>4.2</v>
      </c>
      <c r="AO5" s="136">
        <v>7.3</v>
      </c>
      <c r="AP5" s="136">
        <v>7.6</v>
      </c>
      <c r="AQ5" s="136">
        <v>19.3</v>
      </c>
      <c r="AR5" s="136">
        <v>27</v>
      </c>
      <c r="AS5" s="136">
        <v>5.2</v>
      </c>
      <c r="AT5" s="136">
        <v>3.6</v>
      </c>
      <c r="AU5" s="136">
        <v>2.2000000000000002</v>
      </c>
      <c r="AV5" s="136">
        <v>2.1</v>
      </c>
      <c r="AW5" s="136">
        <v>4.9000000000000004</v>
      </c>
      <c r="AX5" s="136">
        <v>2.2000000000000002</v>
      </c>
      <c r="AY5" s="136"/>
      <c r="AZ5" s="136">
        <v>13.799999999999999</v>
      </c>
      <c r="BA5" s="136">
        <v>38.83</v>
      </c>
      <c r="BB5" s="136">
        <v>25.099999999999998</v>
      </c>
      <c r="BC5" s="136">
        <v>2.6999999999999997</v>
      </c>
      <c r="BD5" s="136">
        <v>8.0010000000000012</v>
      </c>
      <c r="BE5" s="136">
        <v>3.3</v>
      </c>
      <c r="BF5" s="136">
        <v>4.29</v>
      </c>
      <c r="BG5" s="136">
        <v>5.03</v>
      </c>
      <c r="BH5" s="136">
        <v>26.4</v>
      </c>
      <c r="BI5" s="136">
        <v>38.400000000000006</v>
      </c>
      <c r="BJ5" s="136">
        <f>+SUM(AR5:AU5)</f>
        <v>38.000000000000007</v>
      </c>
      <c r="BK5" s="136">
        <f>+SUM(AV5:AY5)</f>
        <v>9.1999999999999993</v>
      </c>
    </row>
    <row r="6" spans="2:63" ht="12.75" customHeight="1">
      <c r="B6" s="102" t="s">
        <v>507</v>
      </c>
      <c r="C6" s="102" t="s">
        <v>7</v>
      </c>
      <c r="D6" s="136">
        <v>0.5</v>
      </c>
      <c r="E6" s="136">
        <v>0.9</v>
      </c>
      <c r="F6" s="136">
        <v>0.1</v>
      </c>
      <c r="G6" s="136">
        <v>0</v>
      </c>
      <c r="H6" s="136">
        <v>0</v>
      </c>
      <c r="I6" s="136">
        <v>0.2</v>
      </c>
      <c r="J6" s="136">
        <v>0.27</v>
      </c>
      <c r="K6" s="136">
        <v>0.5</v>
      </c>
      <c r="L6" s="136">
        <v>0.1</v>
      </c>
      <c r="M6" s="136">
        <v>0.2</v>
      </c>
      <c r="N6" s="136">
        <v>0.6</v>
      </c>
      <c r="O6" s="136">
        <v>0.4</v>
      </c>
      <c r="P6" s="136">
        <v>0.2</v>
      </c>
      <c r="Q6" s="136">
        <v>0.1</v>
      </c>
      <c r="R6" s="136">
        <v>0.1</v>
      </c>
      <c r="S6" s="136">
        <v>0.1</v>
      </c>
      <c r="T6" s="136">
        <v>3.6999999999999998E-2</v>
      </c>
      <c r="U6" s="136">
        <v>0.06</v>
      </c>
      <c r="V6" s="136">
        <v>0.14000000000000001</v>
      </c>
      <c r="W6" s="136">
        <v>0.06</v>
      </c>
      <c r="X6" s="136">
        <v>0.1</v>
      </c>
      <c r="Y6" s="136">
        <v>0.1</v>
      </c>
      <c r="Z6" s="136">
        <v>0.3</v>
      </c>
      <c r="AA6" s="136">
        <v>0.3</v>
      </c>
      <c r="AB6" s="136">
        <v>0.3</v>
      </c>
      <c r="AC6" s="136">
        <v>0.37</v>
      </c>
      <c r="AD6" s="136">
        <v>0.71</v>
      </c>
      <c r="AE6" s="136">
        <v>0.9</v>
      </c>
      <c r="AF6" s="136">
        <v>0.31</v>
      </c>
      <c r="AG6" s="136">
        <v>1</v>
      </c>
      <c r="AH6" s="136">
        <v>0.6</v>
      </c>
      <c r="AI6" s="136">
        <v>0.76</v>
      </c>
      <c r="AJ6" s="136">
        <v>0.7</v>
      </c>
      <c r="AK6" s="136">
        <v>0.5</v>
      </c>
      <c r="AL6" s="136">
        <v>0.2</v>
      </c>
      <c r="AM6" s="136">
        <v>0.1</v>
      </c>
      <c r="AN6" s="136">
        <v>0.1</v>
      </c>
      <c r="AO6" s="136">
        <v>0.3</v>
      </c>
      <c r="AP6" s="136">
        <v>0.4</v>
      </c>
      <c r="AQ6" s="136">
        <v>0.38529561000000023</v>
      </c>
      <c r="AR6" s="136">
        <v>0.4</v>
      </c>
      <c r="AS6" s="136">
        <v>0.8</v>
      </c>
      <c r="AT6" s="136">
        <v>1.8</v>
      </c>
      <c r="AU6" s="136">
        <v>0.5</v>
      </c>
      <c r="AV6" s="136">
        <v>2.1</v>
      </c>
      <c r="AW6" s="136">
        <v>1.9</v>
      </c>
      <c r="AX6" s="136">
        <v>5.0999999999999996</v>
      </c>
      <c r="AY6" s="136"/>
      <c r="AZ6" s="136">
        <v>1.5</v>
      </c>
      <c r="BA6" s="136">
        <v>0.97</v>
      </c>
      <c r="BB6" s="136">
        <v>1.3</v>
      </c>
      <c r="BC6" s="136">
        <v>0.5</v>
      </c>
      <c r="BD6" s="136">
        <v>0.29700000000000004</v>
      </c>
      <c r="BE6" s="136">
        <v>0.8</v>
      </c>
      <c r="BF6" s="136">
        <v>2.2799999999999998</v>
      </c>
      <c r="BG6" s="136">
        <v>2.67</v>
      </c>
      <c r="BH6" s="136">
        <v>1.5</v>
      </c>
      <c r="BI6" s="136">
        <v>1.1852956100000003</v>
      </c>
      <c r="BJ6" s="136">
        <f>+SUM(AR6:AU6)</f>
        <v>3.5</v>
      </c>
      <c r="BK6" s="136">
        <f>+SUM(AV6:AY6)</f>
        <v>9.1</v>
      </c>
    </row>
    <row r="7" spans="2:63" ht="12.75" customHeight="1">
      <c r="B7" s="102" t="s">
        <v>508</v>
      </c>
      <c r="C7" s="102" t="s">
        <v>4</v>
      </c>
      <c r="D7" s="136">
        <v>1.3</v>
      </c>
      <c r="E7" s="136">
        <v>3.2</v>
      </c>
      <c r="F7" s="136">
        <v>3</v>
      </c>
      <c r="G7" s="136">
        <v>2.4</v>
      </c>
      <c r="H7" s="136">
        <v>6.5</v>
      </c>
      <c r="I7" s="136">
        <v>3</v>
      </c>
      <c r="J7" s="136">
        <v>4.0999999999999996</v>
      </c>
      <c r="K7" s="136">
        <v>3</v>
      </c>
      <c r="L7" s="136">
        <v>6.9</v>
      </c>
      <c r="M7" s="136">
        <v>2</v>
      </c>
      <c r="N7" s="136">
        <v>3.2</v>
      </c>
      <c r="O7" s="136">
        <v>4.5999999999999996</v>
      </c>
      <c r="P7" s="136">
        <v>3.2</v>
      </c>
      <c r="Q7" s="136">
        <v>1.9</v>
      </c>
      <c r="R7" s="136">
        <v>2</v>
      </c>
      <c r="S7" s="136">
        <v>2.1</v>
      </c>
      <c r="T7" s="136">
        <v>3.4</v>
      </c>
      <c r="U7" s="136">
        <v>3</v>
      </c>
      <c r="V7" s="136">
        <v>1.5</v>
      </c>
      <c r="W7" s="136">
        <v>0.8</v>
      </c>
      <c r="X7" s="136">
        <v>1.1000000000000001</v>
      </c>
      <c r="Y7" s="136">
        <v>0.9</v>
      </c>
      <c r="Z7" s="136">
        <v>1.4</v>
      </c>
      <c r="AA7" s="136">
        <v>0.6</v>
      </c>
      <c r="AB7" s="136">
        <v>3.3</v>
      </c>
      <c r="AC7" s="136">
        <v>0.5</v>
      </c>
      <c r="AD7" s="136">
        <v>0.72</v>
      </c>
      <c r="AE7" s="136">
        <v>0.68</v>
      </c>
      <c r="AF7" s="136">
        <v>0.1</v>
      </c>
      <c r="AG7" s="136">
        <v>0.1</v>
      </c>
      <c r="AH7" s="136">
        <v>1.4</v>
      </c>
      <c r="AI7" s="136">
        <v>0.37</v>
      </c>
      <c r="AJ7" s="136">
        <v>0.8</v>
      </c>
      <c r="AK7" s="136">
        <v>0.6</v>
      </c>
      <c r="AL7" s="136">
        <v>1</v>
      </c>
      <c r="AM7" s="136">
        <v>1</v>
      </c>
      <c r="AN7" s="136">
        <v>1.3368854699999999</v>
      </c>
      <c r="AO7" s="136">
        <v>2.2999999999999998</v>
      </c>
      <c r="AP7" s="136">
        <v>2</v>
      </c>
      <c r="AQ7" s="136">
        <v>3</v>
      </c>
      <c r="AR7" s="136">
        <v>1</v>
      </c>
      <c r="AS7" s="136">
        <v>2</v>
      </c>
      <c r="AT7" s="136">
        <v>3.6</v>
      </c>
      <c r="AU7" s="136">
        <v>13</v>
      </c>
      <c r="AV7" s="136">
        <v>1</v>
      </c>
      <c r="AW7" s="136">
        <v>0.5</v>
      </c>
      <c r="AX7" s="136">
        <v>2.1</v>
      </c>
      <c r="AY7" s="136"/>
      <c r="AZ7" s="136">
        <v>9.9</v>
      </c>
      <c r="BA7" s="136">
        <v>16.600000000000001</v>
      </c>
      <c r="BB7" s="136">
        <v>16.700000000000003</v>
      </c>
      <c r="BC7" s="136">
        <v>9.1999999999999993</v>
      </c>
      <c r="BD7" s="136">
        <v>8.7000000000000011</v>
      </c>
      <c r="BE7" s="136">
        <v>4</v>
      </c>
      <c r="BF7" s="136">
        <v>5.1999999999999993</v>
      </c>
      <c r="BG7" s="136">
        <v>1.9699999999999998</v>
      </c>
      <c r="BH7" s="136">
        <v>3.4</v>
      </c>
      <c r="BI7" s="136">
        <v>8.6368854699999993</v>
      </c>
      <c r="BJ7" s="136">
        <f>+SUM(AR7:AU7)</f>
        <v>19.600000000000001</v>
      </c>
      <c r="BK7" s="136">
        <f>+SUM(AV7:AY7)</f>
        <v>3.6</v>
      </c>
    </row>
    <row r="8" spans="2:63" ht="12.75" customHeight="1">
      <c r="B8" s="102" t="s">
        <v>509</v>
      </c>
      <c r="C8" s="102" t="s">
        <v>6</v>
      </c>
      <c r="D8" s="136">
        <v>0.1</v>
      </c>
      <c r="E8" s="136">
        <v>0.8</v>
      </c>
      <c r="F8" s="136">
        <v>0.8</v>
      </c>
      <c r="G8" s="136">
        <v>1.2</v>
      </c>
      <c r="H8" s="136">
        <v>1.7</v>
      </c>
      <c r="I8" s="136">
        <v>0.7</v>
      </c>
      <c r="J8" s="136">
        <v>2.6</v>
      </c>
      <c r="K8" s="136">
        <v>3.3</v>
      </c>
      <c r="L8" s="136">
        <v>1.5</v>
      </c>
      <c r="M8" s="136">
        <v>1.3</v>
      </c>
      <c r="N8" s="136">
        <v>0.6</v>
      </c>
      <c r="O8" s="136">
        <v>0.8</v>
      </c>
      <c r="P8" s="136">
        <v>0.6</v>
      </c>
      <c r="Q8" s="136">
        <v>0</v>
      </c>
      <c r="R8" s="136">
        <v>0</v>
      </c>
      <c r="S8" s="136">
        <v>0.2</v>
      </c>
      <c r="T8" s="136">
        <v>0.08</v>
      </c>
      <c r="U8" s="136">
        <v>0.21</v>
      </c>
      <c r="V8" s="136">
        <v>0.36</v>
      </c>
      <c r="W8" s="136">
        <v>0.34</v>
      </c>
      <c r="X8" s="136">
        <v>0.7</v>
      </c>
      <c r="Y8" s="136">
        <v>1.4</v>
      </c>
      <c r="Z8" s="136">
        <v>0.3</v>
      </c>
      <c r="AA8" s="136">
        <v>0.5</v>
      </c>
      <c r="AB8" s="136">
        <v>0.2</v>
      </c>
      <c r="AC8" s="136">
        <v>0.44</v>
      </c>
      <c r="AD8" s="136">
        <v>0.17</v>
      </c>
      <c r="AE8" s="136">
        <v>0.62</v>
      </c>
      <c r="AF8" s="136">
        <v>0.92</v>
      </c>
      <c r="AG8" s="136">
        <v>0.3</v>
      </c>
      <c r="AH8" s="136">
        <v>0.3</v>
      </c>
      <c r="AI8" s="136">
        <v>0.67</v>
      </c>
      <c r="AJ8" s="136">
        <v>1.2</v>
      </c>
      <c r="AK8" s="136">
        <v>0.6</v>
      </c>
      <c r="AL8" s="136">
        <v>1.4</v>
      </c>
      <c r="AM8" s="136">
        <v>0.8</v>
      </c>
      <c r="AN8" s="136">
        <v>1.8</v>
      </c>
      <c r="AO8" s="136">
        <v>1.8</v>
      </c>
      <c r="AP8" s="136">
        <v>2</v>
      </c>
      <c r="AQ8" s="136">
        <v>2.1</v>
      </c>
      <c r="AR8" s="136">
        <v>1</v>
      </c>
      <c r="AS8" s="136">
        <v>1.2</v>
      </c>
      <c r="AT8" s="136">
        <v>5.4</v>
      </c>
      <c r="AU8" s="136">
        <v>2.7</v>
      </c>
      <c r="AV8" s="136">
        <v>2.6</v>
      </c>
      <c r="AW8" s="136">
        <v>1.1000000000000001</v>
      </c>
      <c r="AX8" s="136">
        <v>0.5</v>
      </c>
      <c r="AY8" s="136"/>
      <c r="AZ8" s="136">
        <v>2.9000000000000004</v>
      </c>
      <c r="BA8" s="136">
        <v>8.3000000000000007</v>
      </c>
      <c r="BB8" s="136">
        <v>4.2</v>
      </c>
      <c r="BC8" s="136">
        <v>0.8</v>
      </c>
      <c r="BD8" s="136">
        <v>1</v>
      </c>
      <c r="BE8" s="136">
        <v>2.8999999999999995</v>
      </c>
      <c r="BF8" s="136">
        <v>1.4300000000000002</v>
      </c>
      <c r="BG8" s="136">
        <v>2.19</v>
      </c>
      <c r="BH8" s="136">
        <v>4</v>
      </c>
      <c r="BI8" s="136">
        <v>7.6999999999999993</v>
      </c>
      <c r="BJ8" s="136">
        <f>+SUM(AR8:AU8)</f>
        <v>10.3</v>
      </c>
      <c r="BK8" s="136">
        <f>+SUM(AV8:AY8)</f>
        <v>4.2</v>
      </c>
    </row>
    <row r="9" spans="2:63">
      <c r="B9" s="107" t="s">
        <v>1</v>
      </c>
      <c r="C9" s="107" t="s">
        <v>2</v>
      </c>
      <c r="D9" s="137">
        <v>4.9000000000000004</v>
      </c>
      <c r="E9" s="137">
        <v>6.8</v>
      </c>
      <c r="F9" s="137">
        <v>8.6999999999999993</v>
      </c>
      <c r="G9" s="137">
        <v>7.7</v>
      </c>
      <c r="H9" s="137">
        <v>17</v>
      </c>
      <c r="I9" s="137">
        <v>10.7</v>
      </c>
      <c r="J9" s="137">
        <v>10</v>
      </c>
      <c r="K9" s="137">
        <v>27</v>
      </c>
      <c r="L9" s="137">
        <v>9</v>
      </c>
      <c r="M9" s="137">
        <v>7.6</v>
      </c>
      <c r="N9" s="137">
        <v>19.7</v>
      </c>
      <c r="O9" s="137">
        <v>11</v>
      </c>
      <c r="P9" s="137">
        <v>5.4</v>
      </c>
      <c r="Q9" s="137">
        <v>2.5</v>
      </c>
      <c r="R9" s="137">
        <v>2.5</v>
      </c>
      <c r="S9" s="137">
        <v>2.8</v>
      </c>
      <c r="T9" s="137">
        <v>4.0999999999999996</v>
      </c>
      <c r="U9" s="137">
        <v>5.4</v>
      </c>
      <c r="V9" s="137">
        <v>5.5</v>
      </c>
      <c r="W9" s="137">
        <v>3</v>
      </c>
      <c r="X9" s="137">
        <v>3.7</v>
      </c>
      <c r="Y9" s="137">
        <v>3.2</v>
      </c>
      <c r="Z9" s="137">
        <v>2.4</v>
      </c>
      <c r="AA9" s="137">
        <v>1.7</v>
      </c>
      <c r="AB9" s="137">
        <v>4.0999999999999996</v>
      </c>
      <c r="AC9" s="137">
        <v>1.5</v>
      </c>
      <c r="AD9" s="137">
        <v>2.6</v>
      </c>
      <c r="AE9" s="137">
        <v>5</v>
      </c>
      <c r="AF9" s="137">
        <v>1.9</v>
      </c>
      <c r="AG9" s="137">
        <v>2</v>
      </c>
      <c r="AH9" s="137">
        <v>3</v>
      </c>
      <c r="AI9" s="137">
        <v>4.9000000000000004</v>
      </c>
      <c r="AJ9" s="137">
        <v>12</v>
      </c>
      <c r="AK9" s="137">
        <v>6.6</v>
      </c>
      <c r="AL9" s="137">
        <v>7.1</v>
      </c>
      <c r="AM9" s="137">
        <v>14.200000000000001</v>
      </c>
      <c r="AN9" s="137">
        <v>7.4368854699999991</v>
      </c>
      <c r="AO9" s="137">
        <v>11.7</v>
      </c>
      <c r="AP9" s="137">
        <v>12</v>
      </c>
      <c r="AQ9" s="137">
        <v>24.785295610000002</v>
      </c>
      <c r="AR9" s="137">
        <f t="shared" ref="AR9:AT9" si="0">SUM(AR5:AR8)</f>
        <v>29.4</v>
      </c>
      <c r="AS9" s="137">
        <f t="shared" si="0"/>
        <v>9.1999999999999993</v>
      </c>
      <c r="AT9" s="137">
        <f t="shared" si="0"/>
        <v>14.4</v>
      </c>
      <c r="AU9" s="137">
        <f>SUM(AU5:AU8)</f>
        <v>18.399999999999999</v>
      </c>
      <c r="AV9" s="137">
        <f t="shared" ref="AV9:AX9" si="1">SUM(AV5:AV8)</f>
        <v>7.8000000000000007</v>
      </c>
      <c r="AW9" s="137">
        <f t="shared" si="1"/>
        <v>8.4</v>
      </c>
      <c r="AX9" s="137">
        <f t="shared" si="1"/>
        <v>9.9</v>
      </c>
      <c r="AY9" s="137">
        <f>SUM(AY5:AY8)</f>
        <v>0</v>
      </c>
      <c r="AZ9" s="137">
        <v>28.1</v>
      </c>
      <c r="BA9" s="137">
        <v>64.7</v>
      </c>
      <c r="BB9" s="137">
        <v>47.3</v>
      </c>
      <c r="BC9" s="137">
        <v>13.2</v>
      </c>
      <c r="BD9" s="137">
        <v>17.998000000000001</v>
      </c>
      <c r="BE9" s="137">
        <v>11</v>
      </c>
      <c r="BF9" s="137">
        <v>13.199999999999998</v>
      </c>
      <c r="BG9" s="137">
        <v>11.86</v>
      </c>
      <c r="BH9" s="137">
        <v>39.9</v>
      </c>
      <c r="BI9" s="137">
        <v>55.922181080000001</v>
      </c>
      <c r="BJ9" s="137">
        <f>+BJ5+BJ6+BJ7+BJ8</f>
        <v>71.400000000000006</v>
      </c>
      <c r="BK9" s="137">
        <f>+BK5+BK6+BK7+BK8</f>
        <v>26.099999999999998</v>
      </c>
    </row>
    <row r="10" spans="2:63" ht="15.75" thickBot="1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</row>
    <row r="11" spans="2:63">
      <c r="C11" s="135"/>
      <c r="AM11"/>
      <c r="AQ11"/>
      <c r="AU11"/>
      <c r="AY11"/>
    </row>
  </sheetData>
  <mergeCells count="14">
    <mergeCell ref="BC3:BC4"/>
    <mergeCell ref="B3:B4"/>
    <mergeCell ref="C3:C4"/>
    <mergeCell ref="AZ3:AZ4"/>
    <mergeCell ref="BA3:BA4"/>
    <mergeCell ref="BB3:BB4"/>
    <mergeCell ref="BJ3:BJ4"/>
    <mergeCell ref="BK3:BK4"/>
    <mergeCell ref="BD3:BD4"/>
    <mergeCell ref="BE3:BE4"/>
    <mergeCell ref="BF3:BF4"/>
    <mergeCell ref="BG3:BG4"/>
    <mergeCell ref="BH3:BH4"/>
    <mergeCell ref="BI3:BI4"/>
  </mergeCells>
  <pageMargins left="0.51181102362204722" right="0.51181102362204722" top="0.78740157480314965" bottom="0.78740157480314965" header="0.31496062992125984" footer="0.31496062992125984"/>
  <pageSetup paperSize="9" scale="78" orientation="landscape" r:id="rId1"/>
  <headerFooter>
    <oddHeader>&amp;A</oddHeader>
    <oddFooter>&amp;F</oddFooter>
  </headerFooter>
  <ignoredErrors>
    <ignoredError sqref="BJ5:BK1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6E0F-6F7F-4697-9A1E-65E16D9FCECF}">
  <sheetPr>
    <tabColor theme="3" tint="-0.249977111117893"/>
    <pageSetUpPr fitToPage="1"/>
  </sheetPr>
  <dimension ref="A1:AG39"/>
  <sheetViews>
    <sheetView showGridLines="0" zoomScale="85" zoomScaleNormal="85" workbookViewId="0">
      <pane xSplit="3" ySplit="5" topLeftCell="V6" activePane="bottomRight" state="frozen"/>
      <selection activeCell="B20" sqref="B20"/>
      <selection pane="topRight" activeCell="B20" sqref="B20"/>
      <selection pane="bottomLeft" activeCell="B20" sqref="B20"/>
      <selection pane="bottomRight" activeCell="Z6" sqref="Z6:Z7"/>
    </sheetView>
  </sheetViews>
  <sheetFormatPr defaultRowHeight="15" outlineLevelCol="1"/>
  <cols>
    <col min="1" max="1" width="7.7109375" style="141" customWidth="1"/>
    <col min="2" max="2" width="41" style="141" customWidth="1"/>
    <col min="3" max="3" width="60.7109375" customWidth="1"/>
    <col min="4" max="11" width="9.42578125" customWidth="1" outlineLevel="1"/>
    <col min="12" max="12" width="9.42578125" customWidth="1" outlineLevel="1" collapsed="1"/>
    <col min="13" max="17" width="9.42578125" customWidth="1" outlineLevel="1"/>
    <col min="18" max="18" width="9.42578125" style="142" customWidth="1" outlineLevel="1"/>
    <col min="19" max="19" width="9.42578125" customWidth="1" outlineLevel="1"/>
    <col min="20" max="26" width="9.42578125" customWidth="1"/>
    <col min="27" max="27" width="9.42578125" hidden="1" customWidth="1"/>
    <col min="28" max="29" width="9.140625" customWidth="1" outlineLevel="1"/>
    <col min="30" max="31" width="10.28515625" customWidth="1" outlineLevel="1"/>
    <col min="32" max="33" width="10.7109375" customWidth="1"/>
  </cols>
  <sheetData>
    <row r="1" spans="1:33" ht="15" customHeight="1"/>
    <row r="2" spans="1:33" ht="15" customHeight="1" thickBot="1"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</row>
    <row r="3" spans="1:33" ht="8.25" customHeight="1">
      <c r="B3" s="233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</row>
    <row r="4" spans="1:33" ht="13.5" customHeight="1">
      <c r="B4" s="240" t="s">
        <v>279</v>
      </c>
      <c r="C4" s="244" t="s">
        <v>99</v>
      </c>
      <c r="D4" s="99" t="s">
        <v>325</v>
      </c>
      <c r="E4" s="99" t="s">
        <v>326</v>
      </c>
      <c r="F4" s="99" t="s">
        <v>327</v>
      </c>
      <c r="G4" s="99" t="s">
        <v>328</v>
      </c>
      <c r="H4" s="99" t="s">
        <v>329</v>
      </c>
      <c r="I4" s="99" t="s">
        <v>330</v>
      </c>
      <c r="J4" s="99" t="s">
        <v>331</v>
      </c>
      <c r="K4" s="99" t="s">
        <v>332</v>
      </c>
      <c r="L4" s="99" t="s">
        <v>333</v>
      </c>
      <c r="M4" s="99" t="s">
        <v>334</v>
      </c>
      <c r="N4" s="99" t="s">
        <v>335</v>
      </c>
      <c r="O4" s="99" t="s">
        <v>336</v>
      </c>
      <c r="P4" s="99" t="s">
        <v>337</v>
      </c>
      <c r="Q4" s="99" t="s">
        <v>338</v>
      </c>
      <c r="R4" s="99" t="s">
        <v>339</v>
      </c>
      <c r="S4" s="99" t="s">
        <v>340</v>
      </c>
      <c r="T4" s="99" t="s">
        <v>341</v>
      </c>
      <c r="U4" s="99" t="s">
        <v>342</v>
      </c>
      <c r="V4" s="99" t="s">
        <v>343</v>
      </c>
      <c r="W4" s="99" t="s">
        <v>344</v>
      </c>
      <c r="X4" s="99" t="s">
        <v>345</v>
      </c>
      <c r="Y4" s="99" t="s">
        <v>346</v>
      </c>
      <c r="Z4" s="99" t="s">
        <v>347</v>
      </c>
      <c r="AA4" s="99" t="s">
        <v>348</v>
      </c>
      <c r="AB4" s="238">
        <v>2019</v>
      </c>
      <c r="AC4" s="238">
        <v>2020</v>
      </c>
      <c r="AD4" s="238">
        <v>2021</v>
      </c>
      <c r="AE4" s="238">
        <v>2022</v>
      </c>
      <c r="AF4" s="238">
        <v>2023</v>
      </c>
      <c r="AG4" s="238">
        <v>2024</v>
      </c>
    </row>
    <row r="5" spans="1:33">
      <c r="B5" s="265"/>
      <c r="C5" s="263"/>
      <c r="D5" s="99" t="s">
        <v>34</v>
      </c>
      <c r="E5" s="99" t="s">
        <v>35</v>
      </c>
      <c r="F5" s="99" t="s">
        <v>36</v>
      </c>
      <c r="G5" s="99" t="s">
        <v>37</v>
      </c>
      <c r="H5" s="99" t="s">
        <v>3</v>
      </c>
      <c r="I5" s="99" t="s">
        <v>38</v>
      </c>
      <c r="J5" s="99" t="s">
        <v>39</v>
      </c>
      <c r="K5" s="99" t="s">
        <v>8</v>
      </c>
      <c r="L5" s="99" t="s">
        <v>9</v>
      </c>
      <c r="M5" s="99" t="s">
        <v>40</v>
      </c>
      <c r="N5" s="99" t="s">
        <v>41</v>
      </c>
      <c r="O5" s="99" t="s">
        <v>42</v>
      </c>
      <c r="P5" s="99" t="s">
        <v>71</v>
      </c>
      <c r="Q5" s="99" t="s">
        <v>75</v>
      </c>
      <c r="R5" s="99" t="s">
        <v>76</v>
      </c>
      <c r="S5" s="99" t="s">
        <v>77</v>
      </c>
      <c r="T5" s="99" t="s">
        <v>91</v>
      </c>
      <c r="U5" s="99" t="s">
        <v>92</v>
      </c>
      <c r="V5" s="99" t="s">
        <v>93</v>
      </c>
      <c r="W5" s="99" t="s">
        <v>94</v>
      </c>
      <c r="X5" s="99" t="s">
        <v>256</v>
      </c>
      <c r="Y5" s="99" t="s">
        <v>257</v>
      </c>
      <c r="Z5" s="99" t="s">
        <v>258</v>
      </c>
      <c r="AA5" s="99" t="s">
        <v>259</v>
      </c>
      <c r="AB5" s="239"/>
      <c r="AC5" s="239"/>
      <c r="AD5" s="239"/>
      <c r="AE5" s="239"/>
      <c r="AF5" s="239"/>
      <c r="AG5" s="239"/>
    </row>
    <row r="6" spans="1:33" ht="12.75" customHeight="1">
      <c r="A6" s="143"/>
      <c r="B6" s="210" t="s">
        <v>510</v>
      </c>
      <c r="C6" s="102" t="s">
        <v>243</v>
      </c>
      <c r="D6" s="130">
        <v>124806</v>
      </c>
      <c r="E6" s="130">
        <v>99727</v>
      </c>
      <c r="F6" s="130">
        <v>140230</v>
      </c>
      <c r="G6" s="130">
        <v>156514</v>
      </c>
      <c r="H6" s="130">
        <v>112417</v>
      </c>
      <c r="I6" s="130">
        <v>80627</v>
      </c>
      <c r="J6" s="130">
        <v>147825</v>
      </c>
      <c r="K6" s="130">
        <v>224581</v>
      </c>
      <c r="L6" s="130">
        <v>213043</v>
      </c>
      <c r="M6" s="130">
        <v>214991</v>
      </c>
      <c r="N6" s="130">
        <v>294747</v>
      </c>
      <c r="O6" s="130">
        <v>376804</v>
      </c>
      <c r="P6" s="130">
        <v>399807</v>
      </c>
      <c r="Q6" s="130">
        <v>319526.4792099999</v>
      </c>
      <c r="R6" s="130">
        <v>468655.48698203877</v>
      </c>
      <c r="S6" s="130">
        <v>456795</v>
      </c>
      <c r="T6" s="130">
        <v>300351</v>
      </c>
      <c r="U6" s="130">
        <v>256237</v>
      </c>
      <c r="V6" s="130">
        <v>374318</v>
      </c>
      <c r="W6" s="130">
        <v>469965</v>
      </c>
      <c r="X6" s="130">
        <v>341525</v>
      </c>
      <c r="Y6" s="130">
        <v>296849</v>
      </c>
      <c r="Z6" s="130">
        <v>387834</v>
      </c>
      <c r="AA6" s="130"/>
      <c r="AB6" s="130">
        <v>521277</v>
      </c>
      <c r="AC6" s="130">
        <v>565450</v>
      </c>
      <c r="AD6" s="130">
        <v>1099585</v>
      </c>
      <c r="AE6" s="130">
        <v>1644783.9661920387</v>
      </c>
      <c r="AF6" s="130">
        <f>+SUM(T6:W6)</f>
        <v>1400871</v>
      </c>
      <c r="AG6" s="130">
        <f>+SUM(X6:AA6)</f>
        <v>1026208</v>
      </c>
    </row>
    <row r="7" spans="1:33" ht="12.75" customHeight="1">
      <c r="B7" s="234" t="s">
        <v>511</v>
      </c>
      <c r="C7" s="134" t="s">
        <v>244</v>
      </c>
      <c r="D7" s="139">
        <v>12725</v>
      </c>
      <c r="E7" s="139">
        <v>17325</v>
      </c>
      <c r="F7" s="139">
        <v>9292</v>
      </c>
      <c r="G7" s="139">
        <v>22846</v>
      </c>
      <c r="H7" s="139">
        <v>15065</v>
      </c>
      <c r="I7" s="139">
        <v>13365</v>
      </c>
      <c r="J7" s="139">
        <v>53820</v>
      </c>
      <c r="K7" s="139">
        <v>23543</v>
      </c>
      <c r="L7" s="139">
        <v>23138</v>
      </c>
      <c r="M7" s="139">
        <v>27662</v>
      </c>
      <c r="N7" s="139">
        <v>35720</v>
      </c>
      <c r="O7" s="139">
        <v>40074</v>
      </c>
      <c r="P7" s="139">
        <v>37789</v>
      </c>
      <c r="Q7" s="139">
        <v>40547.562759999993</v>
      </c>
      <c r="R7" s="139">
        <v>47097.648719999997</v>
      </c>
      <c r="S7" s="139">
        <v>45184</v>
      </c>
      <c r="T7" s="139">
        <v>22753</v>
      </c>
      <c r="U7" s="139">
        <v>24960</v>
      </c>
      <c r="V7" s="144">
        <v>31310</v>
      </c>
      <c r="W7" s="144">
        <v>32240</v>
      </c>
      <c r="X7" s="139">
        <v>38786</v>
      </c>
      <c r="Y7" s="139">
        <v>30985</v>
      </c>
      <c r="Z7" s="144">
        <v>51218</v>
      </c>
      <c r="AA7" s="144"/>
      <c r="AB7" s="130">
        <v>62188</v>
      </c>
      <c r="AC7" s="130">
        <v>105793</v>
      </c>
      <c r="AD7" s="130">
        <v>126594</v>
      </c>
      <c r="AE7" s="130">
        <v>170618.21148</v>
      </c>
      <c r="AF7" s="130">
        <f>+SUM(T7:W7)</f>
        <v>111263</v>
      </c>
      <c r="AG7" s="130">
        <f>+SUM(X7:AA7)</f>
        <v>120989</v>
      </c>
    </row>
    <row r="8" spans="1:33">
      <c r="B8" s="177" t="s">
        <v>1</v>
      </c>
      <c r="C8" s="107" t="s">
        <v>2</v>
      </c>
      <c r="D8" s="112">
        <v>137531</v>
      </c>
      <c r="E8" s="112">
        <v>117052</v>
      </c>
      <c r="F8" s="112">
        <v>149522</v>
      </c>
      <c r="G8" s="112">
        <v>179360</v>
      </c>
      <c r="H8" s="112">
        <v>127482</v>
      </c>
      <c r="I8" s="112">
        <v>93992</v>
      </c>
      <c r="J8" s="112">
        <v>201645</v>
      </c>
      <c r="K8" s="112">
        <v>248124</v>
      </c>
      <c r="L8" s="112">
        <v>236181</v>
      </c>
      <c r="M8" s="112">
        <v>242653</v>
      </c>
      <c r="N8" s="112">
        <v>330467</v>
      </c>
      <c r="O8" s="112">
        <v>416878</v>
      </c>
      <c r="P8" s="112">
        <v>437596</v>
      </c>
      <c r="Q8" s="112">
        <v>360074.0419699999</v>
      </c>
      <c r="R8" s="112">
        <v>515753.13570203877</v>
      </c>
      <c r="S8" s="112">
        <v>501979</v>
      </c>
      <c r="T8" s="112">
        <v>323104</v>
      </c>
      <c r="U8" s="112">
        <f t="shared" ref="U8:AA8" si="0">SUM(U6:U7)</f>
        <v>281197</v>
      </c>
      <c r="V8" s="112">
        <f t="shared" si="0"/>
        <v>405628</v>
      </c>
      <c r="W8" s="112">
        <f t="shared" si="0"/>
        <v>502205</v>
      </c>
      <c r="X8" s="112">
        <f t="shared" si="0"/>
        <v>380311</v>
      </c>
      <c r="Y8" s="112">
        <f t="shared" si="0"/>
        <v>327834</v>
      </c>
      <c r="Z8" s="112">
        <f t="shared" si="0"/>
        <v>439052</v>
      </c>
      <c r="AA8" s="112">
        <f t="shared" si="0"/>
        <v>0</v>
      </c>
      <c r="AB8" s="112">
        <v>583465</v>
      </c>
      <c r="AC8" s="112">
        <v>671243</v>
      </c>
      <c r="AD8" s="112">
        <v>1226179</v>
      </c>
      <c r="AE8" s="112">
        <v>1815402.1776720388</v>
      </c>
      <c r="AF8" s="112">
        <f>+AF6+AF7</f>
        <v>1512134</v>
      </c>
      <c r="AG8" s="112">
        <f>+AG6+AG7</f>
        <v>1147197</v>
      </c>
    </row>
    <row r="9" spans="1:33" ht="15" customHeight="1" thickBot="1">
      <c r="B9" s="235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</row>
    <row r="10" spans="1:33" ht="26.25" customHeight="1" thickBot="1">
      <c r="B10" s="211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</row>
    <row r="11" spans="1:33" ht="8.25" customHeight="1">
      <c r="B11" s="236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</row>
    <row r="12" spans="1:33" ht="18" customHeight="1">
      <c r="B12" s="240" t="s">
        <v>512</v>
      </c>
      <c r="C12" s="244" t="s">
        <v>245</v>
      </c>
      <c r="D12" s="99" t="s">
        <v>325</v>
      </c>
      <c r="E12" s="99" t="s">
        <v>326</v>
      </c>
      <c r="F12" s="99" t="s">
        <v>327</v>
      </c>
      <c r="G12" s="99" t="s">
        <v>328</v>
      </c>
      <c r="H12" s="99" t="s">
        <v>329</v>
      </c>
      <c r="I12" s="99" t="s">
        <v>330</v>
      </c>
      <c r="J12" s="99" t="s">
        <v>331</v>
      </c>
      <c r="K12" s="99" t="s">
        <v>332</v>
      </c>
      <c r="L12" s="99" t="s">
        <v>333</v>
      </c>
      <c r="M12" s="99" t="s">
        <v>334</v>
      </c>
      <c r="N12" s="99" t="s">
        <v>335</v>
      </c>
      <c r="O12" s="99" t="s">
        <v>336</v>
      </c>
      <c r="P12" s="99" t="s">
        <v>337</v>
      </c>
      <c r="Q12" s="99" t="s">
        <v>338</v>
      </c>
      <c r="R12" s="99" t="s">
        <v>339</v>
      </c>
      <c r="S12" s="99" t="s">
        <v>340</v>
      </c>
      <c r="T12" s="99" t="s">
        <v>341</v>
      </c>
      <c r="U12" s="99" t="s">
        <v>342</v>
      </c>
      <c r="V12" s="99" t="s">
        <v>343</v>
      </c>
      <c r="W12" s="99" t="s">
        <v>344</v>
      </c>
      <c r="X12" s="99" t="s">
        <v>345</v>
      </c>
      <c r="Y12" s="99" t="s">
        <v>346</v>
      </c>
      <c r="Z12" s="99" t="s">
        <v>347</v>
      </c>
      <c r="AA12" s="99" t="s">
        <v>348</v>
      </c>
      <c r="AB12" s="238">
        <v>2019</v>
      </c>
      <c r="AC12" s="238">
        <v>2020</v>
      </c>
      <c r="AD12" s="238">
        <v>2021</v>
      </c>
      <c r="AE12" s="238">
        <v>2022</v>
      </c>
      <c r="AF12" s="238">
        <v>2023</v>
      </c>
      <c r="AG12" s="238">
        <v>2024</v>
      </c>
    </row>
    <row r="13" spans="1:33">
      <c r="B13" s="265"/>
      <c r="C13" s="263"/>
      <c r="D13" s="99" t="s">
        <v>34</v>
      </c>
      <c r="E13" s="99" t="s">
        <v>35</v>
      </c>
      <c r="F13" s="99" t="s">
        <v>36</v>
      </c>
      <c r="G13" s="99" t="s">
        <v>37</v>
      </c>
      <c r="H13" s="99" t="s">
        <v>3</v>
      </c>
      <c r="I13" s="99" t="s">
        <v>38</v>
      </c>
      <c r="J13" s="99" t="s">
        <v>39</v>
      </c>
      <c r="K13" s="99" t="s">
        <v>8</v>
      </c>
      <c r="L13" s="99" t="s">
        <v>9</v>
      </c>
      <c r="M13" s="99" t="s">
        <v>40</v>
      </c>
      <c r="N13" s="99" t="s">
        <v>41</v>
      </c>
      <c r="O13" s="99" t="s">
        <v>42</v>
      </c>
      <c r="P13" s="99" t="s">
        <v>71</v>
      </c>
      <c r="Q13" s="99" t="s">
        <v>75</v>
      </c>
      <c r="R13" s="99" t="s">
        <v>76</v>
      </c>
      <c r="S13" s="99" t="s">
        <v>77</v>
      </c>
      <c r="T13" s="99" t="s">
        <v>91</v>
      </c>
      <c r="U13" s="99" t="s">
        <v>92</v>
      </c>
      <c r="V13" s="99" t="s">
        <v>93</v>
      </c>
      <c r="W13" s="99" t="s">
        <v>94</v>
      </c>
      <c r="X13" s="99" t="str">
        <f>+X5</f>
        <v>1T24</v>
      </c>
      <c r="Y13" s="99" t="str">
        <f t="shared" ref="Y13:AA13" si="1">+Y5</f>
        <v>2T24</v>
      </c>
      <c r="Z13" s="99" t="str">
        <f t="shared" si="1"/>
        <v>3T24</v>
      </c>
      <c r="AA13" s="99" t="str">
        <f t="shared" si="1"/>
        <v>4T24</v>
      </c>
      <c r="AB13" s="239"/>
      <c r="AC13" s="239"/>
      <c r="AD13" s="239"/>
      <c r="AE13" s="239"/>
      <c r="AF13" s="239"/>
      <c r="AG13" s="239"/>
    </row>
    <row r="14" spans="1:33" ht="12.75" customHeight="1">
      <c r="B14" s="210" t="s">
        <v>510</v>
      </c>
      <c r="C14" s="102" t="s">
        <v>243</v>
      </c>
      <c r="D14" s="145">
        <v>0.90747540554493167</v>
      </c>
      <c r="E14" s="145">
        <v>0.85198885965212046</v>
      </c>
      <c r="F14" s="145">
        <v>0.93785529888578267</v>
      </c>
      <c r="G14" s="145">
        <v>0.87262488849241748</v>
      </c>
      <c r="H14" s="145">
        <v>0.88182645393075099</v>
      </c>
      <c r="I14" s="145">
        <v>0.85780704740829006</v>
      </c>
      <c r="J14" s="145">
        <v>0.73309529122963624</v>
      </c>
      <c r="K14" s="145">
        <v>0.90511599039190083</v>
      </c>
      <c r="L14" s="145">
        <v>0.90203276300803192</v>
      </c>
      <c r="M14" s="145">
        <v>0.8860018215311577</v>
      </c>
      <c r="N14" s="145">
        <v>0.89191053872247461</v>
      </c>
      <c r="O14" s="145">
        <v>0.90387115654939809</v>
      </c>
      <c r="P14" s="145">
        <v>0.91364409181071127</v>
      </c>
      <c r="Q14" s="145">
        <v>0.88739104174752403</v>
      </c>
      <c r="R14" s="145">
        <v>0.90868179859751874</v>
      </c>
      <c r="S14" s="145">
        <v>0.90998826644142483</v>
      </c>
      <c r="T14" s="145">
        <v>0.92957994948994749</v>
      </c>
      <c r="U14" s="145">
        <v>0.91123456733048291</v>
      </c>
      <c r="V14" s="145">
        <v>0.9228110612306335</v>
      </c>
      <c r="W14" s="145">
        <f>+W6/W8</f>
        <v>0.93580310829243041</v>
      </c>
      <c r="X14" s="145">
        <f t="shared" ref="X14:Z14" si="2">+X6/X8</f>
        <v>0.89801504558111656</v>
      </c>
      <c r="Y14" s="145">
        <f t="shared" si="2"/>
        <v>0.90548570313024279</v>
      </c>
      <c r="Z14" s="145">
        <f t="shared" si="2"/>
        <v>0.88334411413682201</v>
      </c>
      <c r="AA14" s="145" t="e">
        <f>+AA6/AA8</f>
        <v>#DIV/0!</v>
      </c>
      <c r="AB14" s="145">
        <v>0.89341605751844588</v>
      </c>
      <c r="AC14" s="145">
        <v>0.84239239738812921</v>
      </c>
      <c r="AD14" s="145">
        <v>0.89675732499088634</v>
      </c>
      <c r="AE14" s="145">
        <v>0.90601630119294529</v>
      </c>
      <c r="AF14" s="145">
        <f>+AF6/AF8</f>
        <v>0.92641988077776172</v>
      </c>
      <c r="AG14" s="145">
        <f>+AG6/AG8</f>
        <v>0.89453511471874492</v>
      </c>
    </row>
    <row r="15" spans="1:33" ht="12.75" customHeight="1">
      <c r="B15" s="234" t="s">
        <v>511</v>
      </c>
      <c r="C15" s="134" t="s">
        <v>244</v>
      </c>
      <c r="D15" s="146">
        <v>9.2524594455068318E-2</v>
      </c>
      <c r="E15" s="146">
        <v>0.14801114034787957</v>
      </c>
      <c r="F15" s="146">
        <v>6.2144701114217306E-2</v>
      </c>
      <c r="G15" s="146">
        <v>0.12737511150758252</v>
      </c>
      <c r="H15" s="146">
        <v>0.11817354606924899</v>
      </c>
      <c r="I15" s="146">
        <v>0.14219295259170994</v>
      </c>
      <c r="J15" s="146">
        <v>0.26690470877036376</v>
      </c>
      <c r="K15" s="146">
        <v>9.4884009608099174E-2</v>
      </c>
      <c r="L15" s="146">
        <v>9.7967236991968021E-2</v>
      </c>
      <c r="M15" s="146">
        <v>0.11399817846884235</v>
      </c>
      <c r="N15" s="146">
        <v>0.10808946127752544</v>
      </c>
      <c r="O15" s="146">
        <v>9.6128843450601853E-2</v>
      </c>
      <c r="P15" s="146">
        <v>8.6355908189288746E-2</v>
      </c>
      <c r="Q15" s="146">
        <v>0.11260895825247595</v>
      </c>
      <c r="R15" s="146">
        <v>9.1318201402481203E-2</v>
      </c>
      <c r="S15" s="146">
        <v>9.0011733558575155E-2</v>
      </c>
      <c r="T15" s="146">
        <v>7.0420050510052484E-2</v>
      </c>
      <c r="U15" s="146">
        <v>8.87654326695171E-2</v>
      </c>
      <c r="V15" s="146">
        <v>7.7188938769366514E-2</v>
      </c>
      <c r="W15" s="146">
        <f>+W7/W8</f>
        <v>6.419689170756962E-2</v>
      </c>
      <c r="X15" s="146">
        <f t="shared" ref="X15:Z15" si="3">+X7/X8</f>
        <v>0.10198495441888349</v>
      </c>
      <c r="Y15" s="146">
        <f t="shared" si="3"/>
        <v>9.451429686975725E-2</v>
      </c>
      <c r="Z15" s="146">
        <f t="shared" si="3"/>
        <v>0.11665588586317793</v>
      </c>
      <c r="AA15" s="146" t="e">
        <f>+AA7/AA8</f>
        <v>#DIV/0!</v>
      </c>
      <c r="AB15" s="145">
        <v>0.10658394248155416</v>
      </c>
      <c r="AC15" s="145">
        <v>0.15760760261187082</v>
      </c>
      <c r="AD15" s="145">
        <v>0.10324267500911367</v>
      </c>
      <c r="AE15" s="145">
        <v>9.398369880705465E-2</v>
      </c>
      <c r="AF15" s="145">
        <f>+AF7/AF8</f>
        <v>7.3580119222238241E-2</v>
      </c>
      <c r="AG15" s="145">
        <f>+AG7/AG8</f>
        <v>0.1054648852812551</v>
      </c>
    </row>
    <row r="16" spans="1:33">
      <c r="B16" s="177" t="s">
        <v>1</v>
      </c>
      <c r="C16" s="107" t="s">
        <v>2</v>
      </c>
      <c r="D16" s="147">
        <v>1</v>
      </c>
      <c r="E16" s="147">
        <v>1</v>
      </c>
      <c r="F16" s="147">
        <v>1</v>
      </c>
      <c r="G16" s="147">
        <v>1</v>
      </c>
      <c r="H16" s="147">
        <v>1</v>
      </c>
      <c r="I16" s="147">
        <v>1</v>
      </c>
      <c r="J16" s="147">
        <v>1</v>
      </c>
      <c r="K16" s="147">
        <v>1</v>
      </c>
      <c r="L16" s="147">
        <v>1</v>
      </c>
      <c r="M16" s="147">
        <v>1</v>
      </c>
      <c r="N16" s="147">
        <v>1</v>
      </c>
      <c r="O16" s="147">
        <v>1</v>
      </c>
      <c r="P16" s="147">
        <v>1</v>
      </c>
      <c r="Q16" s="147">
        <v>1</v>
      </c>
      <c r="R16" s="147">
        <v>1</v>
      </c>
      <c r="S16" s="147">
        <v>1</v>
      </c>
      <c r="T16" s="147">
        <v>1</v>
      </c>
      <c r="U16" s="147">
        <v>1</v>
      </c>
      <c r="V16" s="147">
        <v>1</v>
      </c>
      <c r="W16" s="147">
        <f>+W14+W15</f>
        <v>1</v>
      </c>
      <c r="X16" s="147">
        <v>1</v>
      </c>
      <c r="Y16" s="147">
        <v>1</v>
      </c>
      <c r="Z16" s="147">
        <v>1</v>
      </c>
      <c r="AA16" s="147" t="e">
        <f>+AA14+AA15</f>
        <v>#DIV/0!</v>
      </c>
      <c r="AB16" s="147">
        <v>1</v>
      </c>
      <c r="AC16" s="147">
        <v>1</v>
      </c>
      <c r="AD16" s="147">
        <v>1</v>
      </c>
      <c r="AE16" s="147">
        <v>1</v>
      </c>
      <c r="AF16" s="147">
        <f>+AF14+AF15</f>
        <v>1</v>
      </c>
      <c r="AG16" s="147">
        <f>+AG14+AG15</f>
        <v>1</v>
      </c>
    </row>
    <row r="17" spans="1:33" ht="15" customHeight="1" thickBot="1">
      <c r="B17" s="235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48"/>
      <c r="AC17" s="148"/>
      <c r="AD17" s="148"/>
      <c r="AE17" s="148"/>
      <c r="AF17" s="148"/>
      <c r="AG17" s="148"/>
    </row>
    <row r="18" spans="1:33"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33">
      <c r="R19"/>
    </row>
    <row r="20" spans="1:33">
      <c r="U20" s="149"/>
      <c r="Y20" s="149"/>
    </row>
    <row r="21" spans="1:33">
      <c r="E21" s="142"/>
      <c r="U21" s="149"/>
      <c r="Y21" s="149"/>
    </row>
    <row r="32" spans="1:33">
      <c r="A32" s="150"/>
      <c r="B32" s="150"/>
    </row>
    <row r="33" spans="1:2">
      <c r="A33" s="150"/>
      <c r="B33" s="150"/>
    </row>
    <row r="34" spans="1:2">
      <c r="A34" s="150"/>
      <c r="B34" s="150"/>
    </row>
    <row r="35" spans="1:2">
      <c r="A35" s="150"/>
      <c r="B35" s="150"/>
    </row>
    <row r="36" spans="1:2">
      <c r="A36" s="150"/>
      <c r="B36" s="150"/>
    </row>
    <row r="37" spans="1:2">
      <c r="A37" s="150"/>
      <c r="B37" s="150"/>
    </row>
    <row r="38" spans="1:2">
      <c r="A38" s="150"/>
      <c r="B38" s="150"/>
    </row>
    <row r="39" spans="1:2">
      <c r="A39" s="150"/>
      <c r="B39" s="150"/>
    </row>
  </sheetData>
  <mergeCells count="16">
    <mergeCell ref="AG12:AG13"/>
    <mergeCell ref="B4:B5"/>
    <mergeCell ref="C4:C5"/>
    <mergeCell ref="B12:B13"/>
    <mergeCell ref="C12:C13"/>
    <mergeCell ref="AF4:AF5"/>
    <mergeCell ref="AG4:AG5"/>
    <mergeCell ref="AB4:AB5"/>
    <mergeCell ref="AC4:AC5"/>
    <mergeCell ref="AD4:AD5"/>
    <mergeCell ref="AE4:AE5"/>
    <mergeCell ref="AB12:AB13"/>
    <mergeCell ref="AC12:AC13"/>
    <mergeCell ref="AD12:AD13"/>
    <mergeCell ref="AE12:AE13"/>
    <mergeCell ref="AF12:AF13"/>
  </mergeCells>
  <pageMargins left="0.51181102362204722" right="0.51181102362204722" top="0.78740157480314965" bottom="0.78740157480314965" header="0.31496062992125984" footer="0.31496062992125984"/>
  <pageSetup paperSize="9" scale="72" orientation="landscape" r:id="rId1"/>
  <headerFooter>
    <oddHeader>&amp;A</oddHeader>
    <oddFooter>&amp;F</oddFooter>
  </headerFooter>
  <ignoredErrors>
    <ignoredError sqref="AF6:AF7 AG6:AG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-0.249977111117893"/>
    <pageSetUpPr fitToPage="1"/>
  </sheetPr>
  <dimension ref="B1:M10"/>
  <sheetViews>
    <sheetView showGridLines="0" workbookViewId="0">
      <selection activeCell="M7" sqref="M7"/>
    </sheetView>
  </sheetViews>
  <sheetFormatPr defaultRowHeight="15" outlineLevelCol="1"/>
  <cols>
    <col min="1" max="1" width="7.7109375" customWidth="1"/>
    <col min="2" max="2" width="42.85546875" customWidth="1"/>
    <col min="3" max="3" width="48" customWidth="1"/>
    <col min="4" max="4" width="6.7109375" customWidth="1" outlineLevel="1"/>
    <col min="5" max="6" width="8.28515625" customWidth="1" outlineLevel="1"/>
    <col min="7" max="7" width="6.7109375" customWidth="1" outlineLevel="1"/>
    <col min="8" max="9" width="7.7109375" customWidth="1" outlineLevel="1"/>
    <col min="10" max="10" width="8.7109375" customWidth="1" outlineLevel="1" collapsed="1"/>
    <col min="11" max="13" width="8.7109375" bestFit="1" customWidth="1"/>
  </cols>
  <sheetData>
    <row r="1" spans="2:13" ht="15" customHeight="1"/>
    <row r="2" spans="2:13" ht="15" customHeight="1" thickBot="1">
      <c r="B2" s="231"/>
      <c r="C2" s="231"/>
      <c r="D2" s="231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8.25" customHeight="1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2:13" ht="12" customHeight="1">
      <c r="B4" s="244" t="s">
        <v>513</v>
      </c>
      <c r="C4" s="244" t="s">
        <v>81</v>
      </c>
      <c r="D4" s="238">
        <v>2015</v>
      </c>
      <c r="E4" s="238">
        <v>2016</v>
      </c>
      <c r="F4" s="238">
        <v>2017</v>
      </c>
      <c r="G4" s="238">
        <v>2018</v>
      </c>
      <c r="H4" s="238">
        <v>2019</v>
      </c>
      <c r="I4" s="238">
        <v>2020</v>
      </c>
      <c r="J4" s="238">
        <v>2021</v>
      </c>
      <c r="K4" s="238">
        <v>2022</v>
      </c>
      <c r="L4" s="238">
        <v>2023</v>
      </c>
      <c r="M4" s="238">
        <v>2024</v>
      </c>
    </row>
    <row r="5" spans="2:13">
      <c r="B5" s="263"/>
      <c r="C5" s="263"/>
      <c r="D5" s="239"/>
      <c r="E5" s="239"/>
      <c r="F5" s="239"/>
      <c r="G5" s="239"/>
      <c r="H5" s="239"/>
      <c r="I5" s="239"/>
      <c r="J5" s="239"/>
      <c r="K5" s="239"/>
      <c r="L5" s="239"/>
      <c r="M5" s="239"/>
    </row>
    <row r="6" spans="2:13" ht="12.75" customHeight="1">
      <c r="B6" s="210" t="s">
        <v>514</v>
      </c>
      <c r="C6" s="102" t="s">
        <v>78</v>
      </c>
      <c r="D6" s="130">
        <v>2689.8987016100496</v>
      </c>
      <c r="E6" s="130">
        <v>1.0223093283281589E-4</v>
      </c>
      <c r="F6" s="130">
        <v>0</v>
      </c>
      <c r="G6" s="130">
        <v>2589.5967400000004</v>
      </c>
      <c r="H6" s="130">
        <v>10388.080140441021</v>
      </c>
      <c r="I6" s="130">
        <v>33402.088786827262</v>
      </c>
      <c r="J6" s="130">
        <v>375533.19647453586</v>
      </c>
      <c r="K6" s="130">
        <v>180706</v>
      </c>
      <c r="L6" s="130">
        <f>55000+20000+27871+47000</f>
        <v>149871</v>
      </c>
      <c r="M6" s="130">
        <f>30010+15447</f>
        <v>45457</v>
      </c>
    </row>
    <row r="7" spans="2:13" ht="12.75" customHeight="1">
      <c r="B7" s="210" t="s">
        <v>515</v>
      </c>
      <c r="C7" s="102" t="s">
        <v>79</v>
      </c>
      <c r="D7" s="130">
        <v>6237.0297080216351</v>
      </c>
      <c r="E7" s="130">
        <v>-22124.288362456886</v>
      </c>
      <c r="F7" s="130">
        <v>-34256.978323606148</v>
      </c>
      <c r="G7" s="130">
        <v>8265.7003499996772</v>
      </c>
      <c r="H7" s="130">
        <v>37571.86659750047</v>
      </c>
      <c r="I7" s="130">
        <v>67649.518122662499</v>
      </c>
      <c r="J7" s="130">
        <v>154635</v>
      </c>
      <c r="K7" s="130">
        <f>DRE!BX24</f>
        <v>382468</v>
      </c>
      <c r="L7" s="130">
        <f>DRE!BY24</f>
        <v>245214</v>
      </c>
      <c r="M7" s="130">
        <f>DRE!BZ24</f>
        <v>148801</v>
      </c>
    </row>
    <row r="8" spans="2:13" ht="12.75" customHeight="1">
      <c r="B8" s="210" t="s">
        <v>80</v>
      </c>
      <c r="C8" s="102" t="s">
        <v>80</v>
      </c>
      <c r="D8" s="140">
        <v>0.43127880217573572</v>
      </c>
      <c r="E8" s="140">
        <v>-4.620755757563414E-9</v>
      </c>
      <c r="F8" s="140">
        <v>0</v>
      </c>
      <c r="G8" s="140">
        <v>0.3132942921164692</v>
      </c>
      <c r="H8" s="140">
        <v>0.27648560162651342</v>
      </c>
      <c r="I8" s="140">
        <v>0.49375205786776488</v>
      </c>
      <c r="J8" s="140">
        <v>2.428513573735156</v>
      </c>
      <c r="K8" s="105">
        <f>K6/K7</f>
        <v>0.47247351412405741</v>
      </c>
      <c r="L8" s="105">
        <f>L6/L7</f>
        <v>0.61118451638160953</v>
      </c>
      <c r="M8" s="105">
        <f>M6/M7</f>
        <v>0.30548853838347861</v>
      </c>
    </row>
    <row r="9" spans="2:13" ht="15" customHeight="1" thickBot="1">
      <c r="B9" s="235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2:13">
      <c r="B10" s="237"/>
      <c r="J10" s="86"/>
      <c r="K10" s="86"/>
      <c r="L10" s="86"/>
      <c r="M10" s="86"/>
    </row>
  </sheetData>
  <mergeCells count="12"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>
    <tabColor theme="3" tint="-0.249977111117893"/>
  </sheetPr>
  <dimension ref="B1:JE84"/>
  <sheetViews>
    <sheetView showGridLines="0" zoomScale="85" zoomScaleNormal="85" workbookViewId="0">
      <pane xSplit="3" ySplit="10" topLeftCell="BH41" activePane="bottomRight" state="frozen"/>
      <selection activeCell="B20" sqref="B20"/>
      <selection pane="topRight" activeCell="B20" sqref="B20"/>
      <selection pane="bottomLeft" activeCell="B20" sqref="B20"/>
      <selection pane="bottomRight" activeCell="BJ81" sqref="BJ81"/>
    </sheetView>
  </sheetViews>
  <sheetFormatPr defaultColWidth="9.140625" defaultRowHeight="12.75" outlineLevelRow="1" outlineLevelCol="1"/>
  <cols>
    <col min="1" max="1" width="7.7109375" style="18" customWidth="1"/>
    <col min="2" max="2" width="58" style="18" bestFit="1" customWidth="1"/>
    <col min="3" max="3" width="60.7109375" style="21" customWidth="1"/>
    <col min="4" max="13" width="9.28515625" style="18" customWidth="1" outlineLevel="1"/>
    <col min="14" max="47" width="8.7109375" style="18" customWidth="1" outlineLevel="1"/>
    <col min="48" max="48" width="8.7109375" style="18" customWidth="1" outlineLevel="1" collapsed="1"/>
    <col min="49" max="51" width="10.28515625" style="18" customWidth="1" outlineLevel="1"/>
    <col min="52" max="62" width="10.28515625" style="18" customWidth="1"/>
    <col min="63" max="63" width="10.28515625" style="18" hidden="1" customWidth="1"/>
    <col min="64" max="65" width="9.28515625" style="58" customWidth="1" outlineLevel="1"/>
    <col min="66" max="66" width="8.7109375" style="58" customWidth="1" outlineLevel="1"/>
    <col min="67" max="74" width="8.7109375" style="18" customWidth="1" outlineLevel="1"/>
    <col min="75" max="76" width="10.28515625" style="58" customWidth="1" outlineLevel="1"/>
    <col min="77" max="78" width="10.28515625" style="58" bestFit="1" customWidth="1"/>
    <col min="79" max="16384" width="9.140625" style="18"/>
  </cols>
  <sheetData>
    <row r="1" spans="2:265" ht="15" customHeight="1"/>
    <row r="2" spans="2:265" ht="15" customHeight="1" thickBot="1">
      <c r="B2" s="204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2:265" ht="8.25" customHeight="1">
      <c r="B3" s="138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</row>
    <row r="4" spans="2:265" ht="13.5" customHeight="1">
      <c r="B4" s="244" t="s">
        <v>349</v>
      </c>
      <c r="C4" s="246" t="s">
        <v>169</v>
      </c>
      <c r="D4" s="99" t="s">
        <v>289</v>
      </c>
      <c r="E4" s="99" t="s">
        <v>290</v>
      </c>
      <c r="F4" s="99" t="s">
        <v>291</v>
      </c>
      <c r="G4" s="99" t="s">
        <v>293</v>
      </c>
      <c r="H4" s="99" t="s">
        <v>292</v>
      </c>
      <c r="I4" s="99" t="s">
        <v>294</v>
      </c>
      <c r="J4" s="99" t="s">
        <v>295</v>
      </c>
      <c r="K4" s="99" t="s">
        <v>296</v>
      </c>
      <c r="L4" s="99" t="s">
        <v>297</v>
      </c>
      <c r="M4" s="99" t="s">
        <v>298</v>
      </c>
      <c r="N4" s="99" t="s">
        <v>299</v>
      </c>
      <c r="O4" s="99" t="s">
        <v>300</v>
      </c>
      <c r="P4" s="99" t="s">
        <v>301</v>
      </c>
      <c r="Q4" s="99" t="s">
        <v>302</v>
      </c>
      <c r="R4" s="99" t="s">
        <v>303</v>
      </c>
      <c r="S4" s="99" t="s">
        <v>304</v>
      </c>
      <c r="T4" s="99" t="s">
        <v>305</v>
      </c>
      <c r="U4" s="99" t="s">
        <v>306</v>
      </c>
      <c r="V4" s="99" t="s">
        <v>307</v>
      </c>
      <c r="W4" s="99" t="s">
        <v>308</v>
      </c>
      <c r="X4" s="99" t="s">
        <v>309</v>
      </c>
      <c r="Y4" s="99" t="s">
        <v>310</v>
      </c>
      <c r="Z4" s="99" t="s">
        <v>311</v>
      </c>
      <c r="AA4" s="99" t="s">
        <v>312</v>
      </c>
      <c r="AB4" s="99" t="s">
        <v>313</v>
      </c>
      <c r="AC4" s="99" t="s">
        <v>314</v>
      </c>
      <c r="AD4" s="99" t="s">
        <v>315</v>
      </c>
      <c r="AE4" s="99" t="s">
        <v>316</v>
      </c>
      <c r="AF4" s="99" t="s">
        <v>317</v>
      </c>
      <c r="AG4" s="99" t="s">
        <v>318</v>
      </c>
      <c r="AH4" s="99" t="s">
        <v>319</v>
      </c>
      <c r="AI4" s="99" t="s">
        <v>320</v>
      </c>
      <c r="AJ4" s="99" t="s">
        <v>321</v>
      </c>
      <c r="AK4" s="99" t="s">
        <v>322</v>
      </c>
      <c r="AL4" s="99" t="s">
        <v>323</v>
      </c>
      <c r="AM4" s="99" t="s">
        <v>324</v>
      </c>
      <c r="AN4" s="99" t="s">
        <v>325</v>
      </c>
      <c r="AO4" s="99" t="s">
        <v>326</v>
      </c>
      <c r="AP4" s="99" t="s">
        <v>327</v>
      </c>
      <c r="AQ4" s="99" t="s">
        <v>328</v>
      </c>
      <c r="AR4" s="99" t="s">
        <v>329</v>
      </c>
      <c r="AS4" s="99" t="s">
        <v>330</v>
      </c>
      <c r="AT4" s="99" t="s">
        <v>331</v>
      </c>
      <c r="AU4" s="99" t="s">
        <v>332</v>
      </c>
      <c r="AV4" s="99" t="s">
        <v>333</v>
      </c>
      <c r="AW4" s="99" t="s">
        <v>334</v>
      </c>
      <c r="AX4" s="99" t="s">
        <v>335</v>
      </c>
      <c r="AY4" s="99" t="s">
        <v>336</v>
      </c>
      <c r="AZ4" s="99" t="s">
        <v>337</v>
      </c>
      <c r="BA4" s="99" t="s">
        <v>338</v>
      </c>
      <c r="BB4" s="99" t="s">
        <v>339</v>
      </c>
      <c r="BC4" s="99" t="s">
        <v>340</v>
      </c>
      <c r="BD4" s="99" t="s">
        <v>341</v>
      </c>
      <c r="BE4" s="99" t="s">
        <v>342</v>
      </c>
      <c r="BF4" s="99" t="s">
        <v>343</v>
      </c>
      <c r="BG4" s="99" t="s">
        <v>344</v>
      </c>
      <c r="BH4" s="99" t="s">
        <v>345</v>
      </c>
      <c r="BI4" s="99" t="s">
        <v>346</v>
      </c>
      <c r="BJ4" s="99" t="s">
        <v>347</v>
      </c>
      <c r="BK4" s="99" t="s">
        <v>348</v>
      </c>
      <c r="BL4" s="238">
        <v>2010</v>
      </c>
      <c r="BM4" s="238">
        <v>2011</v>
      </c>
      <c r="BN4" s="238">
        <v>2012</v>
      </c>
      <c r="BO4" s="238">
        <v>2013</v>
      </c>
      <c r="BP4" s="238">
        <v>2014</v>
      </c>
      <c r="BQ4" s="238">
        <v>2015</v>
      </c>
      <c r="BR4" s="238">
        <v>2016</v>
      </c>
      <c r="BS4" s="238">
        <v>2017</v>
      </c>
      <c r="BT4" s="238">
        <v>2018</v>
      </c>
      <c r="BU4" s="238">
        <v>2019</v>
      </c>
      <c r="BV4" s="238">
        <v>2020</v>
      </c>
      <c r="BW4" s="238">
        <v>2021</v>
      </c>
      <c r="BX4" s="238">
        <v>2022</v>
      </c>
      <c r="BY4" s="238">
        <v>2023</v>
      </c>
      <c r="BZ4" s="238">
        <v>2024</v>
      </c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</row>
    <row r="5" spans="2:265" ht="12.75" customHeight="1">
      <c r="B5" s="245"/>
      <c r="C5" s="247"/>
      <c r="D5" s="99" t="s">
        <v>58</v>
      </c>
      <c r="E5" s="99" t="s">
        <v>57</v>
      </c>
      <c r="F5" s="99" t="s">
        <v>56</v>
      </c>
      <c r="G5" s="99" t="s">
        <v>47</v>
      </c>
      <c r="H5" s="99" t="s">
        <v>55</v>
      </c>
      <c r="I5" s="99" t="s">
        <v>54</v>
      </c>
      <c r="J5" s="99" t="s">
        <v>53</v>
      </c>
      <c r="K5" s="99" t="s">
        <v>52</v>
      </c>
      <c r="L5" s="99" t="s">
        <v>51</v>
      </c>
      <c r="M5" s="99" t="s">
        <v>50</v>
      </c>
      <c r="N5" s="99" t="s">
        <v>49</v>
      </c>
      <c r="O5" s="99" t="s">
        <v>48</v>
      </c>
      <c r="P5" s="99" t="s">
        <v>10</v>
      </c>
      <c r="Q5" s="99" t="s">
        <v>11</v>
      </c>
      <c r="R5" s="99" t="s">
        <v>12</v>
      </c>
      <c r="S5" s="99" t="s">
        <v>13</v>
      </c>
      <c r="T5" s="99" t="s">
        <v>14</v>
      </c>
      <c r="U5" s="99" t="s">
        <v>15</v>
      </c>
      <c r="V5" s="99" t="s">
        <v>16</v>
      </c>
      <c r="W5" s="99" t="s">
        <v>17</v>
      </c>
      <c r="X5" s="99" t="s">
        <v>18</v>
      </c>
      <c r="Y5" s="99" t="s">
        <v>19</v>
      </c>
      <c r="Z5" s="99" t="s">
        <v>20</v>
      </c>
      <c r="AA5" s="99" t="s">
        <v>21</v>
      </c>
      <c r="AB5" s="99" t="s">
        <v>22</v>
      </c>
      <c r="AC5" s="99" t="s">
        <v>23</v>
      </c>
      <c r="AD5" s="99" t="s">
        <v>24</v>
      </c>
      <c r="AE5" s="99" t="s">
        <v>25</v>
      </c>
      <c r="AF5" s="99" t="s">
        <v>26</v>
      </c>
      <c r="AG5" s="99" t="s">
        <v>27</v>
      </c>
      <c r="AH5" s="99" t="s">
        <v>28</v>
      </c>
      <c r="AI5" s="99" t="s">
        <v>29</v>
      </c>
      <c r="AJ5" s="99" t="s">
        <v>30</v>
      </c>
      <c r="AK5" s="99" t="s">
        <v>31</v>
      </c>
      <c r="AL5" s="99" t="s">
        <v>32</v>
      </c>
      <c r="AM5" s="99" t="s">
        <v>33</v>
      </c>
      <c r="AN5" s="99" t="s">
        <v>34</v>
      </c>
      <c r="AO5" s="99" t="s">
        <v>35</v>
      </c>
      <c r="AP5" s="99" t="s">
        <v>36</v>
      </c>
      <c r="AQ5" s="99" t="s">
        <v>37</v>
      </c>
      <c r="AR5" s="99" t="s">
        <v>3</v>
      </c>
      <c r="AS5" s="99" t="s">
        <v>38</v>
      </c>
      <c r="AT5" s="99" t="s">
        <v>39</v>
      </c>
      <c r="AU5" s="99" t="s">
        <v>8</v>
      </c>
      <c r="AV5" s="99" t="s">
        <v>9</v>
      </c>
      <c r="AW5" s="99" t="s">
        <v>40</v>
      </c>
      <c r="AX5" s="99" t="s">
        <v>41</v>
      </c>
      <c r="AY5" s="99" t="s">
        <v>42</v>
      </c>
      <c r="AZ5" s="99" t="s">
        <v>71</v>
      </c>
      <c r="BA5" s="99" t="s">
        <v>75</v>
      </c>
      <c r="BB5" s="99" t="s">
        <v>76</v>
      </c>
      <c r="BC5" s="99" t="s">
        <v>77</v>
      </c>
      <c r="BD5" s="99" t="s">
        <v>91</v>
      </c>
      <c r="BE5" s="99" t="s">
        <v>92</v>
      </c>
      <c r="BF5" s="99" t="s">
        <v>93</v>
      </c>
      <c r="BG5" s="99" t="s">
        <v>94</v>
      </c>
      <c r="BH5" s="99" t="s">
        <v>256</v>
      </c>
      <c r="BI5" s="99" t="s">
        <v>257</v>
      </c>
      <c r="BJ5" s="99" t="s">
        <v>258</v>
      </c>
      <c r="BK5" s="99" t="s">
        <v>259</v>
      </c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</row>
    <row r="6" spans="2:265">
      <c r="B6" s="19"/>
      <c r="C6" s="19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2:265">
      <c r="B7" s="31" t="s">
        <v>278</v>
      </c>
      <c r="C7" s="200" t="s">
        <v>110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59"/>
      <c r="BM7" s="59"/>
      <c r="BN7" s="59"/>
      <c r="BO7" s="33"/>
      <c r="BP7" s="33"/>
      <c r="BQ7" s="33"/>
      <c r="BR7" s="33"/>
      <c r="BS7" s="33"/>
      <c r="BT7" s="33"/>
      <c r="BU7" s="33"/>
      <c r="BV7" s="33"/>
      <c r="BW7" s="59"/>
      <c r="BX7" s="59"/>
      <c r="BY7" s="59"/>
      <c r="BZ7" s="59"/>
    </row>
    <row r="8" spans="2:265">
      <c r="B8" s="19"/>
      <c r="C8" s="19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60"/>
      <c r="BM8" s="60"/>
      <c r="BN8" s="60"/>
      <c r="BO8" s="20"/>
      <c r="BP8" s="20"/>
      <c r="BQ8" s="20"/>
      <c r="BR8" s="20"/>
      <c r="BS8" s="20"/>
      <c r="BT8" s="20"/>
      <c r="BU8" s="20"/>
      <c r="BV8" s="20"/>
      <c r="BW8" s="60"/>
      <c r="BX8" s="60"/>
      <c r="BY8" s="60"/>
      <c r="BZ8" s="60"/>
    </row>
    <row r="9" spans="2:265">
      <c r="B9" s="115" t="s">
        <v>350</v>
      </c>
      <c r="C9" s="201" t="s">
        <v>126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</row>
    <row r="10" spans="2:265" ht="3" customHeight="1">
      <c r="B10" s="21"/>
      <c r="C10" s="202"/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BL10" s="18"/>
      <c r="BM10" s="18"/>
      <c r="BN10" s="18"/>
      <c r="BO10" s="18">
        <v>0</v>
      </c>
      <c r="BP10" s="18">
        <v>0</v>
      </c>
      <c r="BQ10" s="18">
        <v>0</v>
      </c>
      <c r="BR10" s="18">
        <v>0</v>
      </c>
      <c r="BS10" s="18">
        <v>0</v>
      </c>
      <c r="BU10" s="18">
        <v>0</v>
      </c>
      <c r="BW10" s="18"/>
      <c r="BX10" s="18"/>
      <c r="BY10" s="18"/>
      <c r="BZ10" s="18"/>
    </row>
    <row r="11" spans="2:265">
      <c r="B11" s="107" t="s">
        <v>351</v>
      </c>
      <c r="C11" s="193" t="s">
        <v>127</v>
      </c>
      <c r="D11" s="112">
        <v>230434</v>
      </c>
      <c r="E11" s="112">
        <v>214631</v>
      </c>
      <c r="F11" s="112">
        <v>246123</v>
      </c>
      <c r="G11" s="112">
        <v>230434</v>
      </c>
      <c r="H11" s="112">
        <v>217523</v>
      </c>
      <c r="I11" s="112">
        <v>217384</v>
      </c>
      <c r="J11" s="112">
        <v>287096</v>
      </c>
      <c r="K11" s="112">
        <v>325067</v>
      </c>
      <c r="L11" s="112">
        <v>295974</v>
      </c>
      <c r="M11" s="112">
        <v>287486</v>
      </c>
      <c r="N11" s="112">
        <v>263028</v>
      </c>
      <c r="O11" s="112">
        <v>261648</v>
      </c>
      <c r="P11" s="112">
        <v>252731</v>
      </c>
      <c r="Q11" s="112">
        <v>270077</v>
      </c>
      <c r="R11" s="112">
        <v>331820</v>
      </c>
      <c r="S11" s="112">
        <v>327238</v>
      </c>
      <c r="T11" s="112">
        <v>355274</v>
      </c>
      <c r="U11" s="112">
        <v>347721</v>
      </c>
      <c r="V11" s="112">
        <v>467740</v>
      </c>
      <c r="W11" s="112">
        <v>411536</v>
      </c>
      <c r="X11" s="112">
        <v>431522</v>
      </c>
      <c r="Y11" s="112">
        <v>388077</v>
      </c>
      <c r="Z11" s="112">
        <v>372173</v>
      </c>
      <c r="AA11" s="112">
        <v>363849</v>
      </c>
      <c r="AB11" s="112">
        <v>321738</v>
      </c>
      <c r="AC11" s="112">
        <v>287850</v>
      </c>
      <c r="AD11" s="112">
        <v>314120</v>
      </c>
      <c r="AE11" s="112">
        <v>315828</v>
      </c>
      <c r="AF11" s="112">
        <v>279417</v>
      </c>
      <c r="AG11" s="112">
        <v>296231</v>
      </c>
      <c r="AH11" s="112">
        <v>316364</v>
      </c>
      <c r="AI11" s="112">
        <v>304324</v>
      </c>
      <c r="AJ11" s="112">
        <v>249947</v>
      </c>
      <c r="AK11" s="112">
        <v>237347</v>
      </c>
      <c r="AL11" s="112">
        <v>281879</v>
      </c>
      <c r="AM11" s="112">
        <v>316234</v>
      </c>
      <c r="AN11" s="112">
        <v>286092</v>
      </c>
      <c r="AO11" s="112">
        <v>308422</v>
      </c>
      <c r="AP11" s="112">
        <v>318769</v>
      </c>
      <c r="AQ11" s="112">
        <v>303267</v>
      </c>
      <c r="AR11" s="112">
        <v>291428</v>
      </c>
      <c r="AS11" s="112">
        <v>341086</v>
      </c>
      <c r="AT11" s="112">
        <v>461350</v>
      </c>
      <c r="AU11" s="112">
        <v>550039</v>
      </c>
      <c r="AV11" s="112">
        <f t="shared" ref="AV11" si="0">SUM(AV12:AV27)</f>
        <v>554106</v>
      </c>
      <c r="AW11" s="112">
        <f t="shared" ref="AW11" si="1">SUM(AW12:AW27)</f>
        <v>745659</v>
      </c>
      <c r="AX11" s="112">
        <f t="shared" ref="AX11" si="2">SUM(AX12:AX27)</f>
        <v>942380</v>
      </c>
      <c r="AY11" s="112">
        <f t="shared" ref="AY11" si="3">SUM(AY12:AY27)</f>
        <v>622329</v>
      </c>
      <c r="AZ11" s="112">
        <f t="shared" ref="AZ11" si="4">SUM(AZ12:AZ27)</f>
        <v>665048</v>
      </c>
      <c r="BA11" s="112">
        <f t="shared" ref="BA11" si="5">SUM(BA12:BA27)</f>
        <v>874726</v>
      </c>
      <c r="BB11" s="112">
        <f t="shared" ref="BB11" si="6">SUM(BB12:BB27)</f>
        <v>944675</v>
      </c>
      <c r="BC11" s="112">
        <f t="shared" ref="BC11" si="7">SUM(BC12:BC27)</f>
        <v>912707</v>
      </c>
      <c r="BD11" s="112">
        <f t="shared" ref="BD11:BF11" si="8">SUM(BD12:BD27)</f>
        <v>855826</v>
      </c>
      <c r="BE11" s="112">
        <f t="shared" si="8"/>
        <v>776948</v>
      </c>
      <c r="BF11" s="112">
        <f t="shared" si="8"/>
        <v>928480</v>
      </c>
      <c r="BG11" s="112">
        <f>SUM(BG12:BG27)</f>
        <v>981908</v>
      </c>
      <c r="BH11" s="112">
        <f>SUM(BH12:BH27)</f>
        <v>915935</v>
      </c>
      <c r="BI11" s="112">
        <f t="shared" ref="BI11:BK11" si="9">SUM(BI12:BI27)</f>
        <v>1044113</v>
      </c>
      <c r="BJ11" s="112">
        <f t="shared" si="9"/>
        <v>1078166</v>
      </c>
      <c r="BK11" s="112">
        <f t="shared" si="9"/>
        <v>0</v>
      </c>
      <c r="BL11" s="112">
        <v>230434</v>
      </c>
      <c r="BM11" s="112">
        <v>325067</v>
      </c>
      <c r="BN11" s="112">
        <v>261648</v>
      </c>
      <c r="BO11" s="112">
        <v>327238</v>
      </c>
      <c r="BP11" s="112">
        <v>411536</v>
      </c>
      <c r="BQ11" s="112">
        <v>363849</v>
      </c>
      <c r="BR11" s="112">
        <v>315828</v>
      </c>
      <c r="BS11" s="112">
        <v>304324</v>
      </c>
      <c r="BT11" s="112">
        <v>316234</v>
      </c>
      <c r="BU11" s="112">
        <v>303267</v>
      </c>
      <c r="BV11" s="112">
        <v>550039</v>
      </c>
      <c r="BW11" s="112">
        <v>622329</v>
      </c>
      <c r="BX11" s="112">
        <v>912707</v>
      </c>
      <c r="BY11" s="112">
        <f>SUM(BY12:BY27)</f>
        <v>981908</v>
      </c>
      <c r="BZ11" s="112">
        <f>SUM(BZ12:BZ27)</f>
        <v>1078166</v>
      </c>
      <c r="CA11" s="159"/>
      <c r="CB11" s="159"/>
      <c r="CC11" s="159"/>
    </row>
    <row r="12" spans="2:265">
      <c r="B12" s="21" t="s">
        <v>352</v>
      </c>
      <c r="C12" s="202" t="s">
        <v>263</v>
      </c>
      <c r="D12" s="2">
        <v>116025</v>
      </c>
      <c r="E12" s="2">
        <v>68514</v>
      </c>
      <c r="F12" s="2">
        <v>101852</v>
      </c>
      <c r="G12" s="2">
        <v>116025</v>
      </c>
      <c r="H12" s="2">
        <v>108323</v>
      </c>
      <c r="I12" s="2">
        <v>102845</v>
      </c>
      <c r="J12" s="2">
        <v>138199</v>
      </c>
      <c r="K12" s="2">
        <v>167711</v>
      </c>
      <c r="L12" s="2">
        <v>149074</v>
      </c>
      <c r="M12" s="2">
        <v>125470</v>
      </c>
      <c r="N12" s="2">
        <v>97538</v>
      </c>
      <c r="O12" s="2">
        <v>61100</v>
      </c>
      <c r="P12" s="2">
        <v>15938</v>
      </c>
      <c r="Q12" s="2">
        <v>4743</v>
      </c>
      <c r="R12" s="2">
        <v>58497</v>
      </c>
      <c r="S12" s="2">
        <v>10746</v>
      </c>
      <c r="T12" s="2">
        <v>5966</v>
      </c>
      <c r="U12" s="2">
        <v>9210</v>
      </c>
      <c r="V12" s="2">
        <v>39787</v>
      </c>
      <c r="W12" s="2">
        <v>11013</v>
      </c>
      <c r="X12" s="2">
        <v>27231</v>
      </c>
      <c r="Y12" s="2">
        <v>12584</v>
      </c>
      <c r="Z12" s="2">
        <v>9012</v>
      </c>
      <c r="AA12" s="2">
        <v>9511</v>
      </c>
      <c r="AB12" s="2">
        <v>17646</v>
      </c>
      <c r="AC12" s="2">
        <v>8267</v>
      </c>
      <c r="AD12" s="2">
        <v>22072</v>
      </c>
      <c r="AE12" s="2">
        <v>21790</v>
      </c>
      <c r="AF12" s="2">
        <v>15462</v>
      </c>
      <c r="AG12" s="2">
        <v>18800</v>
      </c>
      <c r="AH12" s="2">
        <v>21979</v>
      </c>
      <c r="AI12" s="2">
        <v>14424</v>
      </c>
      <c r="AJ12" s="2">
        <v>11826</v>
      </c>
      <c r="AK12" s="2">
        <v>6790</v>
      </c>
      <c r="AL12" s="2">
        <v>8153</v>
      </c>
      <c r="AM12" s="2">
        <v>6803</v>
      </c>
      <c r="AN12" s="2">
        <v>17395</v>
      </c>
      <c r="AO12" s="2">
        <v>22746</v>
      </c>
      <c r="AP12" s="2">
        <v>19105</v>
      </c>
      <c r="AQ12" s="2">
        <v>38443</v>
      </c>
      <c r="AR12" s="2">
        <v>67348</v>
      </c>
      <c r="AS12" s="2">
        <v>125618</v>
      </c>
      <c r="AT12" s="2">
        <v>203911</v>
      </c>
      <c r="AU12" s="2">
        <v>260376</v>
      </c>
      <c r="AV12" s="2">
        <v>191886</v>
      </c>
      <c r="AW12" s="2">
        <v>313417</v>
      </c>
      <c r="AX12" s="2">
        <v>388277</v>
      </c>
      <c r="AY12" s="2">
        <v>131818</v>
      </c>
      <c r="AZ12" s="2">
        <v>160701</v>
      </c>
      <c r="BA12" s="2">
        <v>208545</v>
      </c>
      <c r="BB12" s="2">
        <v>200402</v>
      </c>
      <c r="BC12" s="2">
        <v>254454</v>
      </c>
      <c r="BD12" s="2">
        <v>199128</v>
      </c>
      <c r="BE12" s="2">
        <v>251482</v>
      </c>
      <c r="BF12" s="2">
        <v>313671</v>
      </c>
      <c r="BG12" s="2">
        <v>322923</v>
      </c>
      <c r="BH12" s="2">
        <v>319722</v>
      </c>
      <c r="BI12" s="2">
        <v>448442</v>
      </c>
      <c r="BJ12" s="158">
        <v>427067</v>
      </c>
      <c r="BK12" s="158"/>
      <c r="BL12" s="2">
        <v>116025</v>
      </c>
      <c r="BM12" s="2">
        <v>167711</v>
      </c>
      <c r="BN12" s="2">
        <v>61100</v>
      </c>
      <c r="BO12" s="2">
        <v>10746</v>
      </c>
      <c r="BP12" s="2">
        <v>11013</v>
      </c>
      <c r="BQ12" s="2">
        <v>9511</v>
      </c>
      <c r="BR12" s="2">
        <v>21790</v>
      </c>
      <c r="BS12" s="2">
        <v>14424</v>
      </c>
      <c r="BT12" s="2">
        <v>6803</v>
      </c>
      <c r="BU12" s="2">
        <v>38443</v>
      </c>
      <c r="BV12" s="2">
        <v>260376</v>
      </c>
      <c r="BW12" s="2">
        <v>131818</v>
      </c>
      <c r="BX12" s="2">
        <v>254454</v>
      </c>
      <c r="BY12" s="2">
        <f>BG12</f>
        <v>322923</v>
      </c>
      <c r="BZ12" s="2">
        <f t="shared" ref="BZ12:BZ27" si="10">BJ12</f>
        <v>427067</v>
      </c>
      <c r="CA12" s="159"/>
      <c r="CB12" s="159"/>
      <c r="CC12" s="159"/>
    </row>
    <row r="13" spans="2:265" hidden="1" outlineLevel="1">
      <c r="B13" s="21" t="s">
        <v>353</v>
      </c>
      <c r="C13" s="202" t="s">
        <v>128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30848</v>
      </c>
      <c r="P13" s="2">
        <v>59365</v>
      </c>
      <c r="Q13" s="2">
        <v>67893</v>
      </c>
      <c r="R13" s="2">
        <v>74712</v>
      </c>
      <c r="S13" s="2">
        <v>83332</v>
      </c>
      <c r="T13" s="2">
        <v>75782</v>
      </c>
      <c r="U13" s="2">
        <v>75336</v>
      </c>
      <c r="V13" s="2">
        <v>117870</v>
      </c>
      <c r="W13" s="2">
        <v>103805</v>
      </c>
      <c r="X13" s="2">
        <v>88717</v>
      </c>
      <c r="Y13" s="2">
        <v>62143</v>
      </c>
      <c r="Z13" s="2">
        <v>63342</v>
      </c>
      <c r="AA13" s="2">
        <v>70939</v>
      </c>
      <c r="AB13" s="2">
        <v>74231</v>
      </c>
      <c r="AC13" s="2">
        <v>72853</v>
      </c>
      <c r="AD13" s="2">
        <v>103165</v>
      </c>
      <c r="AE13" s="2">
        <v>100989</v>
      </c>
      <c r="AF13" s="2">
        <v>63003</v>
      </c>
      <c r="AG13" s="2">
        <v>40835</v>
      </c>
      <c r="AH13" s="2">
        <v>52207</v>
      </c>
      <c r="AI13" s="2">
        <v>79887</v>
      </c>
      <c r="AJ13" s="2">
        <v>63839</v>
      </c>
      <c r="AK13" s="2">
        <v>44759</v>
      </c>
      <c r="AL13" s="2">
        <v>40754</v>
      </c>
      <c r="AM13" s="2">
        <v>42142</v>
      </c>
      <c r="AN13" s="2">
        <v>12541</v>
      </c>
      <c r="AO13" s="2">
        <v>16065</v>
      </c>
      <c r="AP13" s="2">
        <v>38740</v>
      </c>
      <c r="AQ13" s="2">
        <v>40688</v>
      </c>
      <c r="AR13" s="2">
        <v>13927</v>
      </c>
      <c r="AS13" s="2">
        <v>6896</v>
      </c>
      <c r="AT13" s="2">
        <v>6917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/>
      <c r="BJ13" s="2"/>
      <c r="BK13" s="2"/>
      <c r="BL13" s="2">
        <v>0</v>
      </c>
      <c r="BM13" s="2">
        <v>0</v>
      </c>
      <c r="BN13" s="2">
        <v>30848</v>
      </c>
      <c r="BO13" s="2">
        <v>83332</v>
      </c>
      <c r="BP13" s="2">
        <v>103805</v>
      </c>
      <c r="BQ13" s="2">
        <v>70939</v>
      </c>
      <c r="BR13" s="2">
        <v>100989</v>
      </c>
      <c r="BS13" s="2">
        <v>79887</v>
      </c>
      <c r="BT13" s="2">
        <v>42142</v>
      </c>
      <c r="BU13" s="2">
        <v>40688</v>
      </c>
      <c r="BV13" s="2">
        <v>0</v>
      </c>
      <c r="BW13" s="2">
        <v>0</v>
      </c>
      <c r="BX13" s="2">
        <v>0</v>
      </c>
      <c r="BY13" s="2">
        <f t="shared" ref="BY13:BY42" si="11">BG13</f>
        <v>0</v>
      </c>
      <c r="BZ13" s="2">
        <f t="shared" si="10"/>
        <v>0</v>
      </c>
      <c r="CA13" s="159"/>
      <c r="CB13" s="159"/>
      <c r="CC13" s="159"/>
    </row>
    <row r="14" spans="2:265" hidden="1" outlineLevel="1">
      <c r="B14" s="21" t="s">
        <v>354</v>
      </c>
      <c r="C14" s="202" t="s">
        <v>129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1207</v>
      </c>
      <c r="AO14" s="2">
        <v>1207</v>
      </c>
      <c r="AP14" s="2">
        <v>599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/>
      <c r="BJ14" s="2"/>
      <c r="BK14" s="2"/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f t="shared" si="11"/>
        <v>0</v>
      </c>
      <c r="BZ14" s="2">
        <f t="shared" si="10"/>
        <v>0</v>
      </c>
      <c r="CA14" s="159"/>
      <c r="CB14" s="159"/>
      <c r="CC14" s="159"/>
    </row>
    <row r="15" spans="2:265" hidden="1" outlineLevel="1">
      <c r="B15" s="21" t="s">
        <v>355</v>
      </c>
      <c r="C15" s="202" t="s">
        <v>130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9308</v>
      </c>
      <c r="L15" s="2">
        <v>9546</v>
      </c>
      <c r="M15" s="2">
        <v>9753</v>
      </c>
      <c r="N15" s="2">
        <v>9945</v>
      </c>
      <c r="O15" s="2">
        <v>9605</v>
      </c>
      <c r="P15" s="2">
        <v>9763</v>
      </c>
      <c r="Q15" s="2">
        <v>9942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10726</v>
      </c>
      <c r="AD15" s="2">
        <v>11120</v>
      </c>
      <c r="AE15" s="2">
        <v>11142</v>
      </c>
      <c r="AF15" s="2">
        <v>20864</v>
      </c>
      <c r="AG15" s="2">
        <v>21410</v>
      </c>
      <c r="AH15" s="2">
        <v>11024</v>
      </c>
      <c r="AI15" s="2">
        <v>7332</v>
      </c>
      <c r="AJ15" s="2">
        <v>5566</v>
      </c>
      <c r="AK15" s="2">
        <v>5656</v>
      </c>
      <c r="AL15" s="2">
        <v>15867</v>
      </c>
      <c r="AM15" s="2">
        <v>15611</v>
      </c>
      <c r="AN15" s="2">
        <v>22417</v>
      </c>
      <c r="AO15" s="2">
        <v>22784</v>
      </c>
      <c r="AP15" s="2">
        <v>5687</v>
      </c>
      <c r="AQ15" s="2">
        <v>5759</v>
      </c>
      <c r="AR15" s="2">
        <v>0</v>
      </c>
      <c r="AS15" s="2">
        <v>11032</v>
      </c>
      <c r="AT15" s="2">
        <v>11094</v>
      </c>
      <c r="AU15" s="2">
        <v>0</v>
      </c>
      <c r="AV15" s="2">
        <v>13109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/>
      <c r="BJ15" s="2"/>
      <c r="BK15" s="2"/>
      <c r="BL15" s="2">
        <v>0</v>
      </c>
      <c r="BM15" s="2">
        <v>9308</v>
      </c>
      <c r="BN15" s="2">
        <v>9605</v>
      </c>
      <c r="BO15" s="2">
        <v>0</v>
      </c>
      <c r="BP15" s="2">
        <v>0</v>
      </c>
      <c r="BQ15" s="2">
        <v>0</v>
      </c>
      <c r="BR15" s="2">
        <v>11142</v>
      </c>
      <c r="BS15" s="2">
        <v>7332</v>
      </c>
      <c r="BT15" s="2">
        <v>15611</v>
      </c>
      <c r="BU15" s="2">
        <v>5759</v>
      </c>
      <c r="BV15" s="2">
        <v>0</v>
      </c>
      <c r="BW15" s="2">
        <v>0</v>
      </c>
      <c r="BX15" s="2">
        <v>0</v>
      </c>
      <c r="BY15" s="2">
        <f t="shared" si="11"/>
        <v>0</v>
      </c>
      <c r="BZ15" s="2">
        <f t="shared" si="10"/>
        <v>0</v>
      </c>
      <c r="CA15" s="159"/>
      <c r="CB15" s="159"/>
      <c r="CC15" s="159"/>
    </row>
    <row r="16" spans="2:265" ht="12" customHeight="1" collapsed="1">
      <c r="B16" s="21" t="s">
        <v>356</v>
      </c>
      <c r="C16" s="202" t="s">
        <v>131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21138</v>
      </c>
      <c r="AV16" s="2">
        <v>40459</v>
      </c>
      <c r="AW16" s="2">
        <v>82037</v>
      </c>
      <c r="AX16" s="2">
        <v>50575</v>
      </c>
      <c r="AY16" s="2"/>
      <c r="AZ16" s="2">
        <v>0</v>
      </c>
      <c r="BA16" s="2">
        <v>61937</v>
      </c>
      <c r="BB16" s="2">
        <v>98252</v>
      </c>
      <c r="BC16" s="2">
        <v>83423</v>
      </c>
      <c r="BD16" s="2">
        <v>119445</v>
      </c>
      <c r="BE16" s="2">
        <v>15048</v>
      </c>
      <c r="BF16" s="2">
        <v>6365</v>
      </c>
      <c r="BG16" s="2">
        <v>32312</v>
      </c>
      <c r="BH16" s="2">
        <v>0</v>
      </c>
      <c r="BI16" s="2">
        <v>65000</v>
      </c>
      <c r="BJ16" s="2">
        <v>30843</v>
      </c>
      <c r="BK16" s="2"/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21138</v>
      </c>
      <c r="BW16" s="2">
        <v>0</v>
      </c>
      <c r="BX16" s="2">
        <v>83423</v>
      </c>
      <c r="BY16" s="2">
        <f t="shared" si="11"/>
        <v>32312</v>
      </c>
      <c r="BZ16" s="2">
        <f t="shared" si="10"/>
        <v>30843</v>
      </c>
      <c r="CA16" s="159"/>
      <c r="CB16" s="159"/>
      <c r="CC16" s="159"/>
    </row>
    <row r="17" spans="2:81">
      <c r="B17" s="30" t="s">
        <v>357</v>
      </c>
      <c r="C17" s="203" t="s">
        <v>132</v>
      </c>
      <c r="D17" s="2">
        <v>32761</v>
      </c>
      <c r="E17" s="2">
        <v>52123</v>
      </c>
      <c r="F17" s="2">
        <v>41049</v>
      </c>
      <c r="G17" s="2">
        <v>32761</v>
      </c>
      <c r="H17" s="2">
        <v>16139</v>
      </c>
      <c r="I17" s="2">
        <v>29742</v>
      </c>
      <c r="J17" s="2">
        <v>54463</v>
      </c>
      <c r="K17" s="2">
        <v>49739</v>
      </c>
      <c r="L17" s="2">
        <v>44196</v>
      </c>
      <c r="M17" s="2">
        <v>45768</v>
      </c>
      <c r="N17" s="2">
        <v>31549</v>
      </c>
      <c r="O17" s="2">
        <v>50586</v>
      </c>
      <c r="P17" s="2">
        <v>62414</v>
      </c>
      <c r="Q17" s="2">
        <v>53004</v>
      </c>
      <c r="R17" s="2">
        <v>59358</v>
      </c>
      <c r="S17" s="2">
        <v>43430</v>
      </c>
      <c r="T17" s="2">
        <v>38647</v>
      </c>
      <c r="U17" s="2">
        <v>28699</v>
      </c>
      <c r="V17" s="2">
        <v>86400</v>
      </c>
      <c r="W17" s="2">
        <v>90557</v>
      </c>
      <c r="X17" s="2">
        <v>74335</v>
      </c>
      <c r="Y17" s="2">
        <v>70963</v>
      </c>
      <c r="Z17" s="2">
        <v>87698</v>
      </c>
      <c r="AA17" s="2">
        <v>123614</v>
      </c>
      <c r="AB17" s="2">
        <v>84569</v>
      </c>
      <c r="AC17" s="2">
        <v>57572</v>
      </c>
      <c r="AD17" s="2">
        <v>49326</v>
      </c>
      <c r="AE17" s="2">
        <v>66154</v>
      </c>
      <c r="AF17" s="2">
        <v>36786</v>
      </c>
      <c r="AG17" s="2">
        <v>50364</v>
      </c>
      <c r="AH17" s="2">
        <v>59458</v>
      </c>
      <c r="AI17" s="2">
        <v>52769</v>
      </c>
      <c r="AJ17" s="2">
        <v>26833</v>
      </c>
      <c r="AK17" s="2">
        <v>15638</v>
      </c>
      <c r="AL17" s="2">
        <v>26164</v>
      </c>
      <c r="AM17" s="2">
        <v>54409</v>
      </c>
      <c r="AN17" s="2">
        <v>38856</v>
      </c>
      <c r="AO17" s="2">
        <v>50042</v>
      </c>
      <c r="AP17" s="2">
        <v>63140</v>
      </c>
      <c r="AQ17" s="2">
        <v>66074</v>
      </c>
      <c r="AR17" s="2">
        <v>64629</v>
      </c>
      <c r="AS17" s="2">
        <v>37587</v>
      </c>
      <c r="AT17" s="2">
        <v>56288</v>
      </c>
      <c r="AU17" s="2">
        <v>85002</v>
      </c>
      <c r="AV17" s="2">
        <v>90391</v>
      </c>
      <c r="AW17" s="2">
        <v>86694</v>
      </c>
      <c r="AX17" s="2">
        <v>104781</v>
      </c>
      <c r="AY17" s="2">
        <v>111228</v>
      </c>
      <c r="AZ17" s="2">
        <v>120023</v>
      </c>
      <c r="BA17" s="2">
        <v>160666</v>
      </c>
      <c r="BB17" s="2">
        <v>204135</v>
      </c>
      <c r="BC17" s="2">
        <v>189317</v>
      </c>
      <c r="BD17" s="2">
        <v>169856</v>
      </c>
      <c r="BE17" s="2">
        <v>147827</v>
      </c>
      <c r="BF17" s="2">
        <v>220750</v>
      </c>
      <c r="BG17" s="2">
        <v>308132</v>
      </c>
      <c r="BH17" s="2">
        <v>264293</v>
      </c>
      <c r="BI17" s="2">
        <v>183670</v>
      </c>
      <c r="BJ17" s="2">
        <v>249082</v>
      </c>
      <c r="BK17" s="2"/>
      <c r="BL17" s="2">
        <v>32761</v>
      </c>
      <c r="BM17" s="2">
        <v>49739</v>
      </c>
      <c r="BN17" s="2">
        <v>50586</v>
      </c>
      <c r="BO17" s="2">
        <v>43430</v>
      </c>
      <c r="BP17" s="2">
        <v>90557</v>
      </c>
      <c r="BQ17" s="2">
        <v>123614</v>
      </c>
      <c r="BR17" s="2">
        <v>66154</v>
      </c>
      <c r="BS17" s="2">
        <v>52769</v>
      </c>
      <c r="BT17" s="2">
        <v>54409</v>
      </c>
      <c r="BU17" s="2">
        <v>66074</v>
      </c>
      <c r="BV17" s="2">
        <v>85002</v>
      </c>
      <c r="BW17" s="2">
        <v>111228</v>
      </c>
      <c r="BX17" s="2">
        <v>189317</v>
      </c>
      <c r="BY17" s="2">
        <f t="shared" si="11"/>
        <v>308132</v>
      </c>
      <c r="BZ17" s="2">
        <f t="shared" si="10"/>
        <v>249082</v>
      </c>
      <c r="CA17" s="159"/>
      <c r="CB17" s="159"/>
      <c r="CC17" s="159"/>
    </row>
    <row r="18" spans="2:81">
      <c r="B18" s="30" t="s">
        <v>358</v>
      </c>
      <c r="C18" s="202" t="s">
        <v>133</v>
      </c>
      <c r="D18" s="2">
        <v>60167</v>
      </c>
      <c r="E18" s="2">
        <v>66315</v>
      </c>
      <c r="F18" s="2">
        <v>80813</v>
      </c>
      <c r="G18" s="2">
        <v>60167</v>
      </c>
      <c r="H18" s="2">
        <v>72091</v>
      </c>
      <c r="I18" s="2">
        <v>68303</v>
      </c>
      <c r="J18" s="2">
        <v>68510</v>
      </c>
      <c r="K18" s="2">
        <v>74454</v>
      </c>
      <c r="L18" s="2">
        <v>70326</v>
      </c>
      <c r="M18" s="2">
        <v>82734</v>
      </c>
      <c r="N18" s="2">
        <v>96758</v>
      </c>
      <c r="O18" s="2">
        <v>85311</v>
      </c>
      <c r="P18" s="2">
        <v>82659</v>
      </c>
      <c r="Q18" s="2">
        <v>100000</v>
      </c>
      <c r="R18" s="2">
        <v>112001</v>
      </c>
      <c r="S18" s="2">
        <v>150413</v>
      </c>
      <c r="T18" s="2">
        <v>188577</v>
      </c>
      <c r="U18" s="2">
        <v>195397</v>
      </c>
      <c r="V18" s="2">
        <v>178032</v>
      </c>
      <c r="W18" s="2">
        <v>157509</v>
      </c>
      <c r="X18" s="2">
        <v>185880</v>
      </c>
      <c r="Y18" s="2">
        <v>181351</v>
      </c>
      <c r="Z18" s="2">
        <v>156075</v>
      </c>
      <c r="AA18" s="2">
        <v>110495</v>
      </c>
      <c r="AB18" s="2">
        <v>101576</v>
      </c>
      <c r="AC18" s="2">
        <v>95313</v>
      </c>
      <c r="AD18" s="2">
        <v>82427</v>
      </c>
      <c r="AE18" s="2">
        <v>65100</v>
      </c>
      <c r="AF18" s="2">
        <v>91617</v>
      </c>
      <c r="AG18" s="2">
        <v>106749</v>
      </c>
      <c r="AH18" s="2">
        <v>102795</v>
      </c>
      <c r="AI18" s="2">
        <v>78131</v>
      </c>
      <c r="AJ18" s="2">
        <v>73976</v>
      </c>
      <c r="AK18" s="2">
        <v>96237</v>
      </c>
      <c r="AL18" s="2">
        <v>116900</v>
      </c>
      <c r="AM18" s="2">
        <v>110710</v>
      </c>
      <c r="AN18" s="2">
        <v>115422</v>
      </c>
      <c r="AO18" s="2">
        <v>120391</v>
      </c>
      <c r="AP18" s="2">
        <v>126682</v>
      </c>
      <c r="AQ18" s="2">
        <v>119922</v>
      </c>
      <c r="AR18" s="2">
        <v>116543</v>
      </c>
      <c r="AS18" s="2">
        <v>122832</v>
      </c>
      <c r="AT18" s="2">
        <v>138751</v>
      </c>
      <c r="AU18" s="2">
        <v>147528</v>
      </c>
      <c r="AV18" s="2">
        <v>170526</v>
      </c>
      <c r="AW18" s="2">
        <v>211728</v>
      </c>
      <c r="AX18" s="2">
        <v>331116</v>
      </c>
      <c r="AY18" s="2">
        <v>322464</v>
      </c>
      <c r="AZ18" s="2">
        <v>326031</v>
      </c>
      <c r="BA18" s="2">
        <v>378481</v>
      </c>
      <c r="BB18" s="2">
        <v>371601</v>
      </c>
      <c r="BC18" s="2">
        <v>311618</v>
      </c>
      <c r="BD18" s="2">
        <v>293596</v>
      </c>
      <c r="BE18" s="2">
        <v>280772</v>
      </c>
      <c r="BF18" s="2">
        <v>299562</v>
      </c>
      <c r="BG18" s="2">
        <v>254147</v>
      </c>
      <c r="BH18" s="2">
        <v>260236</v>
      </c>
      <c r="BI18" s="2">
        <v>268206</v>
      </c>
      <c r="BJ18" s="2">
        <v>287765</v>
      </c>
      <c r="BK18" s="2"/>
      <c r="BL18" s="2">
        <v>60167</v>
      </c>
      <c r="BM18" s="2">
        <v>74454</v>
      </c>
      <c r="BN18" s="2">
        <v>85311</v>
      </c>
      <c r="BO18" s="2">
        <v>150413</v>
      </c>
      <c r="BP18" s="2">
        <v>157509</v>
      </c>
      <c r="BQ18" s="2">
        <v>110495</v>
      </c>
      <c r="BR18" s="2">
        <v>65100</v>
      </c>
      <c r="BS18" s="2">
        <v>78131</v>
      </c>
      <c r="BT18" s="2">
        <v>110710</v>
      </c>
      <c r="BU18" s="2">
        <v>119922</v>
      </c>
      <c r="BV18" s="2">
        <v>147528</v>
      </c>
      <c r="BW18" s="2">
        <v>322464</v>
      </c>
      <c r="BX18" s="2">
        <v>311618</v>
      </c>
      <c r="BY18" s="2">
        <f t="shared" si="11"/>
        <v>254147</v>
      </c>
      <c r="BZ18" s="2">
        <f t="shared" si="10"/>
        <v>287765</v>
      </c>
      <c r="CA18" s="159"/>
      <c r="CB18" s="159"/>
      <c r="CC18" s="159"/>
    </row>
    <row r="19" spans="2:81" hidden="1" outlineLevel="1">
      <c r="B19" s="30" t="s">
        <v>359</v>
      </c>
      <c r="C19" s="202" t="s">
        <v>134</v>
      </c>
      <c r="D19" s="2">
        <v>0</v>
      </c>
      <c r="E19" s="2">
        <v>0</v>
      </c>
      <c r="F19" s="2">
        <v>17657</v>
      </c>
      <c r="G19" s="2">
        <v>14658</v>
      </c>
      <c r="H19" s="2"/>
      <c r="I19" s="2">
        <v>9922</v>
      </c>
      <c r="J19" s="2">
        <v>15541</v>
      </c>
      <c r="K19" s="2"/>
      <c r="L19" s="2"/>
      <c r="M19" s="2"/>
      <c r="N19" s="2"/>
      <c r="O19" s="2">
        <v>3448</v>
      </c>
      <c r="P19" s="2">
        <v>3458</v>
      </c>
      <c r="Q19" s="2">
        <v>3505</v>
      </c>
      <c r="R19" s="2">
        <v>3372</v>
      </c>
      <c r="S19" s="2">
        <v>5316</v>
      </c>
      <c r="T19" s="2">
        <v>5079</v>
      </c>
      <c r="U19" s="2">
        <v>5389</v>
      </c>
      <c r="V19" s="2">
        <v>6416</v>
      </c>
      <c r="W19" s="2">
        <v>15295</v>
      </c>
      <c r="X19" s="2">
        <v>16628</v>
      </c>
      <c r="Y19" s="2">
        <v>18442</v>
      </c>
      <c r="Z19" s="2">
        <v>18414</v>
      </c>
      <c r="AA19" s="2">
        <v>19240</v>
      </c>
      <c r="AB19" s="2">
        <v>19789</v>
      </c>
      <c r="AC19" s="2">
        <v>20174</v>
      </c>
      <c r="AD19" s="2">
        <v>19711</v>
      </c>
      <c r="AE19" s="2">
        <v>0</v>
      </c>
      <c r="AF19" s="2">
        <v>18103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8059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/>
      <c r="BL19" s="2">
        <v>14658</v>
      </c>
      <c r="BM19" s="2">
        <v>0</v>
      </c>
      <c r="BN19" s="2">
        <v>3448</v>
      </c>
      <c r="BO19" s="2">
        <v>5316</v>
      </c>
      <c r="BP19" s="2">
        <v>15295</v>
      </c>
      <c r="BQ19" s="2">
        <v>19240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f t="shared" si="11"/>
        <v>0</v>
      </c>
      <c r="BZ19" s="2">
        <f t="shared" si="10"/>
        <v>0</v>
      </c>
      <c r="CA19" s="159"/>
      <c r="CB19" s="159"/>
      <c r="CC19" s="159"/>
    </row>
    <row r="20" spans="2:81" collapsed="1">
      <c r="B20" s="30" t="s">
        <v>360</v>
      </c>
      <c r="C20" s="202" t="s">
        <v>135</v>
      </c>
      <c r="D20" s="2">
        <v>14658</v>
      </c>
      <c r="E20" s="2">
        <v>20215</v>
      </c>
      <c r="F20" s="2">
        <v>0</v>
      </c>
      <c r="G20" s="2">
        <v>0</v>
      </c>
      <c r="H20" s="2">
        <v>14263</v>
      </c>
      <c r="I20" s="2"/>
      <c r="J20" s="2"/>
      <c r="K20" s="2">
        <v>16815</v>
      </c>
      <c r="L20" s="2">
        <v>14853</v>
      </c>
      <c r="M20" s="2">
        <v>17483</v>
      </c>
      <c r="N20" s="2">
        <v>18156</v>
      </c>
      <c r="O20" s="2">
        <v>15062</v>
      </c>
      <c r="P20" s="2">
        <v>11601</v>
      </c>
      <c r="Q20" s="2">
        <v>12306</v>
      </c>
      <c r="R20" s="2">
        <v>9714</v>
      </c>
      <c r="S20" s="2">
        <v>13345</v>
      </c>
      <c r="T20" s="2">
        <v>22727</v>
      </c>
      <c r="U20" s="2">
        <v>15583</v>
      </c>
      <c r="V20" s="2">
        <v>15304</v>
      </c>
      <c r="W20" s="2">
        <v>24759</v>
      </c>
      <c r="X20" s="2">
        <v>28851</v>
      </c>
      <c r="Y20" s="2">
        <v>32427</v>
      </c>
      <c r="Z20" s="2">
        <v>28369</v>
      </c>
      <c r="AA20" s="2">
        <v>19000</v>
      </c>
      <c r="AB20" s="2">
        <v>17862</v>
      </c>
      <c r="AC20" s="2">
        <v>17006</v>
      </c>
      <c r="AD20" s="2">
        <v>19241</v>
      </c>
      <c r="AE20" s="2">
        <v>43164</v>
      </c>
      <c r="AF20" s="2">
        <v>27250</v>
      </c>
      <c r="AG20" s="2">
        <v>50455</v>
      </c>
      <c r="AH20" s="2">
        <v>61108</v>
      </c>
      <c r="AI20" s="2">
        <v>62381</v>
      </c>
      <c r="AJ20" s="2">
        <v>60742</v>
      </c>
      <c r="AK20" s="2">
        <v>57697</v>
      </c>
      <c r="AL20" s="2">
        <v>66120</v>
      </c>
      <c r="AM20" s="2">
        <v>75715</v>
      </c>
      <c r="AN20" s="2">
        <v>68318</v>
      </c>
      <c r="AO20" s="2">
        <v>53889</v>
      </c>
      <c r="AP20" s="2">
        <v>45133</v>
      </c>
      <c r="AQ20" s="2">
        <v>11741</v>
      </c>
      <c r="AR20" s="2">
        <v>7469</v>
      </c>
      <c r="AS20" s="2">
        <v>17668</v>
      </c>
      <c r="AT20" s="2">
        <v>23887</v>
      </c>
      <c r="AU20" s="2">
        <v>25918</v>
      </c>
      <c r="AV20" s="2">
        <v>31470</v>
      </c>
      <c r="AW20" s="2">
        <v>39513</v>
      </c>
      <c r="AX20" s="2">
        <v>51675</v>
      </c>
      <c r="AY20" s="2">
        <v>45678</v>
      </c>
      <c r="AZ20" s="2">
        <v>37109</v>
      </c>
      <c r="BA20" s="2">
        <v>49849</v>
      </c>
      <c r="BB20" s="2">
        <v>56214</v>
      </c>
      <c r="BC20" s="2">
        <v>53987</v>
      </c>
      <c r="BD20" s="2">
        <v>49577</v>
      </c>
      <c r="BE20" s="2">
        <v>59855</v>
      </c>
      <c r="BF20" s="2">
        <v>66628</v>
      </c>
      <c r="BG20" s="2">
        <v>43802</v>
      </c>
      <c r="BH20" s="2">
        <v>48563</v>
      </c>
      <c r="BI20" s="2">
        <v>52436</v>
      </c>
      <c r="BJ20" s="2">
        <v>59965</v>
      </c>
      <c r="BK20" s="2"/>
      <c r="BL20" s="2">
        <v>0</v>
      </c>
      <c r="BM20" s="2">
        <v>16815</v>
      </c>
      <c r="BN20" s="2">
        <v>15062</v>
      </c>
      <c r="BO20" s="2">
        <v>13345</v>
      </c>
      <c r="BP20" s="2">
        <v>24759</v>
      </c>
      <c r="BQ20" s="2">
        <v>19000</v>
      </c>
      <c r="BR20" s="2">
        <v>43164</v>
      </c>
      <c r="BS20" s="2">
        <v>62381</v>
      </c>
      <c r="BT20" s="2">
        <v>75715</v>
      </c>
      <c r="BU20" s="2">
        <v>11741</v>
      </c>
      <c r="BV20" s="2">
        <v>25918</v>
      </c>
      <c r="BW20" s="2">
        <v>45678</v>
      </c>
      <c r="BX20" s="2">
        <v>53987</v>
      </c>
      <c r="BY20" s="2">
        <f t="shared" si="11"/>
        <v>43802</v>
      </c>
      <c r="BZ20" s="2">
        <f t="shared" si="10"/>
        <v>59965</v>
      </c>
      <c r="CA20" s="159"/>
      <c r="CB20" s="159"/>
      <c r="CC20" s="159"/>
    </row>
    <row r="21" spans="2:81" hidden="1" outlineLevel="1">
      <c r="B21" s="30" t="s">
        <v>361</v>
      </c>
      <c r="C21" s="202" t="s">
        <v>136</v>
      </c>
      <c r="D21" s="2">
        <v>351</v>
      </c>
      <c r="E21" s="2">
        <v>333</v>
      </c>
      <c r="F21" s="2">
        <v>305</v>
      </c>
      <c r="G21" s="2">
        <v>351</v>
      </c>
      <c r="H21" s="2">
        <v>365</v>
      </c>
      <c r="I21" s="2">
        <v>254</v>
      </c>
      <c r="J21" s="2">
        <v>597</v>
      </c>
      <c r="K21" s="2">
        <v>369</v>
      </c>
      <c r="L21" s="2">
        <v>259</v>
      </c>
      <c r="M21" s="2">
        <v>159</v>
      </c>
      <c r="N21" s="2">
        <v>267</v>
      </c>
      <c r="O21" s="2">
        <v>430</v>
      </c>
      <c r="P21" s="2">
        <v>284</v>
      </c>
      <c r="Q21" s="2">
        <v>691</v>
      </c>
      <c r="R21" s="2">
        <v>285</v>
      </c>
      <c r="S21" s="2">
        <v>652</v>
      </c>
      <c r="T21" s="2">
        <v>729</v>
      </c>
      <c r="U21" s="2">
        <v>648</v>
      </c>
      <c r="V21" s="2">
        <v>962</v>
      </c>
      <c r="W21" s="2">
        <v>1218</v>
      </c>
      <c r="X21" s="2">
        <v>1347</v>
      </c>
      <c r="Y21" s="2">
        <v>1234</v>
      </c>
      <c r="Z21" s="2">
        <v>1144</v>
      </c>
      <c r="AA21" s="2">
        <v>587</v>
      </c>
      <c r="AB21" s="2">
        <v>273</v>
      </c>
      <c r="AC21" s="2">
        <v>363</v>
      </c>
      <c r="AD21" s="2">
        <v>674</v>
      </c>
      <c r="AE21" s="2">
        <v>578</v>
      </c>
      <c r="AF21" s="2">
        <v>216</v>
      </c>
      <c r="AG21" s="2">
        <v>283</v>
      </c>
      <c r="AH21" s="2">
        <v>598</v>
      </c>
      <c r="AI21" s="2">
        <v>690</v>
      </c>
      <c r="AJ21" s="2">
        <v>310</v>
      </c>
      <c r="AK21" s="2">
        <v>865</v>
      </c>
      <c r="AL21" s="2">
        <v>690</v>
      </c>
      <c r="AM21" s="2">
        <v>1026</v>
      </c>
      <c r="AN21" s="2">
        <v>2459</v>
      </c>
      <c r="AO21" s="2">
        <v>2264</v>
      </c>
      <c r="AP21" s="2">
        <v>1534</v>
      </c>
      <c r="AQ21" s="2">
        <v>1678</v>
      </c>
      <c r="AR21" s="2">
        <v>2996</v>
      </c>
      <c r="AS21" s="2">
        <v>2222</v>
      </c>
      <c r="AT21" s="2">
        <v>2299</v>
      </c>
      <c r="AU21" s="2">
        <v>4599</v>
      </c>
      <c r="AV21" s="2">
        <f>4684-4684</f>
        <v>0</v>
      </c>
      <c r="AW21" s="2">
        <f>5838-5838</f>
        <v>0</v>
      </c>
      <c r="AX21" s="2">
        <f>7635-7635</f>
        <v>0</v>
      </c>
      <c r="AY21" s="2">
        <f>5834-5834</f>
        <v>0</v>
      </c>
      <c r="AZ21" s="2">
        <f>4716-4716</f>
        <v>0</v>
      </c>
      <c r="BA21" s="2">
        <f>6402-6402</f>
        <v>0</v>
      </c>
      <c r="BB21" s="2">
        <f>5904-5904</f>
        <v>0</v>
      </c>
      <c r="BC21" s="2">
        <f>4896-4896</f>
        <v>0</v>
      </c>
      <c r="BD21" s="2">
        <f>5881-5881</f>
        <v>0</v>
      </c>
      <c r="BE21" s="2">
        <f>4504-4504</f>
        <v>0</v>
      </c>
      <c r="BF21" s="2">
        <f>4305-4305</f>
        <v>0</v>
      </c>
      <c r="BG21" s="2">
        <v>0</v>
      </c>
      <c r="BH21" s="2">
        <v>0</v>
      </c>
      <c r="BI21" s="2"/>
      <c r="BJ21" s="2"/>
      <c r="BK21" s="2"/>
      <c r="BL21" s="2">
        <v>351</v>
      </c>
      <c r="BM21" s="2">
        <v>369</v>
      </c>
      <c r="BN21" s="2">
        <v>430</v>
      </c>
      <c r="BO21" s="2">
        <v>652</v>
      </c>
      <c r="BP21" s="2">
        <v>1218</v>
      </c>
      <c r="BQ21" s="2">
        <v>587</v>
      </c>
      <c r="BR21" s="2">
        <v>578</v>
      </c>
      <c r="BS21" s="2">
        <v>690</v>
      </c>
      <c r="BT21" s="2">
        <v>1026</v>
      </c>
      <c r="BU21" s="2">
        <v>1678</v>
      </c>
      <c r="BV21" s="2">
        <v>4599</v>
      </c>
      <c r="BW21" s="2">
        <f>5834-5834</f>
        <v>0</v>
      </c>
      <c r="BX21" s="2">
        <f>4896-4896</f>
        <v>0</v>
      </c>
      <c r="BY21" s="2">
        <f t="shared" si="11"/>
        <v>0</v>
      </c>
      <c r="BZ21" s="2">
        <f t="shared" si="10"/>
        <v>0</v>
      </c>
      <c r="CA21" s="159"/>
      <c r="CB21" s="159"/>
      <c r="CC21" s="159"/>
    </row>
    <row r="22" spans="2:81" hidden="1" outlineLevel="1" collapsed="1">
      <c r="B22" s="21" t="s">
        <v>362</v>
      </c>
      <c r="C22" s="202" t="s">
        <v>137</v>
      </c>
      <c r="D22" s="2">
        <v>2514</v>
      </c>
      <c r="E22" s="2">
        <v>6278</v>
      </c>
      <c r="F22" s="2">
        <v>3008</v>
      </c>
      <c r="G22" s="2">
        <v>2514</v>
      </c>
      <c r="H22" s="2">
        <v>2311</v>
      </c>
      <c r="I22" s="2">
        <v>2388</v>
      </c>
      <c r="J22" s="2">
        <v>5890</v>
      </c>
      <c r="K22" s="2">
        <v>1540</v>
      </c>
      <c r="L22" s="2">
        <v>4275</v>
      </c>
      <c r="M22" s="2">
        <v>4017</v>
      </c>
      <c r="N22" s="2">
        <v>6870</v>
      </c>
      <c r="O22" s="2">
        <v>3341</v>
      </c>
      <c r="P22" s="2">
        <v>4419</v>
      </c>
      <c r="Q22" s="2">
        <v>13443</v>
      </c>
      <c r="R22" s="2">
        <v>7819</v>
      </c>
      <c r="S22" s="2">
        <v>15458</v>
      </c>
      <c r="T22" s="2">
        <v>10376</v>
      </c>
      <c r="U22" s="2">
        <v>7481</v>
      </c>
      <c r="V22" s="2">
        <v>12825</v>
      </c>
      <c r="W22" s="2">
        <v>322</v>
      </c>
      <c r="X22" s="2">
        <v>4043</v>
      </c>
      <c r="Y22" s="2">
        <v>2529</v>
      </c>
      <c r="Z22" s="2">
        <v>993</v>
      </c>
      <c r="AA22" s="2">
        <v>1055</v>
      </c>
      <c r="AB22" s="2">
        <v>859</v>
      </c>
      <c r="AC22" s="2">
        <v>731</v>
      </c>
      <c r="AD22" s="2">
        <v>1351</v>
      </c>
      <c r="AE22" s="2">
        <v>1063</v>
      </c>
      <c r="AF22" s="2">
        <v>368</v>
      </c>
      <c r="AG22" s="2">
        <v>260</v>
      </c>
      <c r="AH22" s="2">
        <v>206</v>
      </c>
      <c r="AI22" s="2">
        <v>372</v>
      </c>
      <c r="AJ22" s="2">
        <v>1013</v>
      </c>
      <c r="AK22" s="2">
        <v>1396</v>
      </c>
      <c r="AL22" s="2">
        <v>382</v>
      </c>
      <c r="AM22" s="2">
        <v>1110</v>
      </c>
      <c r="AN22" s="2">
        <v>835</v>
      </c>
      <c r="AO22" s="2">
        <v>100</v>
      </c>
      <c r="AP22" s="2">
        <v>253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2856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/>
      <c r="BK22" s="2"/>
      <c r="BL22" s="2">
        <v>2514</v>
      </c>
      <c r="BM22" s="2">
        <v>1540</v>
      </c>
      <c r="BN22" s="2">
        <v>3341</v>
      </c>
      <c r="BO22" s="2">
        <v>15458</v>
      </c>
      <c r="BP22" s="2">
        <v>322</v>
      </c>
      <c r="BQ22" s="2">
        <v>1055</v>
      </c>
      <c r="BR22" s="2">
        <v>1063</v>
      </c>
      <c r="BS22" s="2">
        <v>372</v>
      </c>
      <c r="BT22" s="2">
        <v>1110</v>
      </c>
      <c r="BU22" s="2">
        <v>0</v>
      </c>
      <c r="BV22" s="2">
        <v>0</v>
      </c>
      <c r="BW22" s="2">
        <v>0</v>
      </c>
      <c r="BX22" s="2">
        <v>0</v>
      </c>
      <c r="BY22" s="2">
        <f t="shared" si="11"/>
        <v>0</v>
      </c>
      <c r="BZ22" s="2">
        <f t="shared" si="10"/>
        <v>0</v>
      </c>
      <c r="CA22" s="159"/>
      <c r="CB22" s="159"/>
      <c r="CC22" s="159"/>
    </row>
    <row r="23" spans="2:81" collapsed="1">
      <c r="B23" s="21" t="s">
        <v>363</v>
      </c>
      <c r="C23" s="202" t="s">
        <v>246</v>
      </c>
      <c r="D23" s="2">
        <v>0</v>
      </c>
      <c r="E23" s="2">
        <v>853</v>
      </c>
      <c r="F23" s="2">
        <v>1193</v>
      </c>
      <c r="G23" s="2">
        <v>1799</v>
      </c>
      <c r="H23" s="2">
        <v>2180</v>
      </c>
      <c r="I23" s="2">
        <v>2194</v>
      </c>
      <c r="J23" s="2">
        <v>2305</v>
      </c>
      <c r="K23" s="2">
        <v>3545</v>
      </c>
      <c r="L23" s="2">
        <v>1601</v>
      </c>
      <c r="M23" s="2">
        <v>1877</v>
      </c>
      <c r="N23" s="2">
        <v>1945</v>
      </c>
      <c r="O23" s="2">
        <v>1917</v>
      </c>
      <c r="P23" s="2">
        <v>2807</v>
      </c>
      <c r="Q23" s="2">
        <v>4156</v>
      </c>
      <c r="R23" s="2">
        <v>5285</v>
      </c>
      <c r="S23" s="2">
        <v>4546</v>
      </c>
      <c r="T23" s="2">
        <v>5103</v>
      </c>
      <c r="U23" s="2">
        <v>9906</v>
      </c>
      <c r="V23" s="2">
        <v>10144</v>
      </c>
      <c r="W23" s="2">
        <v>7058</v>
      </c>
      <c r="X23" s="2">
        <v>4490</v>
      </c>
      <c r="Y23" s="2">
        <v>6404</v>
      </c>
      <c r="Z23" s="2">
        <v>7126</v>
      </c>
      <c r="AA23" s="2">
        <v>9408</v>
      </c>
      <c r="AB23" s="2">
        <v>4933</v>
      </c>
      <c r="AC23" s="2">
        <v>4339</v>
      </c>
      <c r="AD23" s="2">
        <v>5002</v>
      </c>
      <c r="AE23" s="2">
        <v>5661</v>
      </c>
      <c r="AF23" s="2">
        <v>5705</v>
      </c>
      <c r="AG23" s="2">
        <v>7064</v>
      </c>
      <c r="AH23" s="2">
        <v>6989</v>
      </c>
      <c r="AI23" s="2">
        <v>8142</v>
      </c>
      <c r="AJ23" s="2">
        <v>5552</v>
      </c>
      <c r="AK23" s="2">
        <v>6683</v>
      </c>
      <c r="AL23" s="2">
        <v>6849</v>
      </c>
      <c r="AM23" s="2">
        <v>8708</v>
      </c>
      <c r="AN23" s="2">
        <v>6642</v>
      </c>
      <c r="AO23" s="2">
        <v>5866</v>
      </c>
      <c r="AP23" s="2">
        <v>4887</v>
      </c>
      <c r="AQ23" s="2">
        <v>6012</v>
      </c>
      <c r="AR23" s="2">
        <v>5566</v>
      </c>
      <c r="AS23" s="2">
        <v>4281</v>
      </c>
      <c r="AT23" s="2">
        <v>5253</v>
      </c>
      <c r="AU23" s="2">
        <v>5478</v>
      </c>
      <c r="AV23" s="2">
        <f>11581+4684</f>
        <v>16265</v>
      </c>
      <c r="AW23" s="2">
        <f>6432+5838</f>
        <v>12270</v>
      </c>
      <c r="AX23" s="2">
        <f>3321+7635</f>
        <v>10956</v>
      </c>
      <c r="AY23" s="2">
        <f>5307+5834</f>
        <v>11141</v>
      </c>
      <c r="AZ23" s="2">
        <f>5553+4716</f>
        <v>10269</v>
      </c>
      <c r="BA23" s="2">
        <f>8846+6402</f>
        <v>15248</v>
      </c>
      <c r="BB23" s="2">
        <f>8167+5904</f>
        <v>14071</v>
      </c>
      <c r="BC23" s="2">
        <f>15012+4896</f>
        <v>19908</v>
      </c>
      <c r="BD23" s="2">
        <f>18343+5881</f>
        <v>24224</v>
      </c>
      <c r="BE23" s="2">
        <f>17460+4504</f>
        <v>21964</v>
      </c>
      <c r="BF23" s="2">
        <f>17199+4305</f>
        <v>21504</v>
      </c>
      <c r="BG23" s="2">
        <v>20592</v>
      </c>
      <c r="BH23" s="2">
        <v>23121</v>
      </c>
      <c r="BI23" s="2">
        <v>26359</v>
      </c>
      <c r="BJ23" s="2">
        <v>23444</v>
      </c>
      <c r="BK23" s="2"/>
      <c r="BL23" s="2">
        <v>1799</v>
      </c>
      <c r="BM23" s="2">
        <v>3545</v>
      </c>
      <c r="BN23" s="2">
        <v>1917</v>
      </c>
      <c r="BO23" s="2">
        <v>4546</v>
      </c>
      <c r="BP23" s="2">
        <v>7058</v>
      </c>
      <c r="BQ23" s="2">
        <v>9408</v>
      </c>
      <c r="BR23" s="2">
        <v>5661</v>
      </c>
      <c r="BS23" s="2">
        <v>8142</v>
      </c>
      <c r="BT23" s="2">
        <v>8708</v>
      </c>
      <c r="BU23" s="2">
        <v>6012</v>
      </c>
      <c r="BV23" s="2">
        <v>5478</v>
      </c>
      <c r="BW23" s="2">
        <f>5307+5834</f>
        <v>11141</v>
      </c>
      <c r="BX23" s="2">
        <f>15012+4896</f>
        <v>19908</v>
      </c>
      <c r="BY23" s="2">
        <f t="shared" si="11"/>
        <v>20592</v>
      </c>
      <c r="BZ23" s="2">
        <f t="shared" si="10"/>
        <v>23444</v>
      </c>
      <c r="CA23" s="159"/>
      <c r="CB23" s="159"/>
      <c r="CC23" s="159"/>
    </row>
    <row r="24" spans="2:81" hidden="1" outlineLevel="1">
      <c r="B24" s="30" t="s">
        <v>364</v>
      </c>
      <c r="C24" s="202" t="s">
        <v>138</v>
      </c>
      <c r="D24" s="2">
        <v>1799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1060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/>
      <c r="BJ24" s="2"/>
      <c r="BK24" s="2"/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f t="shared" si="11"/>
        <v>0</v>
      </c>
      <c r="BZ24" s="2">
        <f t="shared" si="10"/>
        <v>0</v>
      </c>
      <c r="CA24" s="159"/>
      <c r="CB24" s="159"/>
      <c r="CC24" s="159"/>
    </row>
    <row r="25" spans="2:81" hidden="1" outlineLevel="1">
      <c r="B25" s="30" t="s">
        <v>365</v>
      </c>
      <c r="C25" s="203" t="s">
        <v>139</v>
      </c>
      <c r="D25" s="2">
        <v>423</v>
      </c>
      <c r="E25" s="2">
        <v>0</v>
      </c>
      <c r="F25" s="2">
        <v>246</v>
      </c>
      <c r="G25" s="2">
        <v>423</v>
      </c>
      <c r="H25" s="2">
        <v>115</v>
      </c>
      <c r="I25" s="2">
        <v>0</v>
      </c>
      <c r="J25" s="2">
        <v>0</v>
      </c>
      <c r="K25" s="2">
        <v>13</v>
      </c>
      <c r="L25" s="2">
        <v>271</v>
      </c>
      <c r="M25" s="2">
        <v>225</v>
      </c>
      <c r="N25" s="2">
        <v>0</v>
      </c>
      <c r="O25" s="2">
        <v>0</v>
      </c>
      <c r="P25" s="2">
        <v>23</v>
      </c>
      <c r="Q25" s="2">
        <v>394</v>
      </c>
      <c r="R25" s="2">
        <v>777</v>
      </c>
      <c r="S25" s="2">
        <v>0</v>
      </c>
      <c r="T25" s="2">
        <v>1228</v>
      </c>
      <c r="U25" s="2">
        <v>72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506</v>
      </c>
      <c r="AD25" s="2">
        <v>31</v>
      </c>
      <c r="AE25" s="2">
        <v>187</v>
      </c>
      <c r="AF25" s="2">
        <v>43</v>
      </c>
      <c r="AG25" s="2">
        <v>11</v>
      </c>
      <c r="AH25" s="2">
        <v>0</v>
      </c>
      <c r="AI25" s="2">
        <v>196</v>
      </c>
      <c r="AJ25" s="2">
        <v>290</v>
      </c>
      <c r="AK25" s="2">
        <v>1626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/>
      <c r="BJ25" s="2"/>
      <c r="BK25" s="2"/>
      <c r="BL25" s="2">
        <v>423</v>
      </c>
      <c r="BM25" s="2">
        <v>13</v>
      </c>
      <c r="BN25" s="2">
        <v>0</v>
      </c>
      <c r="BO25" s="2">
        <v>0</v>
      </c>
      <c r="BP25" s="2">
        <v>0</v>
      </c>
      <c r="BQ25" s="2">
        <v>0</v>
      </c>
      <c r="BR25" s="2">
        <v>187</v>
      </c>
      <c r="BS25" s="2">
        <v>196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f t="shared" si="11"/>
        <v>0</v>
      </c>
      <c r="BZ25" s="2">
        <f t="shared" si="10"/>
        <v>0</v>
      </c>
      <c r="CA25" s="159"/>
      <c r="CB25" s="159"/>
      <c r="CC25" s="159"/>
    </row>
    <row r="26" spans="2:81" hidden="1" outlineLevel="1">
      <c r="B26" s="30" t="s">
        <v>366</v>
      </c>
      <c r="C26" s="203" t="s">
        <v>140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/>
      <c r="BJ26" s="2"/>
      <c r="BK26" s="2"/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f t="shared" si="11"/>
        <v>0</v>
      </c>
      <c r="BZ26" s="2">
        <f t="shared" si="10"/>
        <v>0</v>
      </c>
      <c r="CA26" s="159"/>
      <c r="CB26" s="159"/>
      <c r="CC26" s="159"/>
    </row>
    <row r="27" spans="2:81" ht="12" hidden="1" customHeight="1" outlineLevel="1">
      <c r="B27" s="30" t="s">
        <v>367</v>
      </c>
      <c r="C27" s="203" t="s">
        <v>141</v>
      </c>
      <c r="D27" s="2">
        <v>1736</v>
      </c>
      <c r="E27" s="2">
        <v>0</v>
      </c>
      <c r="F27" s="2">
        <v>0</v>
      </c>
      <c r="G27" s="2">
        <v>1736</v>
      </c>
      <c r="H27" s="2">
        <v>1736</v>
      </c>
      <c r="I27" s="2">
        <v>1736</v>
      </c>
      <c r="J27" s="2">
        <v>1591</v>
      </c>
      <c r="K27" s="2">
        <v>1573</v>
      </c>
      <c r="L27" s="2">
        <v>1573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13068</v>
      </c>
      <c r="AP27" s="2">
        <v>13009</v>
      </c>
      <c r="AQ27" s="2">
        <v>12950</v>
      </c>
      <c r="AR27" s="2">
        <v>12950</v>
      </c>
      <c r="AS27" s="2">
        <v>12950</v>
      </c>
      <c r="AT27" s="2">
        <v>12950</v>
      </c>
      <c r="AU27" s="2">
        <v>0</v>
      </c>
      <c r="AV27" s="2">
        <v>0</v>
      </c>
      <c r="AW27" s="2">
        <v>0</v>
      </c>
      <c r="AX27" s="2">
        <v>5000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/>
      <c r="BJ27" s="2"/>
      <c r="BK27" s="2"/>
      <c r="BL27" s="2">
        <v>1736</v>
      </c>
      <c r="BM27" s="2">
        <v>1573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12950</v>
      </c>
      <c r="BV27" s="2">
        <v>0</v>
      </c>
      <c r="BW27" s="2">
        <v>0</v>
      </c>
      <c r="BX27" s="2">
        <v>0</v>
      </c>
      <c r="BY27" s="2">
        <f t="shared" si="11"/>
        <v>0</v>
      </c>
      <c r="BZ27" s="2">
        <f t="shared" si="10"/>
        <v>0</v>
      </c>
      <c r="CA27" s="159"/>
      <c r="CB27" s="159"/>
      <c r="CC27" s="159"/>
    </row>
    <row r="28" spans="2:81" collapsed="1">
      <c r="B28" s="107" t="s">
        <v>368</v>
      </c>
      <c r="C28" s="193" t="s">
        <v>142</v>
      </c>
      <c r="D28" s="112">
        <v>321638</v>
      </c>
      <c r="E28" s="112">
        <v>320889</v>
      </c>
      <c r="F28" s="112">
        <v>317568</v>
      </c>
      <c r="G28" s="112">
        <v>321638</v>
      </c>
      <c r="H28" s="112">
        <v>320736</v>
      </c>
      <c r="I28" s="112">
        <v>326664</v>
      </c>
      <c r="J28" s="112">
        <v>318202</v>
      </c>
      <c r="K28" s="112">
        <v>326281</v>
      </c>
      <c r="L28" s="112">
        <v>320926</v>
      </c>
      <c r="M28" s="112">
        <v>318621</v>
      </c>
      <c r="N28" s="112">
        <v>323511</v>
      </c>
      <c r="O28" s="112">
        <v>326253</v>
      </c>
      <c r="P28" s="112">
        <v>340679</v>
      </c>
      <c r="Q28" s="112">
        <v>329139</v>
      </c>
      <c r="R28" s="112">
        <v>330891</v>
      </c>
      <c r="S28" s="112">
        <v>347123</v>
      </c>
      <c r="T28" s="112">
        <v>386004</v>
      </c>
      <c r="U28" s="112">
        <v>379075</v>
      </c>
      <c r="V28" s="112">
        <v>396816</v>
      </c>
      <c r="W28" s="112">
        <v>439239</v>
      </c>
      <c r="X28" s="112">
        <v>410318</v>
      </c>
      <c r="Y28" s="112">
        <v>403848</v>
      </c>
      <c r="Z28" s="112">
        <v>448523</v>
      </c>
      <c r="AA28" s="112">
        <v>427386</v>
      </c>
      <c r="AB28" s="112">
        <v>431377</v>
      </c>
      <c r="AC28" s="112">
        <v>419757</v>
      </c>
      <c r="AD28" s="112">
        <v>447597</v>
      </c>
      <c r="AE28" s="112">
        <v>447977</v>
      </c>
      <c r="AF28" s="112">
        <v>445465</v>
      </c>
      <c r="AG28" s="112">
        <v>425030</v>
      </c>
      <c r="AH28" s="112">
        <v>438582</v>
      </c>
      <c r="AI28" s="112">
        <v>411922</v>
      </c>
      <c r="AJ28" s="112">
        <v>407230</v>
      </c>
      <c r="AK28" s="112">
        <v>444759</v>
      </c>
      <c r="AL28" s="112">
        <v>393530</v>
      </c>
      <c r="AM28" s="112">
        <v>388039</v>
      </c>
      <c r="AN28" s="112">
        <v>383839</v>
      </c>
      <c r="AO28" s="112">
        <v>358468</v>
      </c>
      <c r="AP28" s="112">
        <v>352246</v>
      </c>
      <c r="AQ28" s="112">
        <v>372835</v>
      </c>
      <c r="AR28" s="112">
        <v>370917</v>
      </c>
      <c r="AS28" s="112">
        <v>387260</v>
      </c>
      <c r="AT28" s="112">
        <v>390052</v>
      </c>
      <c r="AU28" s="112">
        <v>398739</v>
      </c>
      <c r="AV28" s="112">
        <f t="shared" ref="AV28" si="12">SUM(AV29:AV42)</f>
        <v>397569</v>
      </c>
      <c r="AW28" s="112">
        <f t="shared" ref="AW28" si="13">SUM(AW29:AW42)</f>
        <v>397151</v>
      </c>
      <c r="AX28" s="112">
        <f t="shared" ref="AX28" si="14">SUM(AX29:AX42)</f>
        <v>391196</v>
      </c>
      <c r="AY28" s="112">
        <f t="shared" ref="AY28" si="15">SUM(AY29:AY42)</f>
        <v>396067</v>
      </c>
      <c r="AZ28" s="112">
        <f t="shared" ref="AZ28" si="16">SUM(AZ29:AZ42)</f>
        <v>375720</v>
      </c>
      <c r="BA28" s="112">
        <f t="shared" ref="BA28" si="17">SUM(BA29:BA42)</f>
        <v>370942</v>
      </c>
      <c r="BB28" s="112">
        <f t="shared" ref="BB28" si="18">SUM(BB29:BB42)</f>
        <v>369685</v>
      </c>
      <c r="BC28" s="112">
        <f t="shared" ref="BC28" si="19">SUM(BC29:BC42)</f>
        <v>361071</v>
      </c>
      <c r="BD28" s="112">
        <f t="shared" ref="BD28:BF28" si="20">SUM(BD29:BD42)</f>
        <v>449631</v>
      </c>
      <c r="BE28" s="112">
        <f t="shared" si="20"/>
        <v>443185</v>
      </c>
      <c r="BF28" s="112">
        <f t="shared" si="20"/>
        <v>453437</v>
      </c>
      <c r="BG28" s="112">
        <f>SUM(BG29:BG42)</f>
        <v>489372</v>
      </c>
      <c r="BH28" s="112">
        <f t="shared" ref="BH28:BK28" si="21">SUM(BH29:BH42)</f>
        <v>489821</v>
      </c>
      <c r="BI28" s="112">
        <f t="shared" si="21"/>
        <v>473936</v>
      </c>
      <c r="BJ28" s="112">
        <f t="shared" si="21"/>
        <v>472504</v>
      </c>
      <c r="BK28" s="112">
        <f t="shared" si="21"/>
        <v>0</v>
      </c>
      <c r="BL28" s="112">
        <v>321638</v>
      </c>
      <c r="BM28" s="112">
        <v>326281</v>
      </c>
      <c r="BN28" s="112">
        <v>326253</v>
      </c>
      <c r="BO28" s="112">
        <v>347123</v>
      </c>
      <c r="BP28" s="112">
        <v>439239</v>
      </c>
      <c r="BQ28" s="112">
        <v>427386</v>
      </c>
      <c r="BR28" s="112">
        <v>447977</v>
      </c>
      <c r="BS28" s="112">
        <v>411922</v>
      </c>
      <c r="BT28" s="112">
        <v>388039</v>
      </c>
      <c r="BU28" s="112">
        <v>372835</v>
      </c>
      <c r="BV28" s="112">
        <v>398739</v>
      </c>
      <c r="BW28" s="112">
        <v>396067</v>
      </c>
      <c r="BX28" s="112">
        <v>361071</v>
      </c>
      <c r="BY28" s="112">
        <f>SUM(BY29:BY42)</f>
        <v>489372</v>
      </c>
      <c r="BZ28" s="112">
        <f>SUM(BZ29:BZ42)</f>
        <v>472504</v>
      </c>
      <c r="CA28" s="159"/>
      <c r="CB28" s="159"/>
      <c r="CC28" s="159"/>
    </row>
    <row r="29" spans="2:81" ht="12.75" customHeight="1">
      <c r="B29" s="21" t="s">
        <v>357</v>
      </c>
      <c r="C29" s="202" t="s">
        <v>132</v>
      </c>
      <c r="D29" s="2">
        <v>4694</v>
      </c>
      <c r="E29" s="2">
        <v>5834</v>
      </c>
      <c r="F29" s="2">
        <v>5123</v>
      </c>
      <c r="G29" s="2">
        <v>4694</v>
      </c>
      <c r="H29" s="2">
        <v>4259</v>
      </c>
      <c r="I29" s="2">
        <v>3769</v>
      </c>
      <c r="J29" s="2">
        <v>3130</v>
      </c>
      <c r="K29" s="2">
        <v>2380</v>
      </c>
      <c r="L29" s="2">
        <v>1760</v>
      </c>
      <c r="M29" s="2">
        <v>1082</v>
      </c>
      <c r="N29" s="2">
        <v>239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431</v>
      </c>
      <c r="AS29" s="2">
        <v>1083</v>
      </c>
      <c r="AT29" s="2">
        <v>485</v>
      </c>
      <c r="AU29" s="2">
        <v>0</v>
      </c>
      <c r="AV29" s="2">
        <v>0</v>
      </c>
      <c r="AW29" s="2">
        <v>0</v>
      </c>
      <c r="AX29" s="2">
        <v>0</v>
      </c>
      <c r="AY29" s="2">
        <v>4812</v>
      </c>
      <c r="AZ29" s="2">
        <v>0</v>
      </c>
      <c r="BA29" s="2">
        <v>0</v>
      </c>
      <c r="BB29" s="2">
        <v>1538</v>
      </c>
      <c r="BC29" s="2">
        <v>251</v>
      </c>
      <c r="BD29" s="2">
        <v>7147</v>
      </c>
      <c r="BE29" s="2">
        <v>8843</v>
      </c>
      <c r="BF29" s="2">
        <v>11856</v>
      </c>
      <c r="BG29" s="2">
        <v>11773</v>
      </c>
      <c r="BH29" s="2">
        <v>5790</v>
      </c>
      <c r="BI29" s="2">
        <v>5320</v>
      </c>
      <c r="BJ29" s="2">
        <v>5966</v>
      </c>
      <c r="BK29" s="2"/>
      <c r="BL29" s="2">
        <v>4694</v>
      </c>
      <c r="BM29" s="2">
        <v>2380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4812</v>
      </c>
      <c r="BX29" s="2">
        <v>251</v>
      </c>
      <c r="BY29" s="2">
        <f t="shared" si="11"/>
        <v>11773</v>
      </c>
      <c r="BZ29" s="2">
        <f t="shared" ref="BZ29:BZ42" si="22">BJ29</f>
        <v>5966</v>
      </c>
      <c r="CA29" s="159"/>
      <c r="CB29" s="159"/>
      <c r="CC29" s="159"/>
    </row>
    <row r="30" spans="2:81" ht="12.75" hidden="1" customHeight="1" outlineLevel="1">
      <c r="B30" s="21" t="s">
        <v>353</v>
      </c>
      <c r="C30" s="202" t="s">
        <v>143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19223</v>
      </c>
      <c r="P30" s="2">
        <v>32046</v>
      </c>
      <c r="Q30" s="2">
        <v>19924</v>
      </c>
      <c r="R30" s="2">
        <v>20371</v>
      </c>
      <c r="S30" s="2">
        <v>23921</v>
      </c>
      <c r="T30" s="2">
        <v>56935</v>
      </c>
      <c r="U30" s="2">
        <v>47412</v>
      </c>
      <c r="V30" s="2">
        <v>60040</v>
      </c>
      <c r="W30" s="2">
        <v>63793</v>
      </c>
      <c r="X30" s="2">
        <v>24892</v>
      </c>
      <c r="Y30" s="2">
        <v>15170</v>
      </c>
      <c r="Z30" s="2">
        <v>48882</v>
      </c>
      <c r="AA30" s="2">
        <v>29216</v>
      </c>
      <c r="AB30" s="2">
        <v>31372</v>
      </c>
      <c r="AC30" s="2">
        <v>19549</v>
      </c>
      <c r="AD30" s="2">
        <v>51451</v>
      </c>
      <c r="AE30" s="2">
        <v>44677</v>
      </c>
      <c r="AF30" s="2">
        <v>42571</v>
      </c>
      <c r="AG30" s="2">
        <v>20704</v>
      </c>
      <c r="AH30" s="2">
        <v>33709</v>
      </c>
      <c r="AI30" s="2">
        <v>13439</v>
      </c>
      <c r="AJ30" s="2">
        <v>11180</v>
      </c>
      <c r="AK30" s="2">
        <v>52364</v>
      </c>
      <c r="AL30" s="2">
        <v>6199</v>
      </c>
      <c r="AM30" s="2">
        <v>8187</v>
      </c>
      <c r="AN30" s="2">
        <v>2014</v>
      </c>
      <c r="AO30" s="2">
        <v>2045</v>
      </c>
      <c r="AP30" s="2">
        <v>2067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/>
      <c r="BJ30" s="2"/>
      <c r="BK30" s="2"/>
      <c r="BL30" s="2">
        <v>0</v>
      </c>
      <c r="BM30" s="2">
        <v>0</v>
      </c>
      <c r="BN30" s="2">
        <v>19223</v>
      </c>
      <c r="BO30" s="2">
        <v>23921</v>
      </c>
      <c r="BP30" s="2">
        <v>63793</v>
      </c>
      <c r="BQ30" s="2">
        <v>29216</v>
      </c>
      <c r="BR30" s="2">
        <v>44677</v>
      </c>
      <c r="BS30" s="2">
        <v>13439</v>
      </c>
      <c r="BT30" s="2">
        <v>8187</v>
      </c>
      <c r="BU30" s="2">
        <v>0</v>
      </c>
      <c r="BV30" s="2">
        <v>0</v>
      </c>
      <c r="BW30" s="2">
        <v>0</v>
      </c>
      <c r="BX30" s="2">
        <v>0</v>
      </c>
      <c r="BY30" s="2">
        <f t="shared" si="11"/>
        <v>0</v>
      </c>
      <c r="BZ30" s="2">
        <f t="shared" si="22"/>
        <v>0</v>
      </c>
      <c r="CA30" s="159"/>
      <c r="CB30" s="159"/>
      <c r="CC30" s="159"/>
    </row>
    <row r="31" spans="2:81" ht="12.75" hidden="1" customHeight="1" outlineLevel="1">
      <c r="B31" s="30" t="s">
        <v>362</v>
      </c>
      <c r="C31" s="202" t="s">
        <v>144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1122</v>
      </c>
      <c r="AP31" s="2">
        <v>959</v>
      </c>
      <c r="AQ31" s="2">
        <v>910</v>
      </c>
      <c r="AR31" s="2">
        <v>886</v>
      </c>
      <c r="AS31" s="2">
        <v>764</v>
      </c>
      <c r="AT31" s="2">
        <v>764</v>
      </c>
      <c r="AU31" s="2">
        <v>634</v>
      </c>
      <c r="AV31" s="2">
        <f>561-561</f>
        <v>0</v>
      </c>
      <c r="AW31" s="2">
        <f>488-488</f>
        <v>0</v>
      </c>
      <c r="AX31" s="2">
        <f>415-415</f>
        <v>0</v>
      </c>
      <c r="AY31" s="2">
        <f>449-449</f>
        <v>0</v>
      </c>
      <c r="AZ31" s="2">
        <f>369-369</f>
        <v>0</v>
      </c>
      <c r="BA31" s="2">
        <f>292-292</f>
        <v>0</v>
      </c>
      <c r="BB31" s="2">
        <f>257-257</f>
        <v>0</v>
      </c>
      <c r="BC31" s="2">
        <f>161-161</f>
        <v>0</v>
      </c>
      <c r="BD31" s="2">
        <f>65-65</f>
        <v>0</v>
      </c>
      <c r="BE31" s="2">
        <f>21-21</f>
        <v>0</v>
      </c>
      <c r="BF31" s="2">
        <f>18-18</f>
        <v>0</v>
      </c>
      <c r="BG31" s="2">
        <v>0</v>
      </c>
      <c r="BH31" s="2">
        <v>0</v>
      </c>
      <c r="BI31" s="2"/>
      <c r="BJ31" s="2"/>
      <c r="BK31" s="2"/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910</v>
      </c>
      <c r="BV31" s="2">
        <v>634</v>
      </c>
      <c r="BW31" s="2">
        <f>449-449</f>
        <v>0</v>
      </c>
      <c r="BX31" s="2">
        <f>161-161</f>
        <v>0</v>
      </c>
      <c r="BY31" s="2">
        <f t="shared" si="11"/>
        <v>0</v>
      </c>
      <c r="BZ31" s="2">
        <f t="shared" si="22"/>
        <v>0</v>
      </c>
      <c r="CA31" s="159"/>
      <c r="CB31" s="159"/>
      <c r="CC31" s="159"/>
    </row>
    <row r="32" spans="2:81" ht="12.75" hidden="1" customHeight="1" outlineLevel="1">
      <c r="B32" s="30" t="s">
        <v>355</v>
      </c>
      <c r="C32" s="202" t="s">
        <v>130</v>
      </c>
      <c r="D32" s="2">
        <v>3277</v>
      </c>
      <c r="E32" s="2">
        <v>3183</v>
      </c>
      <c r="F32" s="2">
        <v>3363</v>
      </c>
      <c r="G32" s="2">
        <v>3277</v>
      </c>
      <c r="H32" s="2">
        <v>3364</v>
      </c>
      <c r="I32" s="2">
        <v>3458</v>
      </c>
      <c r="J32" s="2">
        <v>3562</v>
      </c>
      <c r="K32" s="2">
        <v>3657</v>
      </c>
      <c r="L32" s="2">
        <v>3747</v>
      </c>
      <c r="M32" s="2">
        <v>3825</v>
      </c>
      <c r="N32" s="2">
        <v>3898</v>
      </c>
      <c r="O32" s="2">
        <v>3965</v>
      </c>
      <c r="P32" s="2">
        <v>4029</v>
      </c>
      <c r="Q32" s="2">
        <v>4100</v>
      </c>
      <c r="R32" s="2">
        <v>4187</v>
      </c>
      <c r="S32" s="2">
        <v>4284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/>
      <c r="BJ32" s="2"/>
      <c r="BK32" s="2"/>
      <c r="BL32" s="2">
        <v>3277</v>
      </c>
      <c r="BM32" s="2">
        <v>3657</v>
      </c>
      <c r="BN32" s="2">
        <v>3965</v>
      </c>
      <c r="BO32" s="2">
        <v>4284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f t="shared" si="11"/>
        <v>0</v>
      </c>
      <c r="BZ32" s="2">
        <f t="shared" si="22"/>
        <v>0</v>
      </c>
      <c r="CA32" s="159"/>
      <c r="CB32" s="159"/>
      <c r="CC32" s="159"/>
    </row>
    <row r="33" spans="2:81" ht="12.75" customHeight="1" collapsed="1">
      <c r="B33" s="30" t="s">
        <v>360</v>
      </c>
      <c r="C33" s="202" t="s">
        <v>135</v>
      </c>
      <c r="D33" s="2">
        <v>16014</v>
      </c>
      <c r="E33" s="2">
        <v>14946</v>
      </c>
      <c r="F33" s="2">
        <v>14858</v>
      </c>
      <c r="G33" s="2">
        <v>16014</v>
      </c>
      <c r="H33" s="2">
        <v>15919</v>
      </c>
      <c r="I33" s="2">
        <v>21223</v>
      </c>
      <c r="J33" s="2">
        <v>13440</v>
      </c>
      <c r="K33" s="2">
        <v>15706</v>
      </c>
      <c r="L33" s="2">
        <v>13514</v>
      </c>
      <c r="M33" s="2">
        <v>10858</v>
      </c>
      <c r="N33" s="2">
        <v>7471</v>
      </c>
      <c r="O33" s="2">
        <v>2780</v>
      </c>
      <c r="P33" s="2">
        <v>2682</v>
      </c>
      <c r="Q33" s="2">
        <v>2600</v>
      </c>
      <c r="R33" s="2">
        <v>2477</v>
      </c>
      <c r="S33" s="2">
        <v>2355</v>
      </c>
      <c r="T33" s="2">
        <v>2232</v>
      </c>
      <c r="U33" s="2">
        <v>2301</v>
      </c>
      <c r="V33" s="2">
        <v>2255</v>
      </c>
      <c r="W33" s="2">
        <v>750</v>
      </c>
      <c r="X33" s="2">
        <v>745</v>
      </c>
      <c r="Y33" s="2">
        <v>673</v>
      </c>
      <c r="Z33" s="2">
        <v>556</v>
      </c>
      <c r="AA33" s="2">
        <v>935</v>
      </c>
      <c r="AB33" s="2">
        <v>811</v>
      </c>
      <c r="AC33" s="2">
        <v>667</v>
      </c>
      <c r="AD33" s="2">
        <v>667</v>
      </c>
      <c r="AE33" s="2">
        <v>539</v>
      </c>
      <c r="AF33" s="2">
        <v>429</v>
      </c>
      <c r="AG33" s="2">
        <v>417</v>
      </c>
      <c r="AH33" s="2">
        <v>370</v>
      </c>
      <c r="AI33" s="2">
        <v>260</v>
      </c>
      <c r="AJ33" s="2">
        <v>144</v>
      </c>
      <c r="AK33" s="2">
        <v>157</v>
      </c>
      <c r="AL33" s="2">
        <v>45</v>
      </c>
      <c r="AM33" s="2">
        <v>0</v>
      </c>
      <c r="AN33" s="2">
        <v>3371</v>
      </c>
      <c r="AO33" s="2">
        <v>3458</v>
      </c>
      <c r="AP33" s="2">
        <v>3923</v>
      </c>
      <c r="AQ33" s="2">
        <v>23921</v>
      </c>
      <c r="AR33" s="2">
        <v>23903</v>
      </c>
      <c r="AS33" s="2">
        <v>46885</v>
      </c>
      <c r="AT33" s="2">
        <v>46878</v>
      </c>
      <c r="AU33" s="2">
        <v>46947</v>
      </c>
      <c r="AV33" s="2">
        <v>46969</v>
      </c>
      <c r="AW33" s="2">
        <v>46951</v>
      </c>
      <c r="AX33" s="2">
        <v>53519</v>
      </c>
      <c r="AY33" s="2">
        <v>53743</v>
      </c>
      <c r="AZ33" s="2">
        <v>53760</v>
      </c>
      <c r="BA33" s="2">
        <v>53926</v>
      </c>
      <c r="BB33" s="2">
        <v>53902</v>
      </c>
      <c r="BC33" s="2">
        <v>30670</v>
      </c>
      <c r="BD33" s="2">
        <v>22859</v>
      </c>
      <c r="BE33" s="2">
        <v>18723</v>
      </c>
      <c r="BF33" s="2">
        <v>17704</v>
      </c>
      <c r="BG33" s="2">
        <v>36827</v>
      </c>
      <c r="BH33" s="2">
        <v>33050</v>
      </c>
      <c r="BI33" s="2">
        <v>24430</v>
      </c>
      <c r="BJ33" s="2">
        <v>23462</v>
      </c>
      <c r="BK33" s="2"/>
      <c r="BL33" s="2">
        <v>16014</v>
      </c>
      <c r="BM33" s="2">
        <v>15706</v>
      </c>
      <c r="BN33" s="2">
        <v>2780</v>
      </c>
      <c r="BO33" s="2">
        <v>2355</v>
      </c>
      <c r="BP33" s="2">
        <v>750</v>
      </c>
      <c r="BQ33" s="2">
        <v>935</v>
      </c>
      <c r="BR33" s="2">
        <v>539</v>
      </c>
      <c r="BS33" s="2">
        <v>260</v>
      </c>
      <c r="BT33" s="2">
        <v>0</v>
      </c>
      <c r="BU33" s="2">
        <v>23921</v>
      </c>
      <c r="BV33" s="2">
        <v>46947</v>
      </c>
      <c r="BW33" s="2">
        <v>53743</v>
      </c>
      <c r="BX33" s="2">
        <v>30670</v>
      </c>
      <c r="BY33" s="2">
        <f t="shared" si="11"/>
        <v>36827</v>
      </c>
      <c r="BZ33" s="2">
        <f t="shared" si="22"/>
        <v>23462</v>
      </c>
      <c r="CA33" s="159"/>
      <c r="CB33" s="159"/>
      <c r="CC33" s="159"/>
    </row>
    <row r="34" spans="2:81" s="21" customFormat="1" ht="12.75" hidden="1" customHeight="1" outlineLevel="1">
      <c r="B34" s="30" t="s">
        <v>369</v>
      </c>
      <c r="C34" s="202" t="s">
        <v>145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3333</v>
      </c>
      <c r="AR34" s="2">
        <v>3544</v>
      </c>
      <c r="AS34" s="2">
        <v>2501</v>
      </c>
      <c r="AT34" s="2">
        <v>2190</v>
      </c>
      <c r="AU34" s="2">
        <v>1360</v>
      </c>
      <c r="AV34" s="2">
        <v>0</v>
      </c>
      <c r="AW34" s="2">
        <v>907</v>
      </c>
      <c r="AX34" s="2">
        <v>2180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/>
      <c r="BJ34" s="2"/>
      <c r="BK34" s="2"/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3333</v>
      </c>
      <c r="BV34" s="2">
        <v>1360</v>
      </c>
      <c r="BW34" s="2">
        <v>0</v>
      </c>
      <c r="BX34" s="2">
        <v>0</v>
      </c>
      <c r="BY34" s="2">
        <f t="shared" si="11"/>
        <v>0</v>
      </c>
      <c r="BZ34" s="2">
        <f t="shared" si="22"/>
        <v>0</v>
      </c>
      <c r="CA34" s="159"/>
      <c r="CB34" s="159"/>
      <c r="CC34" s="159"/>
    </row>
    <row r="35" spans="2:81" ht="12.75" hidden="1" customHeight="1" outlineLevel="1">
      <c r="B35" s="30" t="s">
        <v>370</v>
      </c>
      <c r="C35" s="202" t="s">
        <v>146</v>
      </c>
      <c r="D35" s="2">
        <v>4138</v>
      </c>
      <c r="E35" s="2">
        <v>4033</v>
      </c>
      <c r="F35" s="2">
        <v>4023</v>
      </c>
      <c r="G35" s="2">
        <v>4138</v>
      </c>
      <c r="H35" s="2">
        <v>4190</v>
      </c>
      <c r="I35" s="2">
        <v>4672</v>
      </c>
      <c r="J35" s="2">
        <v>4888</v>
      </c>
      <c r="K35" s="2">
        <v>2980</v>
      </c>
      <c r="L35" s="2">
        <v>2900</v>
      </c>
      <c r="M35" s="2">
        <v>2902</v>
      </c>
      <c r="N35" s="2">
        <v>3113</v>
      </c>
      <c r="O35" s="2">
        <v>2797</v>
      </c>
      <c r="P35" s="2">
        <v>2992</v>
      </c>
      <c r="Q35" s="2">
        <v>3028</v>
      </c>
      <c r="R35" s="2">
        <v>3201</v>
      </c>
      <c r="S35" s="2">
        <v>3426</v>
      </c>
      <c r="T35" s="2">
        <v>3449</v>
      </c>
      <c r="U35" s="2">
        <v>3436</v>
      </c>
      <c r="V35" s="2">
        <v>5981</v>
      </c>
      <c r="W35" s="2">
        <v>2777</v>
      </c>
      <c r="X35" s="2">
        <v>2736</v>
      </c>
      <c r="Y35" s="2">
        <v>2458</v>
      </c>
      <c r="Z35" s="2">
        <v>2974</v>
      </c>
      <c r="AA35" s="2">
        <v>2999</v>
      </c>
      <c r="AB35" s="2">
        <v>3118</v>
      </c>
      <c r="AC35" s="2">
        <v>3869</v>
      </c>
      <c r="AD35" s="2">
        <v>4130</v>
      </c>
      <c r="AE35" s="2">
        <v>4099</v>
      </c>
      <c r="AF35" s="2">
        <v>4509</v>
      </c>
      <c r="AG35" s="2">
        <v>4455</v>
      </c>
      <c r="AH35" s="2">
        <v>4204</v>
      </c>
      <c r="AI35" s="2">
        <v>3930</v>
      </c>
      <c r="AJ35" s="2">
        <v>5144</v>
      </c>
      <c r="AK35" s="2">
        <v>5440</v>
      </c>
      <c r="AL35" s="2">
        <v>5328</v>
      </c>
      <c r="AM35" s="2">
        <v>5239</v>
      </c>
      <c r="AN35" s="2">
        <v>6272</v>
      </c>
      <c r="AO35" s="2">
        <v>5848</v>
      </c>
      <c r="AP35" s="2">
        <v>5855</v>
      </c>
      <c r="AQ35" s="2">
        <v>6128</v>
      </c>
      <c r="AR35" s="2">
        <v>6310</v>
      </c>
      <c r="AS35" s="2">
        <v>6087</v>
      </c>
      <c r="AT35" s="2">
        <v>5604</v>
      </c>
      <c r="AU35" s="2">
        <v>4016</v>
      </c>
      <c r="AV35" s="2">
        <f>3987-3987</f>
        <v>0</v>
      </c>
      <c r="AW35" s="2">
        <f>3981-3981</f>
        <v>0</v>
      </c>
      <c r="AX35" s="2">
        <f>3243-3243</f>
        <v>0</v>
      </c>
      <c r="AY35" s="2">
        <f>2859-2859</f>
        <v>0</v>
      </c>
      <c r="AZ35" s="2">
        <f>2916-2916</f>
        <v>0</v>
      </c>
      <c r="BA35" s="2">
        <f>2830-2830</f>
        <v>0</v>
      </c>
      <c r="BB35" s="2">
        <f>2726-2726</f>
        <v>0</v>
      </c>
      <c r="BC35" s="2">
        <f>2822-2822</f>
        <v>0</v>
      </c>
      <c r="BD35" s="2">
        <f>2842-2842</f>
        <v>0</v>
      </c>
      <c r="BE35" s="2">
        <f>3420-3420</f>
        <v>0</v>
      </c>
      <c r="BF35" s="2">
        <f>3441-3441</f>
        <v>0</v>
      </c>
      <c r="BG35" s="2">
        <v>0</v>
      </c>
      <c r="BH35" s="2">
        <v>0</v>
      </c>
      <c r="BI35" s="2"/>
      <c r="BJ35" s="2"/>
      <c r="BK35" s="2"/>
      <c r="BL35" s="2">
        <v>4138</v>
      </c>
      <c r="BM35" s="2">
        <v>2980</v>
      </c>
      <c r="BN35" s="2">
        <v>2797</v>
      </c>
      <c r="BO35" s="2">
        <v>3426</v>
      </c>
      <c r="BP35" s="2">
        <v>2777</v>
      </c>
      <c r="BQ35" s="2">
        <v>2999</v>
      </c>
      <c r="BR35" s="2">
        <v>4099</v>
      </c>
      <c r="BS35" s="2">
        <v>3930</v>
      </c>
      <c r="BT35" s="2">
        <v>5239</v>
      </c>
      <c r="BU35" s="2">
        <v>6128</v>
      </c>
      <c r="BV35" s="2">
        <v>4016</v>
      </c>
      <c r="BW35" s="2">
        <f>2859-2859</f>
        <v>0</v>
      </c>
      <c r="BX35" s="2">
        <f>2822-2822</f>
        <v>0</v>
      </c>
      <c r="BY35" s="2">
        <f t="shared" si="11"/>
        <v>0</v>
      </c>
      <c r="BZ35" s="2">
        <f t="shared" si="22"/>
        <v>0</v>
      </c>
      <c r="CA35" s="159"/>
      <c r="CB35" s="159"/>
      <c r="CC35" s="159"/>
    </row>
    <row r="36" spans="2:81" ht="12.75" customHeight="1" collapsed="1">
      <c r="B36" s="30" t="s">
        <v>371</v>
      </c>
      <c r="C36" s="202" t="s">
        <v>147</v>
      </c>
      <c r="D36" s="2">
        <v>85027</v>
      </c>
      <c r="E36" s="2">
        <v>81612</v>
      </c>
      <c r="F36" s="2">
        <v>80875</v>
      </c>
      <c r="G36" s="2">
        <v>85027</v>
      </c>
      <c r="H36" s="2">
        <v>85027</v>
      </c>
      <c r="I36" s="2">
        <v>84794</v>
      </c>
      <c r="J36" s="2">
        <v>84112</v>
      </c>
      <c r="K36" s="2">
        <v>88186</v>
      </c>
      <c r="L36" s="2">
        <v>87291</v>
      </c>
      <c r="M36" s="2">
        <v>87453</v>
      </c>
      <c r="N36" s="2">
        <v>87551</v>
      </c>
      <c r="O36" s="2">
        <v>74480</v>
      </c>
      <c r="P36" s="2">
        <v>73731</v>
      </c>
      <c r="Q36" s="2">
        <v>72052</v>
      </c>
      <c r="R36" s="2">
        <v>68174</v>
      </c>
      <c r="S36" s="2">
        <v>75585</v>
      </c>
      <c r="T36" s="2">
        <v>73239</v>
      </c>
      <c r="U36" s="2">
        <v>69067</v>
      </c>
      <c r="V36" s="2">
        <v>65020</v>
      </c>
      <c r="W36" s="2">
        <v>88554</v>
      </c>
      <c r="X36" s="2">
        <v>94937</v>
      </c>
      <c r="Y36" s="2">
        <v>96998</v>
      </c>
      <c r="Z36" s="2">
        <v>93771</v>
      </c>
      <c r="AA36" s="2">
        <v>89535</v>
      </c>
      <c r="AB36" s="2">
        <v>92909</v>
      </c>
      <c r="AC36" s="2">
        <v>95792</v>
      </c>
      <c r="AD36" s="2">
        <v>95512</v>
      </c>
      <c r="AE36" s="2">
        <v>106627</v>
      </c>
      <c r="AF36" s="2">
        <v>108419</v>
      </c>
      <c r="AG36" s="2">
        <v>111693</v>
      </c>
      <c r="AH36" s="2">
        <v>113946</v>
      </c>
      <c r="AI36" s="2">
        <v>111862</v>
      </c>
      <c r="AJ36" s="2">
        <v>111446</v>
      </c>
      <c r="AK36" s="2">
        <v>111181</v>
      </c>
      <c r="AL36" s="2">
        <v>110752</v>
      </c>
      <c r="AM36" s="2">
        <v>108606</v>
      </c>
      <c r="AN36" s="2">
        <v>105942</v>
      </c>
      <c r="AO36" s="2">
        <v>100315</v>
      </c>
      <c r="AP36" s="2">
        <v>99416</v>
      </c>
      <c r="AQ36" s="2">
        <v>102024</v>
      </c>
      <c r="AR36" s="2">
        <v>98035</v>
      </c>
      <c r="AS36" s="2">
        <v>96967</v>
      </c>
      <c r="AT36" s="2">
        <v>105022</v>
      </c>
      <c r="AU36" s="2">
        <v>105412</v>
      </c>
      <c r="AV36" s="2">
        <v>101478</v>
      </c>
      <c r="AW36" s="2">
        <v>100757</v>
      </c>
      <c r="AX36" s="2">
        <v>99315</v>
      </c>
      <c r="AY36" s="2">
        <v>94528</v>
      </c>
      <c r="AZ36" s="2">
        <v>83233</v>
      </c>
      <c r="BA36" s="2">
        <v>77160</v>
      </c>
      <c r="BB36" s="2">
        <v>68598</v>
      </c>
      <c r="BC36" s="2">
        <v>64507</v>
      </c>
      <c r="BD36" s="2">
        <v>53468</v>
      </c>
      <c r="BE36" s="2">
        <v>47152</v>
      </c>
      <c r="BF36" s="2">
        <v>48701</v>
      </c>
      <c r="BG36" s="2">
        <v>54894</v>
      </c>
      <c r="BH36" s="2">
        <v>43344</v>
      </c>
      <c r="BI36" s="2">
        <v>38338</v>
      </c>
      <c r="BJ36" s="2">
        <v>38243</v>
      </c>
      <c r="BK36" s="2"/>
      <c r="BL36" s="2">
        <v>85027</v>
      </c>
      <c r="BM36" s="2">
        <v>88186</v>
      </c>
      <c r="BN36" s="2">
        <v>74480</v>
      </c>
      <c r="BO36" s="2">
        <v>75585</v>
      </c>
      <c r="BP36" s="2">
        <v>88554</v>
      </c>
      <c r="BQ36" s="2">
        <v>89535</v>
      </c>
      <c r="BR36" s="2">
        <v>106627</v>
      </c>
      <c r="BS36" s="2">
        <v>111862</v>
      </c>
      <c r="BT36" s="2">
        <v>108606</v>
      </c>
      <c r="BU36" s="2">
        <v>102024</v>
      </c>
      <c r="BV36" s="2">
        <v>105412</v>
      </c>
      <c r="BW36" s="2">
        <v>94528</v>
      </c>
      <c r="BX36" s="2">
        <v>64507</v>
      </c>
      <c r="BY36" s="2">
        <f t="shared" si="11"/>
        <v>54894</v>
      </c>
      <c r="BZ36" s="2">
        <f t="shared" si="22"/>
        <v>38243</v>
      </c>
      <c r="CA36" s="159"/>
      <c r="CB36" s="159"/>
      <c r="CC36" s="159"/>
    </row>
    <row r="37" spans="2:81" ht="12.75" customHeight="1">
      <c r="B37" s="30" t="s">
        <v>363</v>
      </c>
      <c r="C37" s="202" t="s">
        <v>246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>
        <f>561+3987</f>
        <v>4548</v>
      </c>
      <c r="AW37" s="2">
        <f>488+3981</f>
        <v>4469</v>
      </c>
      <c r="AX37" s="2">
        <f>3243+415</f>
        <v>3658</v>
      </c>
      <c r="AY37" s="2">
        <f>2859+449</f>
        <v>3308</v>
      </c>
      <c r="AZ37" s="2">
        <f>2916+369</f>
        <v>3285</v>
      </c>
      <c r="BA37" s="2">
        <f>2830+292</f>
        <v>3122</v>
      </c>
      <c r="BB37" s="2">
        <f>2726+257</f>
        <v>2983</v>
      </c>
      <c r="BC37" s="2">
        <f>16789+2822+161</f>
        <v>19772</v>
      </c>
      <c r="BD37" s="2">
        <f>20335+2842+65</f>
        <v>23242</v>
      </c>
      <c r="BE37" s="2">
        <f>3451+3420+21</f>
        <v>6892</v>
      </c>
      <c r="BF37" s="2">
        <f>1781+3441+18</f>
        <v>5240</v>
      </c>
      <c r="BG37" s="2">
        <v>3799</v>
      </c>
      <c r="BH37" s="2">
        <v>4744</v>
      </c>
      <c r="BI37" s="2">
        <v>5013</v>
      </c>
      <c r="BJ37" s="2">
        <v>5581</v>
      </c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>
        <f>449+2859</f>
        <v>3308</v>
      </c>
      <c r="BX37" s="2">
        <f>16789+2822+161</f>
        <v>19772</v>
      </c>
      <c r="BY37" s="2">
        <f t="shared" si="11"/>
        <v>3799</v>
      </c>
      <c r="BZ37" s="2">
        <f t="shared" si="22"/>
        <v>5581</v>
      </c>
      <c r="CA37" s="159"/>
      <c r="CB37" s="159"/>
      <c r="CC37" s="159"/>
    </row>
    <row r="38" spans="2:81" ht="12.75" customHeight="1">
      <c r="B38" s="30" t="s">
        <v>288</v>
      </c>
      <c r="C38" s="202" t="s">
        <v>148</v>
      </c>
      <c r="D38" s="2">
        <v>3</v>
      </c>
      <c r="E38" s="2">
        <v>3</v>
      </c>
      <c r="F38" s="2">
        <v>3</v>
      </c>
      <c r="G38" s="2">
        <v>3</v>
      </c>
      <c r="H38" s="2">
        <v>3</v>
      </c>
      <c r="I38" s="2">
        <v>3</v>
      </c>
      <c r="J38" s="2">
        <v>3</v>
      </c>
      <c r="K38" s="2">
        <v>3</v>
      </c>
      <c r="L38" s="2">
        <v>3</v>
      </c>
      <c r="M38" s="2">
        <v>3</v>
      </c>
      <c r="N38" s="2">
        <v>3</v>
      </c>
      <c r="O38" s="2">
        <v>3</v>
      </c>
      <c r="P38" s="2">
        <v>3</v>
      </c>
      <c r="Q38" s="2">
        <v>3</v>
      </c>
      <c r="R38" s="2">
        <v>3</v>
      </c>
      <c r="S38" s="2">
        <v>3</v>
      </c>
      <c r="T38" s="2">
        <v>3</v>
      </c>
      <c r="U38" s="2">
        <v>4</v>
      </c>
      <c r="V38" s="2">
        <v>4</v>
      </c>
      <c r="W38" s="2">
        <v>4</v>
      </c>
      <c r="X38" s="2">
        <v>4</v>
      </c>
      <c r="Y38" s="2">
        <v>4</v>
      </c>
      <c r="Z38" s="2">
        <v>4</v>
      </c>
      <c r="AA38" s="2">
        <v>4</v>
      </c>
      <c r="AB38" s="2">
        <v>4</v>
      </c>
      <c r="AC38" s="2">
        <v>4</v>
      </c>
      <c r="AD38" s="2">
        <v>4</v>
      </c>
      <c r="AE38" s="2">
        <v>4</v>
      </c>
      <c r="AF38" s="2">
        <v>4</v>
      </c>
      <c r="AG38" s="2">
        <v>4</v>
      </c>
      <c r="AH38" s="2">
        <v>4</v>
      </c>
      <c r="AI38" s="2">
        <v>4</v>
      </c>
      <c r="AJ38" s="2">
        <v>4</v>
      </c>
      <c r="AK38" s="2">
        <v>4</v>
      </c>
      <c r="AL38" s="2">
        <v>4</v>
      </c>
      <c r="AM38" s="2">
        <v>4</v>
      </c>
      <c r="AN38" s="2">
        <v>4</v>
      </c>
      <c r="AO38" s="2">
        <v>4</v>
      </c>
      <c r="AP38" s="2">
        <v>4</v>
      </c>
      <c r="AQ38" s="2">
        <v>4</v>
      </c>
      <c r="AR38" s="2">
        <v>4</v>
      </c>
      <c r="AS38" s="2">
        <v>4</v>
      </c>
      <c r="AT38" s="2">
        <v>4</v>
      </c>
      <c r="AU38" s="2">
        <v>4</v>
      </c>
      <c r="AV38" s="2">
        <v>4</v>
      </c>
      <c r="AW38" s="2">
        <v>4</v>
      </c>
      <c r="AX38" s="2">
        <v>4</v>
      </c>
      <c r="AY38" s="2">
        <v>4</v>
      </c>
      <c r="AZ38" s="2">
        <v>4</v>
      </c>
      <c r="BA38" s="2">
        <v>4</v>
      </c>
      <c r="BB38" s="2">
        <v>4</v>
      </c>
      <c r="BC38" s="2">
        <v>4</v>
      </c>
      <c r="BD38" s="2">
        <v>60</v>
      </c>
      <c r="BE38" s="2">
        <v>93</v>
      </c>
      <c r="BF38" s="2">
        <v>93</v>
      </c>
      <c r="BG38" s="2">
        <v>93</v>
      </c>
      <c r="BH38" s="2">
        <v>101</v>
      </c>
      <c r="BI38" s="2">
        <v>102</v>
      </c>
      <c r="BJ38" s="2">
        <v>102</v>
      </c>
      <c r="BK38" s="2"/>
      <c r="BL38" s="2">
        <v>3</v>
      </c>
      <c r="BM38" s="2">
        <v>3</v>
      </c>
      <c r="BN38" s="2">
        <v>3</v>
      </c>
      <c r="BO38" s="2">
        <v>3</v>
      </c>
      <c r="BP38" s="2">
        <v>4</v>
      </c>
      <c r="BQ38" s="2">
        <v>4</v>
      </c>
      <c r="BR38" s="2">
        <v>4</v>
      </c>
      <c r="BS38" s="2">
        <v>4</v>
      </c>
      <c r="BT38" s="2">
        <v>4</v>
      </c>
      <c r="BU38" s="2">
        <v>4</v>
      </c>
      <c r="BV38" s="2">
        <v>4</v>
      </c>
      <c r="BW38" s="2">
        <v>4</v>
      </c>
      <c r="BX38" s="2">
        <v>4</v>
      </c>
      <c r="BY38" s="2">
        <f t="shared" si="11"/>
        <v>93</v>
      </c>
      <c r="BZ38" s="2">
        <f t="shared" si="22"/>
        <v>102</v>
      </c>
      <c r="CA38" s="159"/>
      <c r="CB38" s="159"/>
      <c r="CC38" s="159"/>
    </row>
    <row r="39" spans="2:81" ht="12.75" customHeight="1">
      <c r="B39" s="30" t="s">
        <v>372</v>
      </c>
      <c r="C39" s="203" t="s">
        <v>149</v>
      </c>
      <c r="D39" s="2">
        <v>13329</v>
      </c>
      <c r="E39" s="2">
        <v>13370</v>
      </c>
      <c r="F39" s="2">
        <v>13349</v>
      </c>
      <c r="G39" s="2">
        <v>13329</v>
      </c>
      <c r="H39" s="2">
        <v>13307</v>
      </c>
      <c r="I39" s="2">
        <v>13306</v>
      </c>
      <c r="J39" s="2">
        <v>13274</v>
      </c>
      <c r="K39" s="2">
        <v>13242</v>
      </c>
      <c r="L39" s="2">
        <v>13210</v>
      </c>
      <c r="M39" s="2">
        <v>12823</v>
      </c>
      <c r="N39" s="2">
        <v>12791</v>
      </c>
      <c r="O39" s="2">
        <v>12759</v>
      </c>
      <c r="P39" s="2">
        <v>12727</v>
      </c>
      <c r="Q39" s="2">
        <v>12695</v>
      </c>
      <c r="R39" s="2">
        <v>12663</v>
      </c>
      <c r="S39" s="2">
        <v>12631</v>
      </c>
      <c r="T39" s="2">
        <v>12599</v>
      </c>
      <c r="U39" s="2">
        <v>12567</v>
      </c>
      <c r="V39" s="2">
        <v>12402</v>
      </c>
      <c r="W39" s="2">
        <v>12371</v>
      </c>
      <c r="X39" s="2">
        <v>14985</v>
      </c>
      <c r="Y39" s="2">
        <v>14907</v>
      </c>
      <c r="Z39" s="2">
        <v>14829</v>
      </c>
      <c r="AA39" s="2">
        <v>14750</v>
      </c>
      <c r="AB39" s="2">
        <v>14673</v>
      </c>
      <c r="AC39" s="2">
        <v>14603</v>
      </c>
      <c r="AD39" s="2">
        <v>14534</v>
      </c>
      <c r="AE39" s="2">
        <v>14465</v>
      </c>
      <c r="AF39" s="2">
        <v>14396</v>
      </c>
      <c r="AG39" s="2">
        <v>14326</v>
      </c>
      <c r="AH39" s="2">
        <v>14257</v>
      </c>
      <c r="AI39" s="2">
        <v>14188</v>
      </c>
      <c r="AJ39" s="2">
        <v>14119</v>
      </c>
      <c r="AK39" s="2">
        <v>14051</v>
      </c>
      <c r="AL39" s="2">
        <v>13982</v>
      </c>
      <c r="AM39" s="2">
        <v>13913</v>
      </c>
      <c r="AN39" s="2">
        <v>13845</v>
      </c>
      <c r="AO39" s="2">
        <v>13776</v>
      </c>
      <c r="AP39" s="2">
        <v>13707</v>
      </c>
      <c r="AQ39" s="2">
        <v>13639</v>
      </c>
      <c r="AR39" s="2">
        <v>13570</v>
      </c>
      <c r="AS39" s="2">
        <v>13501</v>
      </c>
      <c r="AT39" s="2">
        <v>13433</v>
      </c>
      <c r="AU39" s="2">
        <v>26314</v>
      </c>
      <c r="AV39" s="2">
        <v>26247</v>
      </c>
      <c r="AW39" s="2">
        <v>26179</v>
      </c>
      <c r="AX39" s="2">
        <v>635</v>
      </c>
      <c r="AY39" s="2">
        <v>1535</v>
      </c>
      <c r="AZ39" s="2">
        <v>1518</v>
      </c>
      <c r="BA39" s="2">
        <v>1501</v>
      </c>
      <c r="BB39" s="2">
        <v>1484</v>
      </c>
      <c r="BC39" s="2">
        <v>1467</v>
      </c>
      <c r="BD39" s="2">
        <v>1449</v>
      </c>
      <c r="BE39" s="2">
        <v>1432</v>
      </c>
      <c r="BF39" s="2">
        <v>1415</v>
      </c>
      <c r="BG39" s="2">
        <v>1398</v>
      </c>
      <c r="BH39" s="2">
        <v>1380</v>
      </c>
      <c r="BI39" s="2">
        <v>1363</v>
      </c>
      <c r="BJ39" s="2">
        <v>1346</v>
      </c>
      <c r="BK39" s="2"/>
      <c r="BL39" s="2">
        <v>13329</v>
      </c>
      <c r="BM39" s="2">
        <v>13242</v>
      </c>
      <c r="BN39" s="2">
        <v>12759</v>
      </c>
      <c r="BO39" s="2">
        <v>12631</v>
      </c>
      <c r="BP39" s="2">
        <v>12371</v>
      </c>
      <c r="BQ39" s="2">
        <v>14750</v>
      </c>
      <c r="BR39" s="2">
        <v>14465</v>
      </c>
      <c r="BS39" s="2">
        <v>14188</v>
      </c>
      <c r="BT39" s="2">
        <v>13913</v>
      </c>
      <c r="BU39" s="2">
        <v>13639</v>
      </c>
      <c r="BV39" s="2">
        <v>26314</v>
      </c>
      <c r="BW39" s="2">
        <v>1535</v>
      </c>
      <c r="BX39" s="2">
        <v>1467</v>
      </c>
      <c r="BY39" s="2">
        <f t="shared" si="11"/>
        <v>1398</v>
      </c>
      <c r="BZ39" s="2">
        <f t="shared" si="22"/>
        <v>1346</v>
      </c>
      <c r="CA39" s="159"/>
      <c r="CB39" s="159"/>
      <c r="CC39" s="159"/>
    </row>
    <row r="40" spans="2:81">
      <c r="B40" s="30" t="s">
        <v>373</v>
      </c>
      <c r="C40" s="203" t="s">
        <v>85</v>
      </c>
      <c r="D40" s="2">
        <v>184690</v>
      </c>
      <c r="E40" s="2">
        <v>185776</v>
      </c>
      <c r="F40" s="2">
        <v>186060</v>
      </c>
      <c r="G40" s="2">
        <v>184690</v>
      </c>
      <c r="H40" s="2">
        <v>184342</v>
      </c>
      <c r="I40" s="2">
        <v>185420</v>
      </c>
      <c r="J40" s="2">
        <v>185628</v>
      </c>
      <c r="K40" s="2">
        <v>189892</v>
      </c>
      <c r="L40" s="2">
        <v>188604</v>
      </c>
      <c r="M40" s="2">
        <v>189959</v>
      </c>
      <c r="N40" s="2">
        <v>198918</v>
      </c>
      <c r="O40" s="2">
        <v>203483</v>
      </c>
      <c r="P40" s="2">
        <v>202568</v>
      </c>
      <c r="Q40" s="2">
        <v>202059</v>
      </c>
      <c r="R40" s="2">
        <v>205314</v>
      </c>
      <c r="S40" s="2">
        <v>209168</v>
      </c>
      <c r="T40" s="2">
        <v>216581</v>
      </c>
      <c r="U40" s="2">
        <v>220948</v>
      </c>
      <c r="V40" s="2">
        <v>222992</v>
      </c>
      <c r="W40" s="2">
        <v>241786</v>
      </c>
      <c r="X40" s="2">
        <v>238691</v>
      </c>
      <c r="Y40" s="2">
        <v>236664</v>
      </c>
      <c r="Z40" s="2">
        <v>248520</v>
      </c>
      <c r="AA40" s="2">
        <v>244447</v>
      </c>
      <c r="AB40" s="2">
        <v>241223</v>
      </c>
      <c r="AC40" s="2">
        <v>236705</v>
      </c>
      <c r="AD40" s="2">
        <v>232199</v>
      </c>
      <c r="AE40" s="2">
        <v>228669</v>
      </c>
      <c r="AF40" s="2">
        <v>226456</v>
      </c>
      <c r="AG40" s="2">
        <v>224493</v>
      </c>
      <c r="AH40" s="2">
        <v>223589</v>
      </c>
      <c r="AI40" s="2">
        <v>220809</v>
      </c>
      <c r="AJ40" s="2">
        <v>218395</v>
      </c>
      <c r="AK40" s="2">
        <v>215733</v>
      </c>
      <c r="AL40" s="2">
        <v>211442</v>
      </c>
      <c r="AM40" s="2">
        <v>207288</v>
      </c>
      <c r="AN40" s="2">
        <v>200971</v>
      </c>
      <c r="AO40" s="2">
        <v>183721</v>
      </c>
      <c r="AP40" s="2">
        <v>180008</v>
      </c>
      <c r="AQ40" s="2">
        <v>178240</v>
      </c>
      <c r="AR40" s="2">
        <v>175025</v>
      </c>
      <c r="AS40" s="2">
        <v>171511</v>
      </c>
      <c r="AT40" s="2">
        <v>169507</v>
      </c>
      <c r="AU40" s="2">
        <v>169605</v>
      </c>
      <c r="AV40" s="2">
        <v>175169</v>
      </c>
      <c r="AW40" s="2">
        <v>176169</v>
      </c>
      <c r="AX40" s="2">
        <v>190983</v>
      </c>
      <c r="AY40" s="2">
        <v>199186</v>
      </c>
      <c r="AZ40" s="2">
        <v>197024</v>
      </c>
      <c r="BA40" s="2">
        <v>200044</v>
      </c>
      <c r="BB40" s="2">
        <v>207253</v>
      </c>
      <c r="BC40" s="2">
        <v>208040</v>
      </c>
      <c r="BD40" s="2">
        <v>215224</v>
      </c>
      <c r="BE40" s="2">
        <v>234629</v>
      </c>
      <c r="BF40" s="2">
        <v>244716</v>
      </c>
      <c r="BG40" s="2">
        <v>257983</v>
      </c>
      <c r="BH40" s="2">
        <v>257111</v>
      </c>
      <c r="BI40" s="2">
        <v>258016</v>
      </c>
      <c r="BJ40" s="2">
        <v>257941</v>
      </c>
      <c r="BK40" s="2"/>
      <c r="BL40" s="2">
        <v>184690</v>
      </c>
      <c r="BM40" s="2">
        <v>189892</v>
      </c>
      <c r="BN40" s="2">
        <v>203483</v>
      </c>
      <c r="BO40" s="2">
        <v>209168</v>
      </c>
      <c r="BP40" s="2">
        <v>241786</v>
      </c>
      <c r="BQ40" s="2">
        <v>244447</v>
      </c>
      <c r="BR40" s="2">
        <v>228669</v>
      </c>
      <c r="BS40" s="2">
        <v>220809</v>
      </c>
      <c r="BT40" s="2">
        <v>207288</v>
      </c>
      <c r="BU40" s="2">
        <v>178240</v>
      </c>
      <c r="BV40" s="2">
        <v>169605</v>
      </c>
      <c r="BW40" s="2">
        <v>199186</v>
      </c>
      <c r="BX40" s="2">
        <v>208040</v>
      </c>
      <c r="BY40" s="2">
        <f t="shared" si="11"/>
        <v>257983</v>
      </c>
      <c r="BZ40" s="2">
        <f t="shared" si="22"/>
        <v>257941</v>
      </c>
      <c r="CA40" s="159"/>
      <c r="CB40" s="159"/>
      <c r="CC40" s="159"/>
    </row>
    <row r="41" spans="2:81">
      <c r="B41" s="30" t="s">
        <v>374</v>
      </c>
      <c r="C41" s="203" t="s">
        <v>86</v>
      </c>
      <c r="D41" s="2">
        <v>10466</v>
      </c>
      <c r="E41" s="2">
        <v>12132</v>
      </c>
      <c r="F41" s="2">
        <v>9914</v>
      </c>
      <c r="G41" s="2">
        <v>10466</v>
      </c>
      <c r="H41" s="2">
        <v>10325</v>
      </c>
      <c r="I41" s="2">
        <v>10019</v>
      </c>
      <c r="J41" s="2">
        <v>10165</v>
      </c>
      <c r="K41" s="2">
        <v>10235</v>
      </c>
      <c r="L41" s="2">
        <v>9897</v>
      </c>
      <c r="M41" s="2">
        <v>9716</v>
      </c>
      <c r="N41" s="2">
        <v>9527</v>
      </c>
      <c r="O41" s="2">
        <v>6763</v>
      </c>
      <c r="P41" s="2">
        <v>9901</v>
      </c>
      <c r="Q41" s="2">
        <v>12678</v>
      </c>
      <c r="R41" s="2">
        <v>14501</v>
      </c>
      <c r="S41" s="2">
        <v>15750</v>
      </c>
      <c r="T41" s="2">
        <v>20966</v>
      </c>
      <c r="U41" s="2">
        <v>23340</v>
      </c>
      <c r="V41" s="2">
        <v>28122</v>
      </c>
      <c r="W41" s="2">
        <v>29204</v>
      </c>
      <c r="X41" s="2">
        <v>33328</v>
      </c>
      <c r="Y41" s="2">
        <v>36974</v>
      </c>
      <c r="Z41" s="2">
        <v>38987</v>
      </c>
      <c r="AA41" s="2">
        <v>45500</v>
      </c>
      <c r="AB41" s="2">
        <v>47267</v>
      </c>
      <c r="AC41" s="2">
        <v>48568</v>
      </c>
      <c r="AD41" s="2">
        <v>49100</v>
      </c>
      <c r="AE41" s="2">
        <v>48897</v>
      </c>
      <c r="AF41" s="2">
        <v>48681</v>
      </c>
      <c r="AG41" s="2">
        <v>48938</v>
      </c>
      <c r="AH41" s="2">
        <v>48503</v>
      </c>
      <c r="AI41" s="2">
        <v>47430</v>
      </c>
      <c r="AJ41" s="2">
        <v>46798</v>
      </c>
      <c r="AK41" s="2">
        <v>45829</v>
      </c>
      <c r="AL41" s="2">
        <v>45778</v>
      </c>
      <c r="AM41" s="2">
        <v>44802</v>
      </c>
      <c r="AN41" s="2">
        <v>44009</v>
      </c>
      <c r="AO41" s="2">
        <v>42728</v>
      </c>
      <c r="AP41" s="2">
        <v>42284</v>
      </c>
      <c r="AQ41" s="2">
        <v>41613</v>
      </c>
      <c r="AR41" s="2">
        <v>40320</v>
      </c>
      <c r="AS41" s="2">
        <v>39746</v>
      </c>
      <c r="AT41" s="2">
        <v>38876</v>
      </c>
      <c r="AU41" s="2">
        <v>38134</v>
      </c>
      <c r="AV41" s="2">
        <v>37445</v>
      </c>
      <c r="AW41" s="2">
        <v>36754</v>
      </c>
      <c r="AX41" s="2">
        <v>35753</v>
      </c>
      <c r="AY41" s="2">
        <v>34810</v>
      </c>
      <c r="AZ41" s="2">
        <v>33782</v>
      </c>
      <c r="BA41" s="2">
        <v>32797</v>
      </c>
      <c r="BB41" s="2">
        <v>32730</v>
      </c>
      <c r="BC41" s="2">
        <v>32465</v>
      </c>
      <c r="BD41" s="2">
        <v>122493</v>
      </c>
      <c r="BE41" s="2">
        <v>122199</v>
      </c>
      <c r="BF41" s="2">
        <v>121368</v>
      </c>
      <c r="BG41" s="2">
        <v>121397</v>
      </c>
      <c r="BH41" s="2">
        <v>120703</v>
      </c>
      <c r="BI41" s="2">
        <v>118250</v>
      </c>
      <c r="BJ41" s="2">
        <v>117970</v>
      </c>
      <c r="BK41" s="2"/>
      <c r="BL41" s="2">
        <v>10466</v>
      </c>
      <c r="BM41" s="2">
        <v>10235</v>
      </c>
      <c r="BN41" s="2">
        <v>6763</v>
      </c>
      <c r="BO41" s="2">
        <v>15750</v>
      </c>
      <c r="BP41" s="2">
        <v>29204</v>
      </c>
      <c r="BQ41" s="2">
        <v>45500</v>
      </c>
      <c r="BR41" s="2">
        <v>48897</v>
      </c>
      <c r="BS41" s="2">
        <v>47430</v>
      </c>
      <c r="BT41" s="2">
        <v>44802</v>
      </c>
      <c r="BU41" s="2">
        <v>41613</v>
      </c>
      <c r="BV41" s="2">
        <v>38134</v>
      </c>
      <c r="BW41" s="2">
        <v>34810</v>
      </c>
      <c r="BX41" s="2">
        <v>32465</v>
      </c>
      <c r="BY41" s="2">
        <f t="shared" si="11"/>
        <v>121397</v>
      </c>
      <c r="BZ41" s="2">
        <f t="shared" si="22"/>
        <v>117970</v>
      </c>
      <c r="CA41" s="159"/>
      <c r="CB41" s="159"/>
      <c r="CC41" s="159"/>
    </row>
    <row r="42" spans="2:81">
      <c r="B42" s="30" t="s">
        <v>375</v>
      </c>
      <c r="C42" s="203" t="s">
        <v>150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7411</v>
      </c>
      <c r="AO42" s="2">
        <v>5451</v>
      </c>
      <c r="AP42" s="2">
        <v>4023</v>
      </c>
      <c r="AQ42" s="2">
        <v>3023</v>
      </c>
      <c r="AR42" s="2">
        <v>8889</v>
      </c>
      <c r="AS42" s="2">
        <v>8211</v>
      </c>
      <c r="AT42" s="2">
        <v>7289</v>
      </c>
      <c r="AU42" s="2">
        <v>6313</v>
      </c>
      <c r="AV42" s="2">
        <v>5709</v>
      </c>
      <c r="AW42" s="2">
        <v>4961</v>
      </c>
      <c r="AX42" s="2">
        <v>5149</v>
      </c>
      <c r="AY42" s="2">
        <v>4141</v>
      </c>
      <c r="AZ42" s="2">
        <v>3114</v>
      </c>
      <c r="BA42" s="2">
        <v>2388</v>
      </c>
      <c r="BB42" s="2">
        <v>1193</v>
      </c>
      <c r="BC42" s="2">
        <v>3895</v>
      </c>
      <c r="BD42" s="2">
        <v>3689</v>
      </c>
      <c r="BE42" s="2">
        <v>3222</v>
      </c>
      <c r="BF42" s="2">
        <v>2344</v>
      </c>
      <c r="BG42" s="2">
        <v>1208</v>
      </c>
      <c r="BH42" s="2">
        <v>23598</v>
      </c>
      <c r="BI42" s="2">
        <v>23104</v>
      </c>
      <c r="BJ42" s="2">
        <v>21893</v>
      </c>
      <c r="BK42" s="2"/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3023</v>
      </c>
      <c r="BV42" s="2">
        <v>6313</v>
      </c>
      <c r="BW42" s="2">
        <v>4141</v>
      </c>
      <c r="BX42" s="2">
        <v>3895</v>
      </c>
      <c r="BY42" s="2">
        <f t="shared" si="11"/>
        <v>1208</v>
      </c>
      <c r="BZ42" s="2">
        <f t="shared" si="22"/>
        <v>21893</v>
      </c>
      <c r="CA42" s="159"/>
      <c r="CB42" s="159"/>
      <c r="CC42" s="159"/>
    </row>
    <row r="43" spans="2:81">
      <c r="B43" s="107" t="s">
        <v>376</v>
      </c>
      <c r="C43" s="193" t="s">
        <v>151</v>
      </c>
      <c r="D43" s="112">
        <v>552072</v>
      </c>
      <c r="E43" s="112">
        <v>535520</v>
      </c>
      <c r="F43" s="112">
        <v>563691</v>
      </c>
      <c r="G43" s="112">
        <v>552072</v>
      </c>
      <c r="H43" s="112">
        <v>538259</v>
      </c>
      <c r="I43" s="112">
        <v>544048</v>
      </c>
      <c r="J43" s="112">
        <v>605298</v>
      </c>
      <c r="K43" s="112">
        <v>651348</v>
      </c>
      <c r="L43" s="112">
        <v>616900</v>
      </c>
      <c r="M43" s="112">
        <v>606107</v>
      </c>
      <c r="N43" s="112">
        <v>586539</v>
      </c>
      <c r="O43" s="112">
        <v>587901</v>
      </c>
      <c r="P43" s="112">
        <v>593410</v>
      </c>
      <c r="Q43" s="112">
        <v>599216</v>
      </c>
      <c r="R43" s="112">
        <v>662711</v>
      </c>
      <c r="S43" s="112">
        <v>674361</v>
      </c>
      <c r="T43" s="112">
        <v>741278</v>
      </c>
      <c r="U43" s="112">
        <v>726796</v>
      </c>
      <c r="V43" s="112">
        <v>864556</v>
      </c>
      <c r="W43" s="112">
        <v>850775</v>
      </c>
      <c r="X43" s="112">
        <v>841840</v>
      </c>
      <c r="Y43" s="112">
        <v>791925</v>
      </c>
      <c r="Z43" s="112">
        <v>820696</v>
      </c>
      <c r="AA43" s="112">
        <v>791235</v>
      </c>
      <c r="AB43" s="112">
        <v>753115</v>
      </c>
      <c r="AC43" s="112">
        <v>707607</v>
      </c>
      <c r="AD43" s="112">
        <v>761717</v>
      </c>
      <c r="AE43" s="112">
        <v>763805</v>
      </c>
      <c r="AF43" s="112">
        <v>724882</v>
      </c>
      <c r="AG43" s="112">
        <v>721261</v>
      </c>
      <c r="AH43" s="112">
        <v>754946</v>
      </c>
      <c r="AI43" s="112">
        <v>716246</v>
      </c>
      <c r="AJ43" s="112">
        <v>657177</v>
      </c>
      <c r="AK43" s="112">
        <v>682106</v>
      </c>
      <c r="AL43" s="112">
        <v>675409</v>
      </c>
      <c r="AM43" s="112">
        <v>704273</v>
      </c>
      <c r="AN43" s="112">
        <v>669931</v>
      </c>
      <c r="AO43" s="112">
        <v>666890</v>
      </c>
      <c r="AP43" s="112">
        <v>671015</v>
      </c>
      <c r="AQ43" s="112">
        <v>676102</v>
      </c>
      <c r="AR43" s="112">
        <v>662345</v>
      </c>
      <c r="AS43" s="112">
        <v>728346</v>
      </c>
      <c r="AT43" s="112">
        <v>851402</v>
      </c>
      <c r="AU43" s="112">
        <v>948778</v>
      </c>
      <c r="AV43" s="112">
        <f t="shared" ref="AV43:BC43" si="23">+AV11+AV28</f>
        <v>951675</v>
      </c>
      <c r="AW43" s="112">
        <f t="shared" si="23"/>
        <v>1142810</v>
      </c>
      <c r="AX43" s="112">
        <f t="shared" si="23"/>
        <v>1333576</v>
      </c>
      <c r="AY43" s="112">
        <f t="shared" si="23"/>
        <v>1018396</v>
      </c>
      <c r="AZ43" s="112">
        <f t="shared" si="23"/>
        <v>1040768</v>
      </c>
      <c r="BA43" s="112">
        <f t="shared" si="23"/>
        <v>1245668</v>
      </c>
      <c r="BB43" s="112">
        <f t="shared" si="23"/>
        <v>1314360</v>
      </c>
      <c r="BC43" s="112">
        <f t="shared" si="23"/>
        <v>1273778</v>
      </c>
      <c r="BD43" s="112">
        <f t="shared" ref="BD43:BF43" si="24">+BD11+BD28</f>
        <v>1305457</v>
      </c>
      <c r="BE43" s="112">
        <f t="shared" si="24"/>
        <v>1220133</v>
      </c>
      <c r="BF43" s="112">
        <f t="shared" si="24"/>
        <v>1381917</v>
      </c>
      <c r="BG43" s="112">
        <f>+BG11+BG28</f>
        <v>1471280</v>
      </c>
      <c r="BH43" s="112">
        <f t="shared" ref="BH43:BK43" si="25">+BH11+BH28</f>
        <v>1405756</v>
      </c>
      <c r="BI43" s="112">
        <f t="shared" si="25"/>
        <v>1518049</v>
      </c>
      <c r="BJ43" s="112">
        <f t="shared" si="25"/>
        <v>1550670</v>
      </c>
      <c r="BK43" s="112">
        <f t="shared" si="25"/>
        <v>0</v>
      </c>
      <c r="BL43" s="112">
        <v>552072</v>
      </c>
      <c r="BM43" s="112">
        <v>651348</v>
      </c>
      <c r="BN43" s="112">
        <v>587901</v>
      </c>
      <c r="BO43" s="112">
        <v>674361</v>
      </c>
      <c r="BP43" s="112">
        <v>850775</v>
      </c>
      <c r="BQ43" s="112">
        <v>791235</v>
      </c>
      <c r="BR43" s="112">
        <v>763805</v>
      </c>
      <c r="BS43" s="112">
        <v>716246</v>
      </c>
      <c r="BT43" s="112">
        <v>704273</v>
      </c>
      <c r="BU43" s="112">
        <v>676102</v>
      </c>
      <c r="BV43" s="112">
        <v>948778</v>
      </c>
      <c r="BW43" s="112">
        <v>1018396</v>
      </c>
      <c r="BX43" s="112">
        <v>1273778</v>
      </c>
      <c r="BY43" s="112">
        <f>+BY11+BY28</f>
        <v>1471280</v>
      </c>
      <c r="BZ43" s="112">
        <f>+BZ11+BZ28</f>
        <v>1550670</v>
      </c>
      <c r="CA43" s="159"/>
      <c r="CB43" s="159"/>
      <c r="CC43" s="159"/>
    </row>
    <row r="44" spans="2:81" ht="10.5" customHeight="1">
      <c r="B44" s="21"/>
      <c r="C44" s="20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61">
        <v>0</v>
      </c>
      <c r="BM44" s="61">
        <v>0</v>
      </c>
      <c r="BN44" s="61">
        <v>0</v>
      </c>
      <c r="BO44" s="2"/>
      <c r="BP44" s="2"/>
      <c r="BQ44" s="2"/>
      <c r="BR44" s="2"/>
      <c r="BS44" s="2"/>
      <c r="BT44" s="2"/>
      <c r="BU44" s="2"/>
      <c r="BV44" s="2"/>
      <c r="BW44" s="61"/>
      <c r="BX44" s="61"/>
      <c r="BY44" s="61"/>
      <c r="BZ44" s="61"/>
      <c r="CA44" s="159"/>
      <c r="CB44" s="159"/>
      <c r="CC44" s="159"/>
    </row>
    <row r="45" spans="2:81">
      <c r="B45" s="115" t="s">
        <v>377</v>
      </c>
      <c r="C45" s="201" t="s">
        <v>152</v>
      </c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>
        <v>0</v>
      </c>
      <c r="BM45" s="115">
        <v>0</v>
      </c>
      <c r="BN45" s="115">
        <v>0</v>
      </c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59"/>
      <c r="CB45" s="159"/>
      <c r="CC45" s="159"/>
    </row>
    <row r="46" spans="2:81">
      <c r="B46" s="21"/>
      <c r="C46" s="202"/>
      <c r="BL46" s="18"/>
      <c r="BM46" s="18"/>
      <c r="BN46" s="18"/>
      <c r="BW46" s="18"/>
      <c r="BX46" s="18"/>
      <c r="BY46" s="18"/>
      <c r="BZ46" s="18"/>
      <c r="CA46" s="159"/>
      <c r="CB46" s="159"/>
      <c r="CC46" s="159"/>
    </row>
    <row r="47" spans="2:81">
      <c r="B47" s="107" t="s">
        <v>351</v>
      </c>
      <c r="C47" s="193" t="s">
        <v>127</v>
      </c>
      <c r="D47" s="112">
        <v>101232</v>
      </c>
      <c r="E47" s="112">
        <v>102878</v>
      </c>
      <c r="F47" s="112">
        <v>123422</v>
      </c>
      <c r="G47" s="112">
        <v>101232</v>
      </c>
      <c r="H47" s="112">
        <v>95039</v>
      </c>
      <c r="I47" s="112">
        <v>96686</v>
      </c>
      <c r="J47" s="112">
        <v>124626</v>
      </c>
      <c r="K47" s="112">
        <v>133262</v>
      </c>
      <c r="L47" s="112">
        <v>124768</v>
      </c>
      <c r="M47" s="112">
        <v>128801</v>
      </c>
      <c r="N47" s="112">
        <v>111179</v>
      </c>
      <c r="O47" s="112">
        <v>129376</v>
      </c>
      <c r="P47" s="112">
        <v>131548</v>
      </c>
      <c r="Q47" s="112">
        <v>126199</v>
      </c>
      <c r="R47" s="112">
        <v>168580</v>
      </c>
      <c r="S47" s="112">
        <v>181847</v>
      </c>
      <c r="T47" s="112">
        <v>231757</v>
      </c>
      <c r="U47" s="112">
        <v>207266</v>
      </c>
      <c r="V47" s="112">
        <v>285913</v>
      </c>
      <c r="W47" s="112">
        <v>238870</v>
      </c>
      <c r="X47" s="112">
        <v>254989</v>
      </c>
      <c r="Y47" s="112">
        <v>235458</v>
      </c>
      <c r="Z47" s="112">
        <v>246493</v>
      </c>
      <c r="AA47" s="112">
        <v>223274</v>
      </c>
      <c r="AB47" s="112">
        <v>176036</v>
      </c>
      <c r="AC47" s="112">
        <v>148690</v>
      </c>
      <c r="AD47" s="112">
        <v>185367</v>
      </c>
      <c r="AE47" s="112">
        <v>208362</v>
      </c>
      <c r="AF47" s="112">
        <v>189169</v>
      </c>
      <c r="AG47" s="112">
        <v>202486</v>
      </c>
      <c r="AH47" s="112">
        <v>237965</v>
      </c>
      <c r="AI47" s="112">
        <v>226944</v>
      </c>
      <c r="AJ47" s="112">
        <v>183244</v>
      </c>
      <c r="AK47" s="112">
        <v>205272</v>
      </c>
      <c r="AL47" s="112">
        <v>199329</v>
      </c>
      <c r="AM47" s="112">
        <v>204321</v>
      </c>
      <c r="AN47" s="112">
        <v>177609</v>
      </c>
      <c r="AO47" s="112">
        <v>190936</v>
      </c>
      <c r="AP47" s="112">
        <v>180693</v>
      </c>
      <c r="AQ47" s="112">
        <v>176953</v>
      </c>
      <c r="AR47" s="112">
        <v>152844</v>
      </c>
      <c r="AS47" s="112">
        <v>202887</v>
      </c>
      <c r="AT47" s="112">
        <v>296717</v>
      </c>
      <c r="AU47" s="112">
        <v>396525</v>
      </c>
      <c r="AV47" s="112">
        <f t="shared" ref="AV47" si="26">SUM(AV48:AV61)</f>
        <v>382666</v>
      </c>
      <c r="AW47" s="112">
        <f t="shared" ref="AW47" si="27">SUM(AW48:AW61)</f>
        <v>461201</v>
      </c>
      <c r="AX47" s="112">
        <f t="shared" ref="AX47" si="28">SUM(AX48:AX61)</f>
        <v>581070</v>
      </c>
      <c r="AY47" s="112">
        <f t="shared" ref="AY47" si="29">SUM(AY48:AY61)</f>
        <v>493432</v>
      </c>
      <c r="AZ47" s="112">
        <f t="shared" ref="AZ47" si="30">SUM(AZ48:AZ61)</f>
        <v>482436</v>
      </c>
      <c r="BA47" s="112">
        <f t="shared" ref="BA47" si="31">SUM(BA48:BA61)</f>
        <v>585805</v>
      </c>
      <c r="BB47" s="112">
        <f t="shared" ref="BB47" si="32">SUM(BB48:BB61)</f>
        <v>589978</v>
      </c>
      <c r="BC47" s="112">
        <f t="shared" ref="BC47" si="33">SUM(BC48:BC61)</f>
        <v>574303</v>
      </c>
      <c r="BD47" s="112">
        <f t="shared" ref="BD47:BF47" si="34">SUM(BD48:BD61)</f>
        <v>498361</v>
      </c>
      <c r="BE47" s="112">
        <f t="shared" si="34"/>
        <v>402762</v>
      </c>
      <c r="BF47" s="112">
        <f t="shared" si="34"/>
        <v>552021</v>
      </c>
      <c r="BG47" s="112">
        <f>SUM(BG48:BG61)</f>
        <v>607901</v>
      </c>
      <c r="BH47" s="112">
        <f t="shared" ref="BH47:BK47" si="35">SUM(BH48:BH61)</f>
        <v>478131</v>
      </c>
      <c r="BI47" s="112">
        <f t="shared" si="35"/>
        <v>486536</v>
      </c>
      <c r="BJ47" s="112">
        <f t="shared" si="35"/>
        <v>504140</v>
      </c>
      <c r="BK47" s="112">
        <f t="shared" si="35"/>
        <v>0</v>
      </c>
      <c r="BL47" s="112">
        <v>101232</v>
      </c>
      <c r="BM47" s="112">
        <v>133262</v>
      </c>
      <c r="BN47" s="112">
        <v>129376</v>
      </c>
      <c r="BO47" s="112">
        <v>181847</v>
      </c>
      <c r="BP47" s="112">
        <v>238870</v>
      </c>
      <c r="BQ47" s="112">
        <v>223274</v>
      </c>
      <c r="BR47" s="112">
        <v>208362</v>
      </c>
      <c r="BS47" s="112">
        <v>226944</v>
      </c>
      <c r="BT47" s="112">
        <v>204321</v>
      </c>
      <c r="BU47" s="112">
        <v>176953</v>
      </c>
      <c r="BV47" s="112">
        <v>396525</v>
      </c>
      <c r="BW47" s="112">
        <v>493432</v>
      </c>
      <c r="BX47" s="112">
        <v>574303</v>
      </c>
      <c r="BY47" s="112">
        <f>SUM(BY48:BY61)</f>
        <v>607901</v>
      </c>
      <c r="BZ47" s="112">
        <f>SUM(BZ48:BZ61)</f>
        <v>504140</v>
      </c>
      <c r="CA47" s="159"/>
      <c r="CB47" s="159"/>
      <c r="CC47" s="159"/>
    </row>
    <row r="48" spans="2:81">
      <c r="B48" s="21" t="s">
        <v>378</v>
      </c>
      <c r="C48" s="202" t="s">
        <v>98</v>
      </c>
      <c r="D48" s="2">
        <v>20492</v>
      </c>
      <c r="E48" s="2">
        <v>21428</v>
      </c>
      <c r="F48" s="2">
        <v>26377</v>
      </c>
      <c r="G48" s="2">
        <v>20492</v>
      </c>
      <c r="H48" s="2">
        <v>21890</v>
      </c>
      <c r="I48" s="2">
        <v>18832</v>
      </c>
      <c r="J48" s="2">
        <v>33108</v>
      </c>
      <c r="K48" s="2">
        <v>30944</v>
      </c>
      <c r="L48" s="2">
        <v>18524</v>
      </c>
      <c r="M48" s="2">
        <v>18340</v>
      </c>
      <c r="N48" s="2">
        <v>31408</v>
      </c>
      <c r="O48" s="2">
        <v>28115</v>
      </c>
      <c r="P48" s="2">
        <v>30043</v>
      </c>
      <c r="Q48" s="2">
        <v>28538</v>
      </c>
      <c r="R48" s="2">
        <v>38890</v>
      </c>
      <c r="S48" s="2">
        <v>43843</v>
      </c>
      <c r="T48" s="2">
        <v>45888</v>
      </c>
      <c r="U48" s="2">
        <v>37479</v>
      </c>
      <c r="V48" s="2">
        <v>63619</v>
      </c>
      <c r="W48" s="2">
        <v>30000</v>
      </c>
      <c r="X48" s="2">
        <v>30621</v>
      </c>
      <c r="Y48" s="2">
        <v>40924</v>
      </c>
      <c r="Z48" s="2">
        <v>58534</v>
      </c>
      <c r="AA48" s="2">
        <v>50476</v>
      </c>
      <c r="AB48" s="2">
        <v>36782</v>
      </c>
      <c r="AC48" s="2">
        <v>28349</v>
      </c>
      <c r="AD48" s="2">
        <v>45279</v>
      </c>
      <c r="AE48" s="2">
        <v>46573</v>
      </c>
      <c r="AF48" s="2">
        <v>55113</v>
      </c>
      <c r="AG48" s="2">
        <v>48763</v>
      </c>
      <c r="AH48" s="2">
        <v>65415</v>
      </c>
      <c r="AI48" s="2">
        <v>52385</v>
      </c>
      <c r="AJ48" s="2">
        <v>37969</v>
      </c>
      <c r="AK48" s="2">
        <v>52424</v>
      </c>
      <c r="AL48" s="2">
        <v>53025</v>
      </c>
      <c r="AM48" s="2">
        <v>45736</v>
      </c>
      <c r="AN48" s="2">
        <v>46523</v>
      </c>
      <c r="AO48" s="2">
        <v>46715</v>
      </c>
      <c r="AP48" s="2">
        <v>42392</v>
      </c>
      <c r="AQ48" s="2">
        <v>53652</v>
      </c>
      <c r="AR48" s="2">
        <v>31196</v>
      </c>
      <c r="AS48" s="2">
        <v>34959</v>
      </c>
      <c r="AT48" s="2">
        <v>69914</v>
      </c>
      <c r="AU48" s="2">
        <v>75197</v>
      </c>
      <c r="AV48" s="2">
        <v>92106</v>
      </c>
      <c r="AW48" s="2">
        <v>95728</v>
      </c>
      <c r="AX48" s="2">
        <v>122825</v>
      </c>
      <c r="AY48" s="2">
        <v>66990</v>
      </c>
      <c r="AZ48" s="2">
        <v>114768</v>
      </c>
      <c r="BA48" s="2">
        <v>103514</v>
      </c>
      <c r="BB48" s="2">
        <v>104335</v>
      </c>
      <c r="BC48" s="2">
        <v>70557</v>
      </c>
      <c r="BD48" s="2">
        <v>69248</v>
      </c>
      <c r="BE48" s="2">
        <v>76555</v>
      </c>
      <c r="BF48" s="2">
        <v>138384</v>
      </c>
      <c r="BG48" s="2">
        <v>120878</v>
      </c>
      <c r="BH48" s="2">
        <v>103087</v>
      </c>
      <c r="BI48" s="2">
        <v>95195</v>
      </c>
      <c r="BJ48" s="2">
        <v>114461</v>
      </c>
      <c r="BK48" s="2"/>
      <c r="BL48" s="2">
        <v>20492</v>
      </c>
      <c r="BM48" s="2">
        <v>30944</v>
      </c>
      <c r="BN48" s="2">
        <v>28115</v>
      </c>
      <c r="BO48" s="2">
        <v>43843</v>
      </c>
      <c r="BP48" s="2">
        <v>30000</v>
      </c>
      <c r="BQ48" s="2">
        <v>50476</v>
      </c>
      <c r="BR48" s="2">
        <v>46573</v>
      </c>
      <c r="BS48" s="2">
        <v>52385</v>
      </c>
      <c r="BT48" s="2">
        <v>45736</v>
      </c>
      <c r="BU48" s="2">
        <v>53652</v>
      </c>
      <c r="BV48" s="2">
        <v>75197</v>
      </c>
      <c r="BW48" s="2">
        <v>66990</v>
      </c>
      <c r="BX48" s="2">
        <v>70557</v>
      </c>
      <c r="BY48" s="2">
        <f t="shared" ref="BY48:BY80" si="36">BG48</f>
        <v>120878</v>
      </c>
      <c r="BZ48" s="2">
        <f t="shared" ref="BZ48:BZ61" si="37">BJ48</f>
        <v>114461</v>
      </c>
      <c r="CA48" s="159"/>
      <c r="CB48" s="159"/>
      <c r="CC48" s="159"/>
    </row>
    <row r="49" spans="2:81">
      <c r="B49" s="21" t="s">
        <v>379</v>
      </c>
      <c r="C49" s="202" t="s">
        <v>153</v>
      </c>
      <c r="D49" s="2">
        <v>22147</v>
      </c>
      <c r="E49" s="2">
        <v>11650</v>
      </c>
      <c r="F49" s="2">
        <v>21939</v>
      </c>
      <c r="G49" s="2">
        <v>22147</v>
      </c>
      <c r="H49" s="2">
        <v>20458</v>
      </c>
      <c r="I49" s="2">
        <v>18424</v>
      </c>
      <c r="J49" s="2">
        <v>18897</v>
      </c>
      <c r="K49" s="2">
        <v>31564</v>
      </c>
      <c r="L49" s="2">
        <v>42078</v>
      </c>
      <c r="M49" s="2">
        <v>54390</v>
      </c>
      <c r="N49" s="2">
        <v>11669</v>
      </c>
      <c r="O49" s="2">
        <v>12880</v>
      </c>
      <c r="P49" s="2">
        <v>11915</v>
      </c>
      <c r="Q49" s="2">
        <v>10676</v>
      </c>
      <c r="R49" s="2">
        <v>11438</v>
      </c>
      <c r="S49" s="2">
        <v>13842</v>
      </c>
      <c r="T49" s="2">
        <v>22056</v>
      </c>
      <c r="U49" s="2">
        <v>25006</v>
      </c>
      <c r="V49" s="2">
        <v>28009</v>
      </c>
      <c r="W49" s="2">
        <v>37769</v>
      </c>
      <c r="X49" s="2">
        <v>39677</v>
      </c>
      <c r="Y49" s="2">
        <v>45075</v>
      </c>
      <c r="Z49" s="2">
        <v>52589</v>
      </c>
      <c r="AA49" s="2">
        <v>48674</v>
      </c>
      <c r="AB49" s="2">
        <v>45927</v>
      </c>
      <c r="AC49" s="2">
        <v>33446</v>
      </c>
      <c r="AD49" s="2">
        <v>41724</v>
      </c>
      <c r="AE49" s="2">
        <v>50045</v>
      </c>
      <c r="AF49" s="2">
        <v>52514</v>
      </c>
      <c r="AG49" s="2">
        <v>55205</v>
      </c>
      <c r="AH49" s="2">
        <v>58140</v>
      </c>
      <c r="AI49" s="2">
        <v>49487</v>
      </c>
      <c r="AJ49" s="2">
        <v>39278</v>
      </c>
      <c r="AK49" s="2">
        <v>41496</v>
      </c>
      <c r="AL49" s="2">
        <v>31048</v>
      </c>
      <c r="AM49" s="2">
        <v>31290</v>
      </c>
      <c r="AN49" s="2">
        <v>41679</v>
      </c>
      <c r="AO49" s="2">
        <v>41445</v>
      </c>
      <c r="AP49" s="2">
        <v>25091</v>
      </c>
      <c r="AQ49" s="2">
        <v>24352</v>
      </c>
      <c r="AR49" s="2">
        <v>38267</v>
      </c>
      <c r="AS49" s="2">
        <v>39663</v>
      </c>
      <c r="AT49" s="2">
        <v>40752</v>
      </c>
      <c r="AU49" s="2">
        <v>5993</v>
      </c>
      <c r="AV49" s="2">
        <v>5990</v>
      </c>
      <c r="AW49" s="2">
        <v>5987</v>
      </c>
      <c r="AX49" s="2">
        <v>16860</v>
      </c>
      <c r="AY49" s="2">
        <v>17125</v>
      </c>
      <c r="AZ49" s="2">
        <v>17221</v>
      </c>
      <c r="BA49" s="2">
        <v>79703</v>
      </c>
      <c r="BB49" s="2">
        <v>76211</v>
      </c>
      <c r="BC49" s="2">
        <v>78748</v>
      </c>
      <c r="BD49" s="2">
        <v>83310</v>
      </c>
      <c r="BE49" s="2">
        <v>74439</v>
      </c>
      <c r="BF49" s="2">
        <v>129044</v>
      </c>
      <c r="BG49" s="2">
        <v>129486</v>
      </c>
      <c r="BH49" s="2">
        <v>90295</v>
      </c>
      <c r="BI49" s="2">
        <v>84018</v>
      </c>
      <c r="BJ49" s="2">
        <v>90536</v>
      </c>
      <c r="BK49" s="2"/>
      <c r="BL49" s="2">
        <v>22147</v>
      </c>
      <c r="BM49" s="2">
        <v>31564</v>
      </c>
      <c r="BN49" s="2">
        <v>12880</v>
      </c>
      <c r="BO49" s="2">
        <v>13842</v>
      </c>
      <c r="BP49" s="2">
        <v>37769</v>
      </c>
      <c r="BQ49" s="2">
        <v>48674</v>
      </c>
      <c r="BR49" s="2">
        <v>50045</v>
      </c>
      <c r="BS49" s="2">
        <v>49487</v>
      </c>
      <c r="BT49" s="2">
        <v>31290</v>
      </c>
      <c r="BU49" s="2">
        <v>24352</v>
      </c>
      <c r="BV49" s="2">
        <v>5993</v>
      </c>
      <c r="BW49" s="2">
        <v>17125</v>
      </c>
      <c r="BX49" s="2">
        <v>78748</v>
      </c>
      <c r="BY49" s="2">
        <f t="shared" si="36"/>
        <v>129486</v>
      </c>
      <c r="BZ49" s="2">
        <f t="shared" si="37"/>
        <v>90536</v>
      </c>
      <c r="CA49" s="159"/>
      <c r="CB49" s="159"/>
      <c r="CC49" s="159"/>
    </row>
    <row r="50" spans="2:81" hidden="1" outlineLevel="1">
      <c r="B50" s="21" t="s">
        <v>380</v>
      </c>
      <c r="C50" s="202" t="s">
        <v>154</v>
      </c>
      <c r="D50" s="2">
        <v>11472</v>
      </c>
      <c r="E50" s="2">
        <v>10125</v>
      </c>
      <c r="F50" s="2">
        <v>10306</v>
      </c>
      <c r="G50" s="2">
        <v>11472</v>
      </c>
      <c r="H50" s="2">
        <v>11460</v>
      </c>
      <c r="I50" s="2">
        <v>11420</v>
      </c>
      <c r="J50" s="2">
        <v>11442</v>
      </c>
      <c r="K50" s="2">
        <v>11441</v>
      </c>
      <c r="L50" s="2">
        <v>22920</v>
      </c>
      <c r="M50" s="2">
        <v>10047</v>
      </c>
      <c r="N50" s="2">
        <v>9956</v>
      </c>
      <c r="O50" s="2">
        <v>19762</v>
      </c>
      <c r="P50" s="2">
        <v>19809</v>
      </c>
      <c r="Q50" s="2">
        <v>8586</v>
      </c>
      <c r="R50" s="2">
        <v>8636</v>
      </c>
      <c r="S50" s="2">
        <v>17426</v>
      </c>
      <c r="T50" s="2">
        <v>16046</v>
      </c>
      <c r="U50" s="2">
        <v>7440</v>
      </c>
      <c r="V50" s="2">
        <v>6887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/>
      <c r="BJ50" s="2"/>
      <c r="BK50" s="2"/>
      <c r="BL50" s="2">
        <v>11472</v>
      </c>
      <c r="BM50" s="2">
        <v>11441</v>
      </c>
      <c r="BN50" s="2">
        <v>19762</v>
      </c>
      <c r="BO50" s="2">
        <v>17426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f t="shared" si="36"/>
        <v>0</v>
      </c>
      <c r="BZ50" s="2">
        <f t="shared" si="37"/>
        <v>0</v>
      </c>
      <c r="CA50" s="159"/>
      <c r="CB50" s="159"/>
      <c r="CC50" s="159"/>
    </row>
    <row r="51" spans="2:81" hidden="1" outlineLevel="1">
      <c r="B51" s="21" t="s">
        <v>365</v>
      </c>
      <c r="C51" s="202" t="s">
        <v>139</v>
      </c>
      <c r="D51" s="2">
        <v>0</v>
      </c>
      <c r="E51" s="2">
        <v>29</v>
      </c>
      <c r="F51" s="2">
        <v>0</v>
      </c>
      <c r="G51" s="2">
        <v>0</v>
      </c>
      <c r="H51" s="2">
        <v>0</v>
      </c>
      <c r="I51" s="2">
        <v>100</v>
      </c>
      <c r="J51" s="2">
        <v>1132</v>
      </c>
      <c r="K51" s="2">
        <v>391</v>
      </c>
      <c r="L51" s="2">
        <v>12</v>
      </c>
      <c r="M51" s="2">
        <v>490</v>
      </c>
      <c r="N51" s="2">
        <v>128</v>
      </c>
      <c r="O51" s="2">
        <v>8</v>
      </c>
      <c r="P51" s="2">
        <v>0</v>
      </c>
      <c r="Q51" s="2">
        <v>150</v>
      </c>
      <c r="R51" s="2">
        <v>0</v>
      </c>
      <c r="S51" s="2">
        <v>326</v>
      </c>
      <c r="T51" s="2">
        <v>1637</v>
      </c>
      <c r="U51" s="2">
        <v>0</v>
      </c>
      <c r="V51" s="2">
        <v>566</v>
      </c>
      <c r="W51" s="2">
        <v>0</v>
      </c>
      <c r="X51" s="2">
        <v>0</v>
      </c>
      <c r="Y51" s="2">
        <v>0</v>
      </c>
      <c r="Z51" s="2">
        <v>181</v>
      </c>
      <c r="AA51" s="2">
        <v>465</v>
      </c>
      <c r="AB51" s="2">
        <v>146</v>
      </c>
      <c r="AC51" s="2">
        <v>158</v>
      </c>
      <c r="AD51" s="2">
        <v>102</v>
      </c>
      <c r="AE51" s="2">
        <v>0</v>
      </c>
      <c r="AF51" s="2">
        <v>0</v>
      </c>
      <c r="AG51" s="2">
        <v>0</v>
      </c>
      <c r="AH51" s="2">
        <v>62</v>
      </c>
      <c r="AI51" s="2">
        <v>0</v>
      </c>
      <c r="AJ51" s="2">
        <v>203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/>
      <c r="BJ51" s="2"/>
      <c r="BK51" s="2"/>
      <c r="BL51" s="2">
        <v>0</v>
      </c>
      <c r="BM51" s="2">
        <v>391</v>
      </c>
      <c r="BN51" s="2">
        <v>8</v>
      </c>
      <c r="BO51" s="2">
        <v>326</v>
      </c>
      <c r="BP51" s="2">
        <v>0</v>
      </c>
      <c r="BQ51" s="2">
        <v>465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f t="shared" si="36"/>
        <v>0</v>
      </c>
      <c r="BZ51" s="2">
        <f t="shared" si="37"/>
        <v>0</v>
      </c>
      <c r="CA51" s="159"/>
      <c r="CB51" s="159"/>
      <c r="CC51" s="159"/>
    </row>
    <row r="52" spans="2:81" collapsed="1">
      <c r="B52" s="21" t="s">
        <v>381</v>
      </c>
      <c r="C52" s="202" t="s">
        <v>247</v>
      </c>
      <c r="D52" s="2">
        <v>12628</v>
      </c>
      <c r="E52" s="2">
        <v>8997</v>
      </c>
      <c r="F52" s="2">
        <v>10213</v>
      </c>
      <c r="G52" s="2">
        <v>12628</v>
      </c>
      <c r="H52" s="2">
        <v>8867</v>
      </c>
      <c r="I52" s="2">
        <v>10226</v>
      </c>
      <c r="J52" s="2">
        <v>12751</v>
      </c>
      <c r="K52" s="2">
        <v>16142</v>
      </c>
      <c r="L52" s="2">
        <v>13335</v>
      </c>
      <c r="M52" s="2">
        <v>12070</v>
      </c>
      <c r="N52" s="2">
        <v>12248</v>
      </c>
      <c r="O52" s="2">
        <v>15781</v>
      </c>
      <c r="P52" s="2">
        <v>14200</v>
      </c>
      <c r="Q52" s="2">
        <v>14374</v>
      </c>
      <c r="R52" s="2">
        <v>16941</v>
      </c>
      <c r="S52" s="2">
        <v>20471</v>
      </c>
      <c r="T52" s="2">
        <v>20823</v>
      </c>
      <c r="U52" s="2">
        <v>19476</v>
      </c>
      <c r="V52" s="2">
        <v>22275</v>
      </c>
      <c r="W52" s="2">
        <v>25983</v>
      </c>
      <c r="X52" s="2">
        <v>23295</v>
      </c>
      <c r="Y52" s="2">
        <v>20892</v>
      </c>
      <c r="Z52" s="2">
        <v>20933</v>
      </c>
      <c r="AA52" s="2">
        <v>14581</v>
      </c>
      <c r="AB52" s="2">
        <v>11565</v>
      </c>
      <c r="AC52" s="2">
        <v>14837</v>
      </c>
      <c r="AD52" s="2">
        <v>14591</v>
      </c>
      <c r="AE52" s="2">
        <v>15120</v>
      </c>
      <c r="AF52" s="2">
        <v>14609</v>
      </c>
      <c r="AG52" s="2">
        <v>17805</v>
      </c>
      <c r="AH52" s="2">
        <v>20792</v>
      </c>
      <c r="AI52" s="2">
        <v>11686</v>
      </c>
      <c r="AJ52" s="2">
        <v>10854</v>
      </c>
      <c r="AK52" s="2">
        <v>12373</v>
      </c>
      <c r="AL52" s="2">
        <v>14561</v>
      </c>
      <c r="AM52" s="2">
        <v>11800</v>
      </c>
      <c r="AN52" s="2">
        <v>9902</v>
      </c>
      <c r="AO52" s="2">
        <v>13802</v>
      </c>
      <c r="AP52" s="2">
        <v>19176</v>
      </c>
      <c r="AQ52" s="2">
        <v>19078</v>
      </c>
      <c r="AR52" s="2">
        <v>14936</v>
      </c>
      <c r="AS52" s="2">
        <v>20748</v>
      </c>
      <c r="AT52" s="2">
        <v>25550</v>
      </c>
      <c r="AU52" s="2">
        <v>23826</v>
      </c>
      <c r="AV52" s="2">
        <v>17787</v>
      </c>
      <c r="AW52" s="2">
        <v>20981</v>
      </c>
      <c r="AX52" s="2">
        <v>28392</v>
      </c>
      <c r="AY52" s="2">
        <v>27186</v>
      </c>
      <c r="AZ52" s="2">
        <v>26144</v>
      </c>
      <c r="BA52" s="2">
        <v>35532</v>
      </c>
      <c r="BB52" s="2">
        <v>47909</v>
      </c>
      <c r="BC52" s="2">
        <v>43707</v>
      </c>
      <c r="BD52" s="2">
        <v>27456</v>
      </c>
      <c r="BE52" s="2">
        <v>35668</v>
      </c>
      <c r="BF52" s="2">
        <v>45934</v>
      </c>
      <c r="BG52" s="2">
        <v>44844</v>
      </c>
      <c r="BH52" s="2">
        <v>32031</v>
      </c>
      <c r="BI52" s="2">
        <v>40581</v>
      </c>
      <c r="BJ52" s="2">
        <v>52254</v>
      </c>
      <c r="BK52" s="2"/>
      <c r="BL52" s="2">
        <v>12628</v>
      </c>
      <c r="BM52" s="2">
        <v>16142</v>
      </c>
      <c r="BN52" s="2">
        <v>15781</v>
      </c>
      <c r="BO52" s="2">
        <v>20471</v>
      </c>
      <c r="BP52" s="2">
        <v>25983</v>
      </c>
      <c r="BQ52" s="2">
        <v>14581</v>
      </c>
      <c r="BR52" s="2">
        <v>15120</v>
      </c>
      <c r="BS52" s="2">
        <v>11686</v>
      </c>
      <c r="BT52" s="2">
        <v>11800</v>
      </c>
      <c r="BU52" s="2">
        <v>19078</v>
      </c>
      <c r="BV52" s="2">
        <v>23826</v>
      </c>
      <c r="BW52" s="2">
        <v>27186</v>
      </c>
      <c r="BX52" s="2">
        <v>43707</v>
      </c>
      <c r="BY52" s="2">
        <f t="shared" si="36"/>
        <v>44844</v>
      </c>
      <c r="BZ52" s="2">
        <f t="shared" si="37"/>
        <v>52254</v>
      </c>
      <c r="CA52" s="159"/>
      <c r="CB52" s="159"/>
      <c r="CC52" s="159"/>
    </row>
    <row r="53" spans="2:81">
      <c r="B53" s="21" t="s">
        <v>382</v>
      </c>
      <c r="C53" s="202" t="s">
        <v>155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32288</v>
      </c>
      <c r="J53" s="2">
        <v>40068</v>
      </c>
      <c r="K53" s="2">
        <v>30955</v>
      </c>
      <c r="L53" s="2">
        <v>21614</v>
      </c>
      <c r="M53" s="2">
        <v>26568</v>
      </c>
      <c r="N53" s="2">
        <v>37032</v>
      </c>
      <c r="O53" s="2">
        <v>35421</v>
      </c>
      <c r="P53" s="2">
        <v>41052</v>
      </c>
      <c r="Q53" s="2">
        <v>46833</v>
      </c>
      <c r="R53" s="2">
        <v>73839</v>
      </c>
      <c r="S53" s="2">
        <v>67127</v>
      </c>
      <c r="T53" s="2">
        <v>105607</v>
      </c>
      <c r="U53" s="2">
        <v>94209</v>
      </c>
      <c r="V53" s="2">
        <v>141731</v>
      </c>
      <c r="W53" s="2">
        <v>113269</v>
      </c>
      <c r="X53" s="2">
        <v>134242</v>
      </c>
      <c r="Y53" s="2">
        <v>115873</v>
      </c>
      <c r="Z53" s="2">
        <v>96438</v>
      </c>
      <c r="AA53" s="2">
        <v>81796</v>
      </c>
      <c r="AB53" s="2">
        <v>63433</v>
      </c>
      <c r="AC53" s="2">
        <v>58506</v>
      </c>
      <c r="AD53" s="2">
        <v>69219</v>
      </c>
      <c r="AE53" s="2">
        <v>60466</v>
      </c>
      <c r="AF53" s="2">
        <v>40481</v>
      </c>
      <c r="AG53" s="2">
        <v>56043</v>
      </c>
      <c r="AH53" s="2">
        <v>72352</v>
      </c>
      <c r="AI53" s="2">
        <v>79597</v>
      </c>
      <c r="AJ53" s="2">
        <v>72446</v>
      </c>
      <c r="AK53" s="2">
        <v>77441</v>
      </c>
      <c r="AL53" s="2">
        <v>76332</v>
      </c>
      <c r="AM53" s="2">
        <v>83736</v>
      </c>
      <c r="AN53" s="2">
        <v>51696</v>
      </c>
      <c r="AO53" s="2">
        <v>66792</v>
      </c>
      <c r="AP53" s="2">
        <v>73742</v>
      </c>
      <c r="AQ53" s="2">
        <v>49997</v>
      </c>
      <c r="AR53" s="2">
        <v>42089</v>
      </c>
      <c r="AS53" s="2">
        <v>74396</v>
      </c>
      <c r="AT53" s="2">
        <v>137827</v>
      </c>
      <c r="AU53" s="2">
        <v>254527</v>
      </c>
      <c r="AV53" s="2">
        <v>232191</v>
      </c>
      <c r="AW53" s="2">
        <v>289549</v>
      </c>
      <c r="AX53" s="2">
        <v>368525</v>
      </c>
      <c r="AY53" s="2">
        <v>310513</v>
      </c>
      <c r="AZ53" s="2">
        <v>192113</v>
      </c>
      <c r="BA53" s="2">
        <v>310005</v>
      </c>
      <c r="BB53" s="2">
        <v>290208</v>
      </c>
      <c r="BC53" s="2">
        <v>220219</v>
      </c>
      <c r="BD53" s="2">
        <v>167607</v>
      </c>
      <c r="BE53" s="2">
        <v>152446</v>
      </c>
      <c r="BF53" s="2">
        <v>164908</v>
      </c>
      <c r="BG53" s="2">
        <v>197992</v>
      </c>
      <c r="BH53" s="2">
        <v>140243</v>
      </c>
      <c r="BI53" s="2">
        <v>153756</v>
      </c>
      <c r="BJ53" s="2">
        <v>156743</v>
      </c>
      <c r="BK53" s="2"/>
      <c r="BL53" s="2">
        <v>0</v>
      </c>
      <c r="BM53" s="2">
        <v>30955</v>
      </c>
      <c r="BN53" s="2">
        <v>35421</v>
      </c>
      <c r="BO53" s="2">
        <v>67127</v>
      </c>
      <c r="BP53" s="2">
        <v>113269</v>
      </c>
      <c r="BQ53" s="2">
        <v>81796</v>
      </c>
      <c r="BR53" s="2">
        <v>60466</v>
      </c>
      <c r="BS53" s="2">
        <v>79597</v>
      </c>
      <c r="BT53" s="2">
        <v>83736</v>
      </c>
      <c r="BU53" s="2">
        <v>49997</v>
      </c>
      <c r="BV53" s="2">
        <v>254527</v>
      </c>
      <c r="BW53" s="2">
        <v>310513</v>
      </c>
      <c r="BX53" s="2">
        <v>220219</v>
      </c>
      <c r="BY53" s="2">
        <f t="shared" si="36"/>
        <v>197992</v>
      </c>
      <c r="BZ53" s="2">
        <f t="shared" si="37"/>
        <v>156743</v>
      </c>
      <c r="CA53" s="159"/>
      <c r="CB53" s="159"/>
      <c r="CC53" s="159"/>
    </row>
    <row r="54" spans="2:81">
      <c r="B54" s="21" t="s">
        <v>360</v>
      </c>
      <c r="C54" s="202" t="s">
        <v>156</v>
      </c>
      <c r="D54" s="2">
        <v>2208</v>
      </c>
      <c r="E54" s="2">
        <v>2325</v>
      </c>
      <c r="F54" s="2">
        <v>2738</v>
      </c>
      <c r="G54" s="2">
        <v>2208</v>
      </c>
      <c r="H54" s="2">
        <v>747</v>
      </c>
      <c r="I54" s="2">
        <v>1314</v>
      </c>
      <c r="J54" s="2">
        <v>1236</v>
      </c>
      <c r="K54" s="2">
        <v>2475</v>
      </c>
      <c r="L54" s="2">
        <v>858</v>
      </c>
      <c r="M54" s="2">
        <v>875</v>
      </c>
      <c r="N54" s="2">
        <v>978</v>
      </c>
      <c r="O54" s="2">
        <v>2822</v>
      </c>
      <c r="P54" s="2">
        <v>1641</v>
      </c>
      <c r="Q54" s="2">
        <v>2773</v>
      </c>
      <c r="R54" s="2">
        <v>7286</v>
      </c>
      <c r="S54" s="2">
        <v>2268</v>
      </c>
      <c r="T54" s="2">
        <v>4522</v>
      </c>
      <c r="U54" s="2">
        <v>8260</v>
      </c>
      <c r="V54" s="2">
        <v>8276</v>
      </c>
      <c r="W54" s="2">
        <v>4170</v>
      </c>
      <c r="X54" s="2">
        <v>1740</v>
      </c>
      <c r="Y54" s="2">
        <v>3058</v>
      </c>
      <c r="Z54" s="2">
        <v>3817</v>
      </c>
      <c r="AA54" s="2">
        <v>5249</v>
      </c>
      <c r="AB54" s="2">
        <v>4504</v>
      </c>
      <c r="AC54" s="2">
        <v>3085</v>
      </c>
      <c r="AD54" s="2">
        <v>4157</v>
      </c>
      <c r="AE54" s="2">
        <v>4839</v>
      </c>
      <c r="AF54" s="2">
        <v>3264</v>
      </c>
      <c r="AG54" s="2">
        <v>3780</v>
      </c>
      <c r="AH54" s="2">
        <v>3827</v>
      </c>
      <c r="AI54" s="2">
        <v>4182</v>
      </c>
      <c r="AJ54" s="2">
        <v>2659</v>
      </c>
      <c r="AK54" s="2">
        <v>2846</v>
      </c>
      <c r="AL54" s="2">
        <v>2842</v>
      </c>
      <c r="AM54" s="2">
        <v>7676</v>
      </c>
      <c r="AN54" s="2">
        <v>2494</v>
      </c>
      <c r="AO54" s="2">
        <v>1801</v>
      </c>
      <c r="AP54" s="2">
        <v>1628</v>
      </c>
      <c r="AQ54" s="2">
        <v>2386</v>
      </c>
      <c r="AR54" s="2">
        <v>1346</v>
      </c>
      <c r="AS54" s="2">
        <v>2671</v>
      </c>
      <c r="AT54" s="2">
        <v>1771</v>
      </c>
      <c r="AU54" s="2">
        <v>1829</v>
      </c>
      <c r="AV54" s="2">
        <v>1569</v>
      </c>
      <c r="AW54" s="2">
        <v>1954</v>
      </c>
      <c r="AX54" s="2">
        <v>2149</v>
      </c>
      <c r="AY54" s="2">
        <v>6163</v>
      </c>
      <c r="AZ54" s="2">
        <v>4011</v>
      </c>
      <c r="BA54" s="2">
        <v>4240</v>
      </c>
      <c r="BB54" s="2">
        <v>11264</v>
      </c>
      <c r="BC54" s="2">
        <v>5067</v>
      </c>
      <c r="BD54" s="2">
        <v>7115</v>
      </c>
      <c r="BE54" s="2">
        <v>6669</v>
      </c>
      <c r="BF54" s="2">
        <v>5959</v>
      </c>
      <c r="BG54" s="2">
        <v>9984</v>
      </c>
      <c r="BH54" s="2">
        <v>7393</v>
      </c>
      <c r="BI54" s="2">
        <v>7788</v>
      </c>
      <c r="BJ54" s="2">
        <v>6159</v>
      </c>
      <c r="BK54" s="2"/>
      <c r="BL54" s="2">
        <v>2208</v>
      </c>
      <c r="BM54" s="2">
        <v>2475</v>
      </c>
      <c r="BN54" s="2">
        <v>2822</v>
      </c>
      <c r="BO54" s="2">
        <v>2268</v>
      </c>
      <c r="BP54" s="2">
        <v>4170</v>
      </c>
      <c r="BQ54" s="2">
        <v>5249</v>
      </c>
      <c r="BR54" s="2">
        <v>4839</v>
      </c>
      <c r="BS54" s="2">
        <v>4182</v>
      </c>
      <c r="BT54" s="2">
        <v>7676</v>
      </c>
      <c r="BU54" s="2">
        <v>2386</v>
      </c>
      <c r="BV54" s="2">
        <v>1829</v>
      </c>
      <c r="BW54" s="2">
        <v>6163</v>
      </c>
      <c r="BX54" s="2">
        <v>5067</v>
      </c>
      <c r="BY54" s="2">
        <f t="shared" si="36"/>
        <v>9984</v>
      </c>
      <c r="BZ54" s="2">
        <f t="shared" si="37"/>
        <v>6159</v>
      </c>
      <c r="CA54" s="159"/>
      <c r="CB54" s="159"/>
      <c r="CC54" s="159"/>
    </row>
    <row r="55" spans="2:81">
      <c r="B55" s="21" t="s">
        <v>369</v>
      </c>
      <c r="C55" s="202" t="s">
        <v>248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503</v>
      </c>
      <c r="L55" s="2">
        <v>0</v>
      </c>
      <c r="M55" s="2">
        <v>1</v>
      </c>
      <c r="N55" s="2">
        <v>0</v>
      </c>
      <c r="O55" s="2">
        <v>552</v>
      </c>
      <c r="P55" s="2">
        <v>0</v>
      </c>
      <c r="Q55" s="2">
        <v>1340</v>
      </c>
      <c r="R55" s="2">
        <v>0</v>
      </c>
      <c r="S55" s="2">
        <v>162</v>
      </c>
      <c r="T55" s="2">
        <v>0</v>
      </c>
      <c r="U55" s="2">
        <v>0</v>
      </c>
      <c r="V55" s="2">
        <v>0</v>
      </c>
      <c r="W55" s="2">
        <v>0</v>
      </c>
      <c r="X55" s="2">
        <v>382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273</v>
      </c>
      <c r="AR55" s="2">
        <v>99</v>
      </c>
      <c r="AS55" s="2">
        <v>5427</v>
      </c>
      <c r="AT55" s="2">
        <v>2079</v>
      </c>
      <c r="AU55" s="2">
        <v>236</v>
      </c>
      <c r="AV55" s="2">
        <v>518</v>
      </c>
      <c r="AW55" s="2">
        <v>181</v>
      </c>
      <c r="AX55" s="2">
        <v>7355</v>
      </c>
      <c r="AY55" s="2">
        <v>3241</v>
      </c>
      <c r="AZ55" s="2">
        <v>9927</v>
      </c>
      <c r="BA55" s="2">
        <v>9041</v>
      </c>
      <c r="BB55" s="2">
        <v>12673</v>
      </c>
      <c r="BC55" s="2">
        <v>5222</v>
      </c>
      <c r="BD55" s="2">
        <v>3134</v>
      </c>
      <c r="BE55" s="2">
        <v>5751</v>
      </c>
      <c r="BF55" s="2">
        <v>7691</v>
      </c>
      <c r="BG55" s="2">
        <v>6570</v>
      </c>
      <c r="BH55" s="2">
        <v>5771</v>
      </c>
      <c r="BI55" s="2">
        <v>9945</v>
      </c>
      <c r="BJ55" s="2">
        <v>9187</v>
      </c>
      <c r="BK55" s="2"/>
      <c r="BL55" s="2">
        <v>0</v>
      </c>
      <c r="BM55" s="2">
        <v>503</v>
      </c>
      <c r="BN55" s="2">
        <v>552</v>
      </c>
      <c r="BO55" s="2">
        <v>162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273</v>
      </c>
      <c r="BV55" s="2">
        <v>236</v>
      </c>
      <c r="BW55" s="2">
        <v>3241</v>
      </c>
      <c r="BX55" s="2">
        <v>5222</v>
      </c>
      <c r="BY55" s="2">
        <f t="shared" si="36"/>
        <v>6570</v>
      </c>
      <c r="BZ55" s="2">
        <f t="shared" si="37"/>
        <v>9187</v>
      </c>
      <c r="CA55" s="159"/>
      <c r="CB55" s="159"/>
      <c r="CC55" s="159"/>
    </row>
    <row r="56" spans="2:81">
      <c r="B56" s="21" t="s">
        <v>383</v>
      </c>
      <c r="C56" s="202" t="s">
        <v>157</v>
      </c>
      <c r="D56" s="2">
        <v>1789</v>
      </c>
      <c r="E56" s="2">
        <v>2281</v>
      </c>
      <c r="F56" s="2">
        <v>2086</v>
      </c>
      <c r="G56" s="2">
        <v>1789</v>
      </c>
      <c r="H56" s="2">
        <v>907</v>
      </c>
      <c r="I56" s="2">
        <v>621</v>
      </c>
      <c r="J56" s="2">
        <v>2058</v>
      </c>
      <c r="K56" s="2">
        <v>2165</v>
      </c>
      <c r="L56" s="2">
        <v>1475</v>
      </c>
      <c r="M56" s="2">
        <v>2728</v>
      </c>
      <c r="N56" s="2">
        <v>3154</v>
      </c>
      <c r="O56" s="2">
        <v>4087</v>
      </c>
      <c r="P56" s="2">
        <v>2777</v>
      </c>
      <c r="Q56" s="2">
        <v>4428</v>
      </c>
      <c r="R56" s="2">
        <v>4736</v>
      </c>
      <c r="S56" s="2">
        <v>5887</v>
      </c>
      <c r="T56" s="2">
        <v>4774</v>
      </c>
      <c r="U56" s="2">
        <v>6468</v>
      </c>
      <c r="V56" s="2">
        <v>7678</v>
      </c>
      <c r="W56" s="2">
        <v>7702</v>
      </c>
      <c r="X56" s="2">
        <v>4712</v>
      </c>
      <c r="Y56" s="2">
        <v>4656</v>
      </c>
      <c r="Z56" s="2">
        <v>5840</v>
      </c>
      <c r="AA56" s="2">
        <v>5778</v>
      </c>
      <c r="AB56" s="2">
        <v>4508</v>
      </c>
      <c r="AC56" s="2">
        <v>5136</v>
      </c>
      <c r="AD56" s="2">
        <v>6586</v>
      </c>
      <c r="AE56" s="2">
        <v>5877</v>
      </c>
      <c r="AF56" s="2">
        <v>2866</v>
      </c>
      <c r="AG56" s="2">
        <v>4080</v>
      </c>
      <c r="AH56" s="2">
        <v>5054</v>
      </c>
      <c r="AI56" s="2">
        <v>6503</v>
      </c>
      <c r="AJ56" s="2">
        <v>3333</v>
      </c>
      <c r="AK56" s="2">
        <v>3411</v>
      </c>
      <c r="AL56" s="2">
        <v>3774</v>
      </c>
      <c r="AM56" s="2">
        <v>4650</v>
      </c>
      <c r="AN56" s="2">
        <v>2542</v>
      </c>
      <c r="AO56" s="2">
        <v>3129</v>
      </c>
      <c r="AP56" s="2">
        <v>4262</v>
      </c>
      <c r="AQ56" s="2">
        <v>5298</v>
      </c>
      <c r="AR56" s="2">
        <v>3853</v>
      </c>
      <c r="AS56" s="2">
        <v>4400</v>
      </c>
      <c r="AT56" s="2">
        <v>6027</v>
      </c>
      <c r="AU56" s="2">
        <v>7284</v>
      </c>
      <c r="AV56" s="2">
        <v>5982</v>
      </c>
      <c r="AW56" s="2">
        <v>8366</v>
      </c>
      <c r="AX56" s="2">
        <v>10864</v>
      </c>
      <c r="AY56" s="2">
        <v>12242</v>
      </c>
      <c r="AZ56" s="2">
        <v>10260</v>
      </c>
      <c r="BA56" s="2">
        <v>13080</v>
      </c>
      <c r="BB56" s="2">
        <v>14628</v>
      </c>
      <c r="BC56" s="2">
        <v>16217</v>
      </c>
      <c r="BD56" s="2">
        <v>9340</v>
      </c>
      <c r="BE56" s="2">
        <v>10785</v>
      </c>
      <c r="BF56" s="2">
        <v>12152</v>
      </c>
      <c r="BG56" s="2">
        <v>16443</v>
      </c>
      <c r="BH56" s="2">
        <v>13227</v>
      </c>
      <c r="BI56" s="2">
        <v>11047</v>
      </c>
      <c r="BJ56" s="2">
        <v>12079</v>
      </c>
      <c r="BK56" s="2"/>
      <c r="BL56" s="2">
        <v>1789</v>
      </c>
      <c r="BM56" s="2">
        <v>2165</v>
      </c>
      <c r="BN56" s="2">
        <v>4087</v>
      </c>
      <c r="BO56" s="2">
        <v>5887</v>
      </c>
      <c r="BP56" s="2">
        <v>7702</v>
      </c>
      <c r="BQ56" s="2">
        <v>5778</v>
      </c>
      <c r="BR56" s="2">
        <v>5877</v>
      </c>
      <c r="BS56" s="2">
        <v>6503</v>
      </c>
      <c r="BT56" s="2">
        <v>4650</v>
      </c>
      <c r="BU56" s="2">
        <v>5298</v>
      </c>
      <c r="BV56" s="2">
        <v>7284</v>
      </c>
      <c r="BW56" s="2">
        <v>12242</v>
      </c>
      <c r="BX56" s="2">
        <v>16217</v>
      </c>
      <c r="BY56" s="2">
        <f t="shared" si="36"/>
        <v>16443</v>
      </c>
      <c r="BZ56" s="2">
        <f t="shared" si="37"/>
        <v>12079</v>
      </c>
      <c r="CA56" s="159"/>
      <c r="CB56" s="159"/>
      <c r="CC56" s="159"/>
    </row>
    <row r="57" spans="2:81">
      <c r="B57" s="21" t="s">
        <v>384</v>
      </c>
      <c r="C57" s="202" t="s">
        <v>158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3041</v>
      </c>
      <c r="U57" s="2">
        <v>0</v>
      </c>
      <c r="V57" s="2">
        <v>0</v>
      </c>
      <c r="W57" s="2">
        <v>12511</v>
      </c>
      <c r="X57" s="2">
        <v>12511</v>
      </c>
      <c r="Y57" s="2">
        <v>0</v>
      </c>
      <c r="Z57" s="2">
        <v>0</v>
      </c>
      <c r="AA57" s="2">
        <v>1345</v>
      </c>
      <c r="AB57" s="2">
        <v>1345</v>
      </c>
      <c r="AC57" s="2">
        <v>4</v>
      </c>
      <c r="AD57" s="2">
        <v>4</v>
      </c>
      <c r="AE57" s="2">
        <v>4</v>
      </c>
      <c r="AF57" s="2">
        <v>4</v>
      </c>
      <c r="AG57" s="2">
        <v>4</v>
      </c>
      <c r="AH57" s="2">
        <v>4</v>
      </c>
      <c r="AI57" s="2">
        <v>4</v>
      </c>
      <c r="AJ57" s="2">
        <v>4</v>
      </c>
      <c r="AK57" s="2">
        <v>4</v>
      </c>
      <c r="AL57" s="2">
        <v>4</v>
      </c>
      <c r="AM57" s="2">
        <v>2590</v>
      </c>
      <c r="AN57" s="2">
        <v>2590</v>
      </c>
      <c r="AO57" s="2">
        <v>0</v>
      </c>
      <c r="AP57" s="2">
        <v>0</v>
      </c>
      <c r="AQ57" s="2">
        <v>6388</v>
      </c>
      <c r="AR57" s="2">
        <v>6388</v>
      </c>
      <c r="AS57" s="2">
        <v>6388</v>
      </c>
      <c r="AT57" s="2">
        <v>0</v>
      </c>
      <c r="AU57" s="2">
        <v>9165</v>
      </c>
      <c r="AV57" s="2">
        <v>9165</v>
      </c>
      <c r="AW57" s="2">
        <v>21478</v>
      </c>
      <c r="AX57" s="2">
        <v>0</v>
      </c>
      <c r="AY57" s="2">
        <v>17208</v>
      </c>
      <c r="AZ57" s="2">
        <v>75533</v>
      </c>
      <c r="BA57" s="2"/>
      <c r="BB57" s="2">
        <v>0</v>
      </c>
      <c r="BC57" s="2">
        <v>77690</v>
      </c>
      <c r="BD57" s="2">
        <v>77690</v>
      </c>
      <c r="BE57" s="2">
        <v>0</v>
      </c>
      <c r="BF57" s="2">
        <v>0</v>
      </c>
      <c r="BG57" s="2">
        <v>30811</v>
      </c>
      <c r="BH57" s="2">
        <v>27871</v>
      </c>
      <c r="BI57" s="2">
        <v>30010</v>
      </c>
      <c r="BJ57" s="2">
        <v>672</v>
      </c>
      <c r="BK57" s="2"/>
      <c r="BL57" s="2">
        <v>0</v>
      </c>
      <c r="BM57" s="2">
        <v>0</v>
      </c>
      <c r="BN57" s="2">
        <v>0</v>
      </c>
      <c r="BO57" s="2">
        <v>0</v>
      </c>
      <c r="BP57" s="2">
        <v>12511</v>
      </c>
      <c r="BQ57" s="2">
        <v>1345</v>
      </c>
      <c r="BR57" s="2">
        <v>4</v>
      </c>
      <c r="BS57" s="2">
        <v>4</v>
      </c>
      <c r="BT57" s="2">
        <v>2590</v>
      </c>
      <c r="BU57" s="2">
        <v>6388</v>
      </c>
      <c r="BV57" s="2">
        <v>9165</v>
      </c>
      <c r="BW57" s="2">
        <v>17208</v>
      </c>
      <c r="BX57" s="2">
        <v>77690</v>
      </c>
      <c r="BY57" s="2">
        <f t="shared" si="36"/>
        <v>30811</v>
      </c>
      <c r="BZ57" s="2">
        <f t="shared" si="37"/>
        <v>672</v>
      </c>
      <c r="CA57" s="159"/>
      <c r="CB57" s="159"/>
      <c r="CC57" s="159"/>
    </row>
    <row r="58" spans="2:81">
      <c r="B58" s="21" t="s">
        <v>385</v>
      </c>
      <c r="C58" s="202" t="s">
        <v>159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14537</v>
      </c>
      <c r="AF58" s="2">
        <v>12546</v>
      </c>
      <c r="AG58" s="2">
        <v>9623</v>
      </c>
      <c r="AH58" s="2">
        <v>6192</v>
      </c>
      <c r="AI58" s="2">
        <v>6844</v>
      </c>
      <c r="AJ58" s="2">
        <v>6063</v>
      </c>
      <c r="AK58" s="2">
        <v>5620</v>
      </c>
      <c r="AL58" s="2">
        <v>5558</v>
      </c>
      <c r="AM58" s="2">
        <v>5998</v>
      </c>
      <c r="AN58" s="2">
        <v>4511</v>
      </c>
      <c r="AO58" s="2">
        <v>4489</v>
      </c>
      <c r="AP58" s="2">
        <v>4088</v>
      </c>
      <c r="AQ58" s="2">
        <v>3826</v>
      </c>
      <c r="AR58" s="2">
        <v>3768</v>
      </c>
      <c r="AS58" s="2">
        <v>3736</v>
      </c>
      <c r="AT58" s="2">
        <v>3495</v>
      </c>
      <c r="AU58" s="2">
        <v>5729</v>
      </c>
      <c r="AV58" s="2">
        <v>6417</v>
      </c>
      <c r="AW58" s="2">
        <v>7057</v>
      </c>
      <c r="AX58" s="2">
        <v>8713</v>
      </c>
      <c r="AY58" s="2">
        <v>10101</v>
      </c>
      <c r="AZ58" s="2">
        <v>10638</v>
      </c>
      <c r="BA58" s="2">
        <v>10393</v>
      </c>
      <c r="BB58" s="2">
        <v>11763</v>
      </c>
      <c r="BC58" s="2">
        <v>17073</v>
      </c>
      <c r="BD58" s="2">
        <v>16546</v>
      </c>
      <c r="BE58" s="2">
        <v>14414</v>
      </c>
      <c r="BF58" s="2">
        <v>21244</v>
      </c>
      <c r="BG58" s="2">
        <v>26943</v>
      </c>
      <c r="BH58" s="2">
        <v>31595</v>
      </c>
      <c r="BI58" s="2">
        <v>29362</v>
      </c>
      <c r="BJ58" s="2">
        <v>34186</v>
      </c>
      <c r="BK58" s="2"/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14537</v>
      </c>
      <c r="BS58" s="2">
        <v>6844</v>
      </c>
      <c r="BT58" s="2">
        <v>5998</v>
      </c>
      <c r="BU58" s="2">
        <v>3826</v>
      </c>
      <c r="BV58" s="2">
        <v>5729</v>
      </c>
      <c r="BW58" s="2">
        <v>10101</v>
      </c>
      <c r="BX58" s="2">
        <v>17073</v>
      </c>
      <c r="BY58" s="2">
        <f t="shared" si="36"/>
        <v>26943</v>
      </c>
      <c r="BZ58" s="2">
        <f t="shared" si="37"/>
        <v>34186</v>
      </c>
      <c r="CA58" s="159"/>
      <c r="CB58" s="159"/>
      <c r="CC58" s="159"/>
    </row>
    <row r="59" spans="2:81">
      <c r="B59" s="21" t="s">
        <v>386</v>
      </c>
      <c r="C59" s="202" t="s">
        <v>250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4630</v>
      </c>
      <c r="AO59" s="2">
        <v>5405</v>
      </c>
      <c r="AP59" s="2">
        <v>2076</v>
      </c>
      <c r="AQ59" s="2">
        <v>1206</v>
      </c>
      <c r="AR59" s="2">
        <v>3155</v>
      </c>
      <c r="AS59" s="2">
        <v>3629</v>
      </c>
      <c r="AT59" s="2">
        <v>3703</v>
      </c>
      <c r="AU59" s="2">
        <v>3660</v>
      </c>
      <c r="AV59" s="2">
        <v>4035</v>
      </c>
      <c r="AW59" s="2">
        <v>3878</v>
      </c>
      <c r="AX59" s="2">
        <v>4349</v>
      </c>
      <c r="AY59" s="2">
        <v>3658</v>
      </c>
      <c r="AZ59" s="2">
        <v>2671</v>
      </c>
      <c r="BA59" s="2">
        <v>1939</v>
      </c>
      <c r="BB59" s="2">
        <v>1284</v>
      </c>
      <c r="BC59" s="2">
        <v>3712</v>
      </c>
      <c r="BD59" s="2">
        <v>3512</v>
      </c>
      <c r="BE59" s="2">
        <v>2677</v>
      </c>
      <c r="BF59" s="2">
        <v>1816</v>
      </c>
      <c r="BG59" s="2">
        <v>501</v>
      </c>
      <c r="BH59" s="2">
        <v>3568</v>
      </c>
      <c r="BI59" s="2">
        <v>3847</v>
      </c>
      <c r="BJ59" s="2">
        <v>3954</v>
      </c>
      <c r="BK59" s="2"/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1206</v>
      </c>
      <c r="BV59" s="2">
        <v>3660</v>
      </c>
      <c r="BW59" s="2">
        <v>3658</v>
      </c>
      <c r="BX59" s="2">
        <v>3712</v>
      </c>
      <c r="BY59" s="2">
        <f t="shared" si="36"/>
        <v>501</v>
      </c>
      <c r="BZ59" s="2">
        <f t="shared" si="37"/>
        <v>3954</v>
      </c>
      <c r="CA59" s="159"/>
      <c r="CB59" s="159"/>
      <c r="CC59" s="159"/>
    </row>
    <row r="60" spans="2:81">
      <c r="B60" s="21" t="s">
        <v>387</v>
      </c>
      <c r="C60" s="202" t="s">
        <v>249</v>
      </c>
      <c r="D60" s="2">
        <v>2807</v>
      </c>
      <c r="E60" s="2">
        <v>4281</v>
      </c>
      <c r="F60" s="2">
        <v>4890</v>
      </c>
      <c r="G60" s="2">
        <v>2807</v>
      </c>
      <c r="H60" s="2">
        <v>3406</v>
      </c>
      <c r="I60" s="2">
        <v>3461</v>
      </c>
      <c r="J60" s="2">
        <v>3934</v>
      </c>
      <c r="K60" s="2">
        <v>6682</v>
      </c>
      <c r="L60" s="2">
        <v>3952</v>
      </c>
      <c r="M60" s="2">
        <v>3292</v>
      </c>
      <c r="N60" s="2">
        <v>4606</v>
      </c>
      <c r="O60" s="2">
        <v>9948</v>
      </c>
      <c r="P60" s="2">
        <v>10111</v>
      </c>
      <c r="Q60" s="2">
        <v>8501</v>
      </c>
      <c r="R60" s="2">
        <v>6814</v>
      </c>
      <c r="S60" s="2">
        <v>10495</v>
      </c>
      <c r="T60" s="2">
        <v>7363</v>
      </c>
      <c r="U60" s="2">
        <v>8928</v>
      </c>
      <c r="V60" s="2">
        <v>6872</v>
      </c>
      <c r="W60" s="2">
        <v>7466</v>
      </c>
      <c r="X60" s="2">
        <v>7809</v>
      </c>
      <c r="Y60" s="2">
        <v>4980</v>
      </c>
      <c r="Z60" s="2">
        <v>8161</v>
      </c>
      <c r="AA60" s="2">
        <v>14910</v>
      </c>
      <c r="AB60" s="2">
        <v>7826</v>
      </c>
      <c r="AC60" s="2">
        <v>5169</v>
      </c>
      <c r="AD60" s="2">
        <v>3705</v>
      </c>
      <c r="AE60" s="2">
        <v>10901</v>
      </c>
      <c r="AF60" s="2">
        <v>7772</v>
      </c>
      <c r="AG60" s="2">
        <v>7183</v>
      </c>
      <c r="AH60" s="2">
        <v>6127</v>
      </c>
      <c r="AI60" s="2">
        <v>16256</v>
      </c>
      <c r="AJ60" s="2">
        <v>10435</v>
      </c>
      <c r="AK60" s="2">
        <v>9657</v>
      </c>
      <c r="AL60" s="2">
        <v>12185</v>
      </c>
      <c r="AM60" s="2">
        <v>10845</v>
      </c>
      <c r="AN60" s="2">
        <v>11042</v>
      </c>
      <c r="AO60" s="2">
        <v>7358</v>
      </c>
      <c r="AP60" s="2">
        <v>8238</v>
      </c>
      <c r="AQ60" s="2">
        <v>10497</v>
      </c>
      <c r="AR60" s="2">
        <v>7747</v>
      </c>
      <c r="AS60" s="2">
        <v>6870</v>
      </c>
      <c r="AT60" s="2">
        <v>5599</v>
      </c>
      <c r="AU60" s="2">
        <v>9079</v>
      </c>
      <c r="AV60" s="2">
        <v>6906</v>
      </c>
      <c r="AW60" s="2">
        <v>6042</v>
      </c>
      <c r="AX60" s="2">
        <v>11038</v>
      </c>
      <c r="AY60" s="2">
        <v>19005</v>
      </c>
      <c r="AZ60" s="2">
        <v>19150</v>
      </c>
      <c r="BA60" s="2">
        <v>18358</v>
      </c>
      <c r="BB60" s="2">
        <v>19703</v>
      </c>
      <c r="BC60" s="2">
        <v>36091</v>
      </c>
      <c r="BD60" s="2">
        <v>33403</v>
      </c>
      <c r="BE60" s="2">
        <v>23358</v>
      </c>
      <c r="BF60" s="2">
        <v>24889</v>
      </c>
      <c r="BG60" s="2">
        <v>23449</v>
      </c>
      <c r="BH60" s="2">
        <v>23050</v>
      </c>
      <c r="BI60" s="2">
        <v>20987</v>
      </c>
      <c r="BJ60" s="2">
        <v>23909</v>
      </c>
      <c r="BK60" s="2"/>
      <c r="BL60" s="2">
        <v>2807</v>
      </c>
      <c r="BM60" s="2">
        <v>6682</v>
      </c>
      <c r="BN60" s="2">
        <v>9948</v>
      </c>
      <c r="BO60" s="2">
        <v>10495</v>
      </c>
      <c r="BP60" s="2">
        <v>7466</v>
      </c>
      <c r="BQ60" s="2">
        <v>14910</v>
      </c>
      <c r="BR60" s="2">
        <v>10901</v>
      </c>
      <c r="BS60" s="2">
        <v>16256</v>
      </c>
      <c r="BT60" s="2">
        <v>10845</v>
      </c>
      <c r="BU60" s="2">
        <v>10497</v>
      </c>
      <c r="BV60" s="2">
        <v>9079</v>
      </c>
      <c r="BW60" s="2">
        <v>19005</v>
      </c>
      <c r="BX60" s="2">
        <v>36091</v>
      </c>
      <c r="BY60" s="2">
        <f>BG60</f>
        <v>23449</v>
      </c>
      <c r="BZ60" s="2">
        <f t="shared" si="37"/>
        <v>23909</v>
      </c>
      <c r="CA60" s="159"/>
      <c r="CB60" s="159"/>
      <c r="CC60" s="159"/>
    </row>
    <row r="61" spans="2:81" hidden="1" outlineLevel="1">
      <c r="B61" s="21" t="s">
        <v>388</v>
      </c>
      <c r="C61" s="202" t="s">
        <v>61</v>
      </c>
      <c r="D61" s="2">
        <v>27689</v>
      </c>
      <c r="E61" s="2">
        <v>41762</v>
      </c>
      <c r="F61" s="2">
        <v>44873</v>
      </c>
      <c r="G61" s="2">
        <v>27689</v>
      </c>
      <c r="H61" s="2">
        <v>27304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/>
      <c r="BJ61" s="2"/>
      <c r="BK61" s="2"/>
      <c r="BL61" s="2">
        <v>27689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f t="shared" si="36"/>
        <v>0</v>
      </c>
      <c r="BZ61" s="2">
        <f t="shared" si="37"/>
        <v>0</v>
      </c>
      <c r="CA61" s="159"/>
      <c r="CB61" s="159"/>
      <c r="CC61" s="159"/>
    </row>
    <row r="62" spans="2:81" collapsed="1">
      <c r="B62" s="107" t="s">
        <v>368</v>
      </c>
      <c r="C62" s="193" t="s">
        <v>142</v>
      </c>
      <c r="D62" s="112">
        <v>182187</v>
      </c>
      <c r="E62" s="112">
        <v>188425</v>
      </c>
      <c r="F62" s="112">
        <v>189033</v>
      </c>
      <c r="G62" s="112">
        <v>182187</v>
      </c>
      <c r="H62" s="112">
        <v>177715</v>
      </c>
      <c r="I62" s="112">
        <v>175649</v>
      </c>
      <c r="J62" s="112">
        <v>200862</v>
      </c>
      <c r="K62" s="112">
        <v>221173</v>
      </c>
      <c r="L62" s="112">
        <v>191787</v>
      </c>
      <c r="M62" s="112">
        <v>176614</v>
      </c>
      <c r="N62" s="112">
        <v>167190</v>
      </c>
      <c r="O62" s="112">
        <v>137552</v>
      </c>
      <c r="P62" s="112">
        <v>132299</v>
      </c>
      <c r="Q62" s="112">
        <v>141045</v>
      </c>
      <c r="R62" s="112">
        <v>142401</v>
      </c>
      <c r="S62" s="112">
        <v>128432</v>
      </c>
      <c r="T62" s="112">
        <v>121649</v>
      </c>
      <c r="U62" s="112">
        <v>117585</v>
      </c>
      <c r="V62" s="112">
        <v>108395</v>
      </c>
      <c r="W62" s="112">
        <v>103091</v>
      </c>
      <c r="X62" s="112">
        <v>92161</v>
      </c>
      <c r="Y62" s="112">
        <v>84187</v>
      </c>
      <c r="Z62" s="112">
        <v>94862</v>
      </c>
      <c r="AA62" s="112">
        <v>76599</v>
      </c>
      <c r="AB62" s="112">
        <v>91205</v>
      </c>
      <c r="AC62" s="112">
        <v>81672</v>
      </c>
      <c r="AD62" s="112">
        <v>96539</v>
      </c>
      <c r="AE62" s="112">
        <v>86591</v>
      </c>
      <c r="AF62" s="112">
        <v>72424</v>
      </c>
      <c r="AG62" s="112">
        <v>60467</v>
      </c>
      <c r="AH62" s="112">
        <v>62370</v>
      </c>
      <c r="AI62" s="112">
        <v>53953</v>
      </c>
      <c r="AJ62" s="112">
        <v>49740</v>
      </c>
      <c r="AK62" s="112">
        <v>66072</v>
      </c>
      <c r="AL62" s="112">
        <v>61213</v>
      </c>
      <c r="AM62" s="112">
        <v>58927</v>
      </c>
      <c r="AN62" s="112">
        <v>47215</v>
      </c>
      <c r="AO62" s="112">
        <v>34365</v>
      </c>
      <c r="AP62" s="112">
        <v>33732</v>
      </c>
      <c r="AQ62" s="112">
        <v>31765</v>
      </c>
      <c r="AR62" s="112">
        <v>33368</v>
      </c>
      <c r="AS62" s="112">
        <v>34128</v>
      </c>
      <c r="AT62" s="112">
        <v>40754</v>
      </c>
      <c r="AU62" s="112">
        <v>34602</v>
      </c>
      <c r="AV62" s="112">
        <f t="shared" ref="AV62" si="38">SUM(AV63:AV72)</f>
        <v>34009</v>
      </c>
      <c r="AW62" s="112">
        <f t="shared" ref="AW62" si="39">SUM(AW63:AW72)</f>
        <v>31902</v>
      </c>
      <c r="AX62" s="112">
        <f t="shared" ref="AX62" si="40">SUM(AX63:AX72)</f>
        <v>65363</v>
      </c>
      <c r="AY62" s="112">
        <f t="shared" ref="AY62" si="41">SUM(AY63:AY72)</f>
        <v>63334</v>
      </c>
      <c r="AZ62" s="112">
        <f t="shared" ref="AZ62" si="42">SUM(AZ63:AZ72)</f>
        <v>64982</v>
      </c>
      <c r="BA62" s="112">
        <f t="shared" ref="BA62" si="43">SUM(BA63:BA72)</f>
        <v>105467</v>
      </c>
      <c r="BB62" s="112">
        <f t="shared" ref="BB62" si="44">SUM(BB63:BB72)</f>
        <v>93003</v>
      </c>
      <c r="BC62" s="112">
        <f t="shared" ref="BC62" si="45">SUM(BC63:BC72)</f>
        <v>102205</v>
      </c>
      <c r="BD62" s="112">
        <f t="shared" ref="BD62:BF62" si="46">SUM(BD63:BD72)</f>
        <v>156367</v>
      </c>
      <c r="BE62" s="112">
        <f t="shared" si="46"/>
        <v>148717</v>
      </c>
      <c r="BF62" s="112">
        <f t="shared" si="46"/>
        <v>148278</v>
      </c>
      <c r="BG62" s="112">
        <f>SUM(BG63:BG72)</f>
        <v>137176</v>
      </c>
      <c r="BH62" s="112">
        <f t="shared" ref="BH62:BK62" si="47">SUM(BH63:BH72)</f>
        <v>147862</v>
      </c>
      <c r="BI62" s="112">
        <f t="shared" si="47"/>
        <v>293272</v>
      </c>
      <c r="BJ62" s="112">
        <f t="shared" si="47"/>
        <v>292050</v>
      </c>
      <c r="BK62" s="112">
        <f t="shared" si="47"/>
        <v>0</v>
      </c>
      <c r="BL62" s="112">
        <v>182187</v>
      </c>
      <c r="BM62" s="112">
        <v>221173</v>
      </c>
      <c r="BN62" s="112">
        <v>137552</v>
      </c>
      <c r="BO62" s="112">
        <v>128432</v>
      </c>
      <c r="BP62" s="112">
        <v>103091</v>
      </c>
      <c r="BQ62" s="112">
        <v>76599</v>
      </c>
      <c r="BR62" s="112">
        <v>86591</v>
      </c>
      <c r="BS62" s="112">
        <v>53953</v>
      </c>
      <c r="BT62" s="112">
        <v>58927</v>
      </c>
      <c r="BU62" s="112">
        <v>31765</v>
      </c>
      <c r="BV62" s="112">
        <v>34602</v>
      </c>
      <c r="BW62" s="112">
        <v>63334</v>
      </c>
      <c r="BX62" s="112">
        <v>102205</v>
      </c>
      <c r="BY62" s="112">
        <f>SUM(BY63:BY72)</f>
        <v>137176</v>
      </c>
      <c r="BZ62" s="112">
        <f>SUM(BZ63:BZ72)</f>
        <v>292050</v>
      </c>
      <c r="CA62" s="159"/>
      <c r="CB62" s="159"/>
      <c r="CC62" s="159"/>
    </row>
    <row r="63" spans="2:81">
      <c r="B63" s="21" t="s">
        <v>378</v>
      </c>
      <c r="C63" s="202" t="s">
        <v>98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9</v>
      </c>
      <c r="BG63" s="2">
        <v>12</v>
      </c>
      <c r="BH63" s="2">
        <v>6</v>
      </c>
      <c r="BI63" s="2">
        <v>0</v>
      </c>
      <c r="BJ63" s="2">
        <v>0</v>
      </c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>
        <v>0</v>
      </c>
      <c r="BY63" s="2">
        <f t="shared" si="36"/>
        <v>12</v>
      </c>
      <c r="BZ63" s="2">
        <f t="shared" ref="BZ63:BZ72" si="48">BJ63</f>
        <v>0</v>
      </c>
      <c r="CA63" s="159"/>
      <c r="CB63" s="159"/>
      <c r="CC63" s="159"/>
    </row>
    <row r="64" spans="2:81">
      <c r="B64" s="21" t="s">
        <v>379</v>
      </c>
      <c r="C64" s="202" t="s">
        <v>153</v>
      </c>
      <c r="D64" s="2">
        <v>33515</v>
      </c>
      <c r="E64" s="2">
        <v>34029</v>
      </c>
      <c r="F64" s="2">
        <v>36685</v>
      </c>
      <c r="G64" s="2">
        <v>33515</v>
      </c>
      <c r="H64" s="2">
        <v>31819</v>
      </c>
      <c r="I64" s="2">
        <v>32870</v>
      </c>
      <c r="J64" s="2">
        <v>59849</v>
      </c>
      <c r="K64" s="2">
        <v>80524</v>
      </c>
      <c r="L64" s="2">
        <v>66204</v>
      </c>
      <c r="M64" s="2">
        <v>52183</v>
      </c>
      <c r="N64" s="2">
        <v>45092</v>
      </c>
      <c r="O64" s="2">
        <v>44204</v>
      </c>
      <c r="P64" s="2">
        <v>41676</v>
      </c>
      <c r="Q64" s="2">
        <v>51701</v>
      </c>
      <c r="R64" s="2">
        <v>47487</v>
      </c>
      <c r="S64" s="2">
        <v>43998</v>
      </c>
      <c r="T64" s="2">
        <v>39748</v>
      </c>
      <c r="U64" s="2">
        <v>35712</v>
      </c>
      <c r="V64" s="2">
        <v>31878</v>
      </c>
      <c r="W64" s="2">
        <v>68626</v>
      </c>
      <c r="X64" s="2">
        <v>59421</v>
      </c>
      <c r="Y64" s="2">
        <v>52414</v>
      </c>
      <c r="Z64" s="2">
        <v>61896</v>
      </c>
      <c r="AA64" s="2">
        <v>55330</v>
      </c>
      <c r="AB64" s="2">
        <v>70493</v>
      </c>
      <c r="AC64" s="2">
        <v>60625</v>
      </c>
      <c r="AD64" s="2">
        <v>75648</v>
      </c>
      <c r="AE64" s="2">
        <v>68182</v>
      </c>
      <c r="AF64" s="2">
        <v>55562</v>
      </c>
      <c r="AG64" s="2">
        <v>44111</v>
      </c>
      <c r="AH64" s="2">
        <v>35461</v>
      </c>
      <c r="AI64" s="2">
        <v>30024</v>
      </c>
      <c r="AJ64" s="2">
        <v>27550</v>
      </c>
      <c r="AK64" s="2">
        <v>44088</v>
      </c>
      <c r="AL64" s="2">
        <v>37089</v>
      </c>
      <c r="AM64" s="2">
        <v>34232</v>
      </c>
      <c r="AN64" s="2">
        <v>21875</v>
      </c>
      <c r="AO64" s="2">
        <v>19602</v>
      </c>
      <c r="AP64" s="2">
        <v>17651</v>
      </c>
      <c r="AQ64" s="2">
        <v>15714</v>
      </c>
      <c r="AR64" s="2">
        <v>13818</v>
      </c>
      <c r="AS64" s="2">
        <v>11961</v>
      </c>
      <c r="AT64" s="2">
        <v>10114</v>
      </c>
      <c r="AU64" s="2">
        <v>4978</v>
      </c>
      <c r="AV64" s="2">
        <v>3485</v>
      </c>
      <c r="AW64" s="2">
        <v>1991</v>
      </c>
      <c r="AX64" s="2">
        <v>40498</v>
      </c>
      <c r="AY64" s="2">
        <v>40000</v>
      </c>
      <c r="AZ64" s="2">
        <v>40000</v>
      </c>
      <c r="BA64" s="2">
        <v>80000</v>
      </c>
      <c r="BB64" s="2">
        <v>70000</v>
      </c>
      <c r="BC64" s="2">
        <v>88043</v>
      </c>
      <c r="BD64" s="2">
        <v>88000</v>
      </c>
      <c r="BE64" s="2">
        <v>78000</v>
      </c>
      <c r="BF64" s="2">
        <v>78000</v>
      </c>
      <c r="BG64" s="2">
        <v>66000</v>
      </c>
      <c r="BH64" s="2">
        <v>56000</v>
      </c>
      <c r="BI64" s="2">
        <v>204312</v>
      </c>
      <c r="BJ64" s="2">
        <v>204445</v>
      </c>
      <c r="BK64" s="2"/>
      <c r="BL64" s="2">
        <v>33515</v>
      </c>
      <c r="BM64" s="2">
        <v>80524</v>
      </c>
      <c r="BN64" s="2">
        <v>44204</v>
      </c>
      <c r="BO64" s="2">
        <v>43998</v>
      </c>
      <c r="BP64" s="2">
        <v>68626</v>
      </c>
      <c r="BQ64" s="2">
        <v>55330</v>
      </c>
      <c r="BR64" s="2">
        <v>68182</v>
      </c>
      <c r="BS64" s="2">
        <v>30024</v>
      </c>
      <c r="BT64" s="2">
        <v>34232</v>
      </c>
      <c r="BU64" s="2">
        <v>15714</v>
      </c>
      <c r="BV64" s="2">
        <v>4978</v>
      </c>
      <c r="BW64" s="2">
        <v>40000</v>
      </c>
      <c r="BX64" s="2">
        <v>88043</v>
      </c>
      <c r="BY64" s="2">
        <f>BG64</f>
        <v>66000</v>
      </c>
      <c r="BZ64" s="2">
        <f t="shared" si="48"/>
        <v>204445</v>
      </c>
      <c r="CA64" s="159"/>
      <c r="CB64" s="159"/>
      <c r="CC64" s="159"/>
    </row>
    <row r="65" spans="2:81" hidden="1" outlineLevel="1">
      <c r="B65" s="21" t="s">
        <v>380</v>
      </c>
      <c r="C65" s="202" t="s">
        <v>154</v>
      </c>
      <c r="D65" s="2">
        <v>97348</v>
      </c>
      <c r="E65" s="2">
        <v>102233</v>
      </c>
      <c r="F65" s="2">
        <v>102107</v>
      </c>
      <c r="G65" s="2">
        <v>97348</v>
      </c>
      <c r="H65" s="2">
        <v>94477</v>
      </c>
      <c r="I65" s="2">
        <v>91607</v>
      </c>
      <c r="J65" s="2">
        <v>89318</v>
      </c>
      <c r="K65" s="2">
        <v>86637</v>
      </c>
      <c r="L65" s="2">
        <v>72473</v>
      </c>
      <c r="M65" s="2">
        <v>71360</v>
      </c>
      <c r="N65" s="2">
        <v>69005</v>
      </c>
      <c r="O65" s="2">
        <v>56907</v>
      </c>
      <c r="P65" s="2">
        <v>54524</v>
      </c>
      <c r="Q65" s="2">
        <v>53369</v>
      </c>
      <c r="R65" s="2">
        <v>51342</v>
      </c>
      <c r="S65" s="2">
        <v>40540</v>
      </c>
      <c r="T65" s="2">
        <v>40019</v>
      </c>
      <c r="U65" s="2">
        <v>38046</v>
      </c>
      <c r="V65" s="2">
        <v>34432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/>
      <c r="BJ65" s="2"/>
      <c r="BK65" s="2"/>
      <c r="BL65" s="2">
        <v>97348</v>
      </c>
      <c r="BM65" s="2">
        <v>86637</v>
      </c>
      <c r="BN65" s="2">
        <v>56907</v>
      </c>
      <c r="BO65" s="2">
        <v>40540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f t="shared" si="36"/>
        <v>0</v>
      </c>
      <c r="BZ65" s="2">
        <f t="shared" si="48"/>
        <v>0</v>
      </c>
      <c r="CA65" s="159"/>
      <c r="CB65" s="159"/>
      <c r="CC65" s="159"/>
    </row>
    <row r="66" spans="2:81" collapsed="1">
      <c r="B66" s="21" t="s">
        <v>389</v>
      </c>
      <c r="C66" s="202" t="s">
        <v>160</v>
      </c>
      <c r="D66" s="2">
        <v>5632</v>
      </c>
      <c r="E66" s="2">
        <v>6207</v>
      </c>
      <c r="F66" s="2">
        <v>4573</v>
      </c>
      <c r="G66" s="2">
        <v>5632</v>
      </c>
      <c r="H66" s="2">
        <v>6139</v>
      </c>
      <c r="I66" s="2">
        <v>6635</v>
      </c>
      <c r="J66" s="2">
        <v>7961</v>
      </c>
      <c r="K66" s="2">
        <v>6173</v>
      </c>
      <c r="L66" s="2">
        <v>4736</v>
      </c>
      <c r="M66" s="2">
        <v>5227</v>
      </c>
      <c r="N66" s="2">
        <v>5484</v>
      </c>
      <c r="O66" s="2">
        <v>4925</v>
      </c>
      <c r="P66" s="2">
        <v>4473</v>
      </c>
      <c r="Q66" s="2">
        <v>3682</v>
      </c>
      <c r="R66" s="2">
        <v>9237</v>
      </c>
      <c r="S66" s="2">
        <v>12073</v>
      </c>
      <c r="T66" s="2">
        <v>9249</v>
      </c>
      <c r="U66" s="2">
        <v>11193</v>
      </c>
      <c r="V66" s="2">
        <v>9594</v>
      </c>
      <c r="W66" s="2">
        <v>8365</v>
      </c>
      <c r="X66" s="2">
        <v>7037</v>
      </c>
      <c r="Y66" s="2">
        <v>7214</v>
      </c>
      <c r="Z66" s="2">
        <v>8227</v>
      </c>
      <c r="AA66" s="2">
        <v>9106</v>
      </c>
      <c r="AB66" s="2">
        <v>9083</v>
      </c>
      <c r="AC66" s="2">
        <v>9565</v>
      </c>
      <c r="AD66" s="2">
        <v>10068</v>
      </c>
      <c r="AE66" s="2">
        <v>10090</v>
      </c>
      <c r="AF66" s="2">
        <v>9325</v>
      </c>
      <c r="AG66" s="2">
        <v>9291</v>
      </c>
      <c r="AH66" s="2">
        <v>19999</v>
      </c>
      <c r="AI66" s="2">
        <v>17218</v>
      </c>
      <c r="AJ66" s="2">
        <v>17413</v>
      </c>
      <c r="AK66" s="2">
        <v>18246</v>
      </c>
      <c r="AL66" s="2">
        <v>20548</v>
      </c>
      <c r="AM66" s="2">
        <v>21284</v>
      </c>
      <c r="AN66" s="2">
        <v>19317</v>
      </c>
      <c r="AO66" s="2">
        <v>11267</v>
      </c>
      <c r="AP66" s="2">
        <v>11417</v>
      </c>
      <c r="AQ66" s="2">
        <v>11704</v>
      </c>
      <c r="AR66" s="2">
        <v>11338</v>
      </c>
      <c r="AS66" s="2">
        <v>15255</v>
      </c>
      <c r="AT66" s="2">
        <v>14962</v>
      </c>
      <c r="AU66" s="2">
        <v>16375</v>
      </c>
      <c r="AV66" s="2">
        <v>17257</v>
      </c>
      <c r="AW66" s="2">
        <v>17805</v>
      </c>
      <c r="AX66" s="2">
        <v>16655</v>
      </c>
      <c r="AY66" s="2">
        <v>16294</v>
      </c>
      <c r="AZ66" s="2">
        <v>17809</v>
      </c>
      <c r="BA66" s="2">
        <v>18535</v>
      </c>
      <c r="BB66" s="2">
        <v>16741</v>
      </c>
      <c r="BC66" s="2">
        <v>13150</v>
      </c>
      <c r="BD66" s="2">
        <v>12224</v>
      </c>
      <c r="BE66" s="2">
        <v>13314</v>
      </c>
      <c r="BF66" s="2">
        <v>12588</v>
      </c>
      <c r="BG66" s="2">
        <v>11800</v>
      </c>
      <c r="BH66" s="2">
        <v>12292</v>
      </c>
      <c r="BI66" s="2">
        <v>12136</v>
      </c>
      <c r="BJ66" s="2">
        <v>11974</v>
      </c>
      <c r="BK66" s="2"/>
      <c r="BL66" s="2">
        <v>5632</v>
      </c>
      <c r="BM66" s="2">
        <v>6173</v>
      </c>
      <c r="BN66" s="2">
        <v>4925</v>
      </c>
      <c r="BO66" s="2">
        <v>12073</v>
      </c>
      <c r="BP66" s="2">
        <v>8365</v>
      </c>
      <c r="BQ66" s="2">
        <v>9106</v>
      </c>
      <c r="BR66" s="2">
        <v>10090</v>
      </c>
      <c r="BS66" s="2">
        <v>17218</v>
      </c>
      <c r="BT66" s="2">
        <v>21284</v>
      </c>
      <c r="BU66" s="2">
        <v>11704</v>
      </c>
      <c r="BV66" s="2">
        <v>16375</v>
      </c>
      <c r="BW66" s="2">
        <v>16294</v>
      </c>
      <c r="BX66" s="2">
        <v>13150</v>
      </c>
      <c r="BY66" s="2">
        <f t="shared" si="36"/>
        <v>11800</v>
      </c>
      <c r="BZ66" s="2">
        <f t="shared" si="48"/>
        <v>11974</v>
      </c>
      <c r="CA66" s="159"/>
      <c r="CB66" s="159"/>
      <c r="CC66" s="159"/>
    </row>
    <row r="67" spans="2:81" ht="15" hidden="1" customHeight="1" outlineLevel="1">
      <c r="B67" s="21" t="s">
        <v>371</v>
      </c>
      <c r="C67" s="202" t="s">
        <v>147</v>
      </c>
      <c r="D67" s="2">
        <v>38093</v>
      </c>
      <c r="E67" s="2">
        <v>38035</v>
      </c>
      <c r="F67" s="2">
        <v>37941</v>
      </c>
      <c r="G67" s="2">
        <v>38093</v>
      </c>
      <c r="H67" s="2">
        <v>37791</v>
      </c>
      <c r="I67" s="2">
        <v>37435</v>
      </c>
      <c r="J67" s="2">
        <v>36857</v>
      </c>
      <c r="K67" s="2">
        <v>37731</v>
      </c>
      <c r="L67" s="2">
        <v>37702</v>
      </c>
      <c r="M67" s="2">
        <v>37442</v>
      </c>
      <c r="N67" s="2">
        <v>37405</v>
      </c>
      <c r="O67" s="2">
        <v>20555</v>
      </c>
      <c r="P67" s="2">
        <v>20376</v>
      </c>
      <c r="Q67" s="2">
        <v>20198</v>
      </c>
      <c r="R67" s="2">
        <v>20020</v>
      </c>
      <c r="S67" s="2">
        <v>19892</v>
      </c>
      <c r="T67" s="2">
        <v>19723</v>
      </c>
      <c r="U67" s="2">
        <v>19552</v>
      </c>
      <c r="V67" s="2">
        <v>19383</v>
      </c>
      <c r="W67" s="2">
        <v>12969</v>
      </c>
      <c r="X67" s="2">
        <v>13034</v>
      </c>
      <c r="Y67" s="2">
        <v>13049</v>
      </c>
      <c r="Z67" s="2">
        <v>13067</v>
      </c>
      <c r="AA67" s="2">
        <v>1180</v>
      </c>
      <c r="AB67" s="2">
        <v>1089</v>
      </c>
      <c r="AC67" s="2">
        <v>912</v>
      </c>
      <c r="AD67" s="2">
        <v>1100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9918</v>
      </c>
      <c r="AU67" s="2">
        <v>8623</v>
      </c>
      <c r="AV67" s="2">
        <v>9849</v>
      </c>
      <c r="AW67" s="2">
        <v>9532</v>
      </c>
      <c r="AX67" s="2">
        <v>6165</v>
      </c>
      <c r="AY67" s="2">
        <v>5094</v>
      </c>
      <c r="AZ67" s="2">
        <v>5399</v>
      </c>
      <c r="BA67" s="2">
        <v>5332</v>
      </c>
      <c r="BB67" s="2">
        <v>5423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/>
      <c r="BK67" s="2"/>
      <c r="BL67" s="2">
        <v>38093</v>
      </c>
      <c r="BM67" s="2">
        <v>37731</v>
      </c>
      <c r="BN67" s="2">
        <v>20555</v>
      </c>
      <c r="BO67" s="2">
        <v>19892</v>
      </c>
      <c r="BP67" s="2">
        <v>12969</v>
      </c>
      <c r="BQ67" s="2">
        <v>1180</v>
      </c>
      <c r="BR67" s="2">
        <v>0</v>
      </c>
      <c r="BS67" s="2">
        <v>0</v>
      </c>
      <c r="BT67" s="2">
        <v>0</v>
      </c>
      <c r="BU67" s="2">
        <v>0</v>
      </c>
      <c r="BV67" s="2">
        <v>8623</v>
      </c>
      <c r="BW67" s="2">
        <v>5094</v>
      </c>
      <c r="BX67" s="2">
        <v>0</v>
      </c>
      <c r="BY67" s="2">
        <f t="shared" si="36"/>
        <v>0</v>
      </c>
      <c r="BZ67" s="2">
        <f t="shared" si="48"/>
        <v>0</v>
      </c>
      <c r="CA67" s="159"/>
      <c r="CB67" s="159"/>
      <c r="CC67" s="159"/>
    </row>
    <row r="68" spans="2:81" collapsed="1">
      <c r="B68" s="21" t="s">
        <v>360</v>
      </c>
      <c r="C68" s="202" t="s">
        <v>156</v>
      </c>
      <c r="D68" s="2">
        <v>6604</v>
      </c>
      <c r="E68" s="2">
        <v>6676</v>
      </c>
      <c r="F68" s="2">
        <v>6608</v>
      </c>
      <c r="G68" s="2">
        <v>6604</v>
      </c>
      <c r="H68" s="2">
        <v>6604</v>
      </c>
      <c r="I68" s="2">
        <v>6341</v>
      </c>
      <c r="J68" s="2">
        <v>6260</v>
      </c>
      <c r="K68" s="2">
        <v>9625</v>
      </c>
      <c r="L68" s="2">
        <v>10332</v>
      </c>
      <c r="M68" s="2">
        <v>10203</v>
      </c>
      <c r="N68" s="2">
        <v>10153</v>
      </c>
      <c r="O68" s="2">
        <v>7105</v>
      </c>
      <c r="P68" s="2">
        <v>7028</v>
      </c>
      <c r="Q68" s="2">
        <v>6953</v>
      </c>
      <c r="R68" s="2">
        <v>6887</v>
      </c>
      <c r="S68" s="2">
        <v>6826</v>
      </c>
      <c r="T68" s="2">
        <v>6768</v>
      </c>
      <c r="U68" s="2">
        <v>6706</v>
      </c>
      <c r="V68" s="2">
        <v>6645</v>
      </c>
      <c r="W68" s="2">
        <v>6580</v>
      </c>
      <c r="X68" s="2">
        <v>6510</v>
      </c>
      <c r="Y68" s="2">
        <v>6444</v>
      </c>
      <c r="Z68" s="2">
        <v>6385</v>
      </c>
      <c r="AA68" s="2">
        <v>6314</v>
      </c>
      <c r="AB68" s="2">
        <v>6233</v>
      </c>
      <c r="AC68" s="2">
        <v>6204</v>
      </c>
      <c r="AD68" s="2">
        <v>6114</v>
      </c>
      <c r="AE68" s="2">
        <v>6008</v>
      </c>
      <c r="AF68" s="2">
        <v>5888</v>
      </c>
      <c r="AG68" s="2">
        <v>6895</v>
      </c>
      <c r="AH68" s="2">
        <v>6760</v>
      </c>
      <c r="AI68" s="2">
        <v>6581</v>
      </c>
      <c r="AJ68" s="2">
        <v>4673</v>
      </c>
      <c r="AK68" s="2">
        <v>3653</v>
      </c>
      <c r="AL68" s="2">
        <v>3511</v>
      </c>
      <c r="AM68" s="2">
        <v>3365</v>
      </c>
      <c r="AN68" s="2">
        <v>3216</v>
      </c>
      <c r="AO68" s="2">
        <v>3065</v>
      </c>
      <c r="AP68" s="2">
        <v>2911</v>
      </c>
      <c r="AQ68" s="2">
        <v>2750</v>
      </c>
      <c r="AR68" s="2">
        <v>2584</v>
      </c>
      <c r="AS68" s="2">
        <v>2413</v>
      </c>
      <c r="AT68" s="2">
        <v>2238</v>
      </c>
      <c r="AU68" s="2">
        <v>2061</v>
      </c>
      <c r="AV68" s="2">
        <v>1884</v>
      </c>
      <c r="AW68" s="2">
        <v>1708</v>
      </c>
      <c r="AX68" s="2">
        <v>1535</v>
      </c>
      <c r="AY68" s="2">
        <v>1363</v>
      </c>
      <c r="AZ68" s="2">
        <v>1191</v>
      </c>
      <c r="BA68" s="2">
        <v>1017</v>
      </c>
      <c r="BB68" s="2">
        <v>839</v>
      </c>
      <c r="BC68" s="2">
        <v>655</v>
      </c>
      <c r="BD68" s="2">
        <v>466</v>
      </c>
      <c r="BE68" s="2">
        <v>270</v>
      </c>
      <c r="BF68" s="2">
        <v>68</v>
      </c>
      <c r="BG68" s="2">
        <v>0</v>
      </c>
      <c r="BH68" s="2">
        <v>0</v>
      </c>
      <c r="BI68" s="2">
        <v>0</v>
      </c>
      <c r="BJ68" s="2">
        <v>0</v>
      </c>
      <c r="BK68" s="2"/>
      <c r="BL68" s="2">
        <v>6604</v>
      </c>
      <c r="BM68" s="2">
        <v>9625</v>
      </c>
      <c r="BN68" s="2">
        <v>7105</v>
      </c>
      <c r="BO68" s="2">
        <v>6826</v>
      </c>
      <c r="BP68" s="2">
        <v>6580</v>
      </c>
      <c r="BQ68" s="2">
        <v>6314</v>
      </c>
      <c r="BR68" s="2">
        <v>6008</v>
      </c>
      <c r="BS68" s="2">
        <v>6581</v>
      </c>
      <c r="BT68" s="2">
        <v>3365</v>
      </c>
      <c r="BU68" s="2">
        <v>2750</v>
      </c>
      <c r="BV68" s="2">
        <v>2061</v>
      </c>
      <c r="BW68" s="2">
        <v>1363</v>
      </c>
      <c r="BX68" s="2">
        <v>655</v>
      </c>
      <c r="BY68" s="2">
        <f t="shared" si="36"/>
        <v>0</v>
      </c>
      <c r="BZ68" s="2">
        <f t="shared" si="48"/>
        <v>0</v>
      </c>
      <c r="CA68" s="159"/>
      <c r="CB68" s="159"/>
      <c r="CC68" s="159"/>
    </row>
    <row r="69" spans="2:81" hidden="1" outlineLevel="1">
      <c r="B69" s="21" t="s">
        <v>359</v>
      </c>
      <c r="C69" s="202" t="s">
        <v>161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3856</v>
      </c>
      <c r="P69" s="2">
        <v>4222</v>
      </c>
      <c r="Q69" s="2">
        <v>5142</v>
      </c>
      <c r="R69" s="2">
        <v>7428</v>
      </c>
      <c r="S69" s="2">
        <v>5103</v>
      </c>
      <c r="T69" s="2">
        <v>6142</v>
      </c>
      <c r="U69" s="2">
        <v>6351</v>
      </c>
      <c r="V69" s="2">
        <v>6351</v>
      </c>
      <c r="W69" s="2">
        <v>6351</v>
      </c>
      <c r="X69" s="2">
        <v>5891</v>
      </c>
      <c r="Y69" s="2">
        <v>4730</v>
      </c>
      <c r="Z69" s="2">
        <v>4730</v>
      </c>
      <c r="AA69" s="2">
        <v>3765</v>
      </c>
      <c r="AB69" s="2">
        <v>3373</v>
      </c>
      <c r="AC69" s="2">
        <v>3373</v>
      </c>
      <c r="AD69" s="2">
        <v>3373</v>
      </c>
      <c r="AE69" s="2">
        <v>2103</v>
      </c>
      <c r="AF69" s="2">
        <v>1457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/>
      <c r="BJ69" s="2"/>
      <c r="BK69" s="2"/>
      <c r="BL69" s="2">
        <v>0</v>
      </c>
      <c r="BM69" s="2">
        <v>0</v>
      </c>
      <c r="BN69" s="2">
        <v>3856</v>
      </c>
      <c r="BO69" s="2">
        <v>5103</v>
      </c>
      <c r="BP69" s="2">
        <v>6351</v>
      </c>
      <c r="BQ69" s="2">
        <v>3765</v>
      </c>
      <c r="BR69" s="2">
        <v>2103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f t="shared" si="36"/>
        <v>0</v>
      </c>
      <c r="BZ69" s="2">
        <f t="shared" si="48"/>
        <v>0</v>
      </c>
      <c r="CA69" s="159"/>
      <c r="CB69" s="159"/>
      <c r="CC69" s="159"/>
    </row>
    <row r="70" spans="2:81" collapsed="1">
      <c r="B70" s="21" t="s">
        <v>390</v>
      </c>
      <c r="C70" s="202" t="s">
        <v>255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54960</v>
      </c>
      <c r="BE70" s="2">
        <v>54960</v>
      </c>
      <c r="BF70" s="2">
        <v>54960</v>
      </c>
      <c r="BG70" s="2">
        <v>54960</v>
      </c>
      <c r="BH70" s="2">
        <v>54960</v>
      </c>
      <c r="BI70" s="2">
        <v>54960</v>
      </c>
      <c r="BJ70" s="2">
        <v>54960</v>
      </c>
      <c r="BK70" s="2"/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f t="shared" si="36"/>
        <v>54960</v>
      </c>
      <c r="BZ70" s="2">
        <f t="shared" si="48"/>
        <v>54960</v>
      </c>
      <c r="CA70" s="159"/>
      <c r="CB70" s="159"/>
      <c r="CC70" s="159"/>
    </row>
    <row r="71" spans="2:81">
      <c r="B71" s="21" t="s">
        <v>386</v>
      </c>
      <c r="C71" s="202" t="s">
        <v>250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2781</v>
      </c>
      <c r="AO71" s="2">
        <v>431</v>
      </c>
      <c r="AP71" s="2">
        <v>1753</v>
      </c>
      <c r="AQ71" s="2">
        <v>1597</v>
      </c>
      <c r="AR71" s="2">
        <v>5628</v>
      </c>
      <c r="AS71" s="2">
        <v>4499</v>
      </c>
      <c r="AT71" s="2">
        <v>3522</v>
      </c>
      <c r="AU71" s="2">
        <v>2565</v>
      </c>
      <c r="AV71" s="2">
        <v>1534</v>
      </c>
      <c r="AW71" s="2">
        <v>866</v>
      </c>
      <c r="AX71" s="2">
        <v>510</v>
      </c>
      <c r="AY71" s="2">
        <v>583</v>
      </c>
      <c r="AZ71" s="2">
        <v>583</v>
      </c>
      <c r="BA71" s="2">
        <v>583</v>
      </c>
      <c r="BB71" s="2">
        <v>0</v>
      </c>
      <c r="BC71" s="2">
        <v>357</v>
      </c>
      <c r="BD71" s="2">
        <v>353</v>
      </c>
      <c r="BE71" s="2">
        <v>730</v>
      </c>
      <c r="BF71" s="2">
        <v>679</v>
      </c>
      <c r="BG71" s="2">
        <v>787</v>
      </c>
      <c r="BH71" s="2">
        <v>20480</v>
      </c>
      <c r="BI71" s="2">
        <v>20053</v>
      </c>
      <c r="BJ71" s="2">
        <v>19051</v>
      </c>
      <c r="BK71" s="2"/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1597</v>
      </c>
      <c r="BV71" s="2">
        <v>2565</v>
      </c>
      <c r="BW71" s="2">
        <v>583</v>
      </c>
      <c r="BX71" s="2">
        <v>357</v>
      </c>
      <c r="BY71" s="2">
        <f t="shared" si="36"/>
        <v>787</v>
      </c>
      <c r="BZ71" s="2">
        <f t="shared" si="48"/>
        <v>19051</v>
      </c>
      <c r="CA71" s="159"/>
      <c r="CB71" s="159"/>
      <c r="CC71" s="159"/>
    </row>
    <row r="72" spans="2:81">
      <c r="B72" s="21" t="s">
        <v>387</v>
      </c>
      <c r="C72" s="202" t="s">
        <v>249</v>
      </c>
      <c r="D72" s="2">
        <v>995</v>
      </c>
      <c r="E72" s="2">
        <v>1245</v>
      </c>
      <c r="F72" s="2">
        <v>1119</v>
      </c>
      <c r="G72" s="2">
        <v>995</v>
      </c>
      <c r="H72" s="2">
        <v>885</v>
      </c>
      <c r="I72" s="2">
        <v>761</v>
      </c>
      <c r="J72" s="2">
        <v>617</v>
      </c>
      <c r="K72" s="2">
        <v>483</v>
      </c>
      <c r="L72" s="2">
        <v>340</v>
      </c>
      <c r="M72" s="2">
        <v>199</v>
      </c>
      <c r="N72" s="2">
        <v>51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25</v>
      </c>
      <c r="V72" s="2">
        <v>112</v>
      </c>
      <c r="W72" s="2">
        <v>200</v>
      </c>
      <c r="X72" s="2">
        <v>268</v>
      </c>
      <c r="Y72" s="2">
        <v>336</v>
      </c>
      <c r="Z72" s="2">
        <v>557</v>
      </c>
      <c r="AA72" s="2">
        <v>904</v>
      </c>
      <c r="AB72" s="2">
        <v>934</v>
      </c>
      <c r="AC72" s="2">
        <v>993</v>
      </c>
      <c r="AD72" s="2">
        <v>236</v>
      </c>
      <c r="AE72" s="2">
        <v>208</v>
      </c>
      <c r="AF72" s="2">
        <v>192</v>
      </c>
      <c r="AG72" s="2">
        <v>170</v>
      </c>
      <c r="AH72" s="2">
        <v>150</v>
      </c>
      <c r="AI72" s="2">
        <v>130</v>
      </c>
      <c r="AJ72" s="2">
        <v>104</v>
      </c>
      <c r="AK72" s="2">
        <v>85</v>
      </c>
      <c r="AL72" s="2">
        <v>65</v>
      </c>
      <c r="AM72" s="2">
        <v>46</v>
      </c>
      <c r="AN72" s="2">
        <v>26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364</v>
      </c>
      <c r="BE72" s="2">
        <v>1443</v>
      </c>
      <c r="BF72" s="2">
        <v>1974</v>
      </c>
      <c r="BG72" s="2">
        <v>3617</v>
      </c>
      <c r="BH72" s="2">
        <v>4124</v>
      </c>
      <c r="BI72" s="2">
        <v>1811</v>
      </c>
      <c r="BJ72" s="2">
        <v>1620</v>
      </c>
      <c r="BK72" s="2"/>
      <c r="BL72" s="2">
        <v>995</v>
      </c>
      <c r="BM72" s="2">
        <v>483</v>
      </c>
      <c r="BN72" s="2">
        <v>0</v>
      </c>
      <c r="BO72" s="2">
        <v>0</v>
      </c>
      <c r="BP72" s="2">
        <v>200</v>
      </c>
      <c r="BQ72" s="2">
        <v>904</v>
      </c>
      <c r="BR72" s="2">
        <v>208</v>
      </c>
      <c r="BS72" s="2">
        <v>130</v>
      </c>
      <c r="BT72" s="2">
        <v>46</v>
      </c>
      <c r="BU72" s="2">
        <v>0</v>
      </c>
      <c r="BV72" s="2">
        <v>0</v>
      </c>
      <c r="BW72" s="2">
        <v>0</v>
      </c>
      <c r="BX72" s="2">
        <v>0</v>
      </c>
      <c r="BY72" s="2">
        <f>BG72</f>
        <v>3617</v>
      </c>
      <c r="BZ72" s="2">
        <f t="shared" si="48"/>
        <v>1620</v>
      </c>
      <c r="CA72" s="159"/>
      <c r="CB72" s="159"/>
      <c r="CC72" s="159"/>
    </row>
    <row r="73" spans="2:81">
      <c r="B73" s="107" t="s">
        <v>391</v>
      </c>
      <c r="C73" s="193" t="s">
        <v>162</v>
      </c>
      <c r="D73" s="112">
        <v>268653</v>
      </c>
      <c r="E73" s="112">
        <v>244217</v>
      </c>
      <c r="F73" s="112">
        <v>251236</v>
      </c>
      <c r="G73" s="112">
        <v>268653</v>
      </c>
      <c r="H73" s="112">
        <v>265505</v>
      </c>
      <c r="I73" s="112">
        <v>271713</v>
      </c>
      <c r="J73" s="112">
        <v>279810</v>
      </c>
      <c r="K73" s="112">
        <v>296913</v>
      </c>
      <c r="L73" s="112">
        <v>300345</v>
      </c>
      <c r="M73" s="112">
        <v>300692</v>
      </c>
      <c r="N73" s="112">
        <v>308170</v>
      </c>
      <c r="O73" s="112">
        <v>320973</v>
      </c>
      <c r="P73" s="112">
        <v>329563</v>
      </c>
      <c r="Q73" s="112">
        <v>331972</v>
      </c>
      <c r="R73" s="112">
        <v>351730</v>
      </c>
      <c r="S73" s="112">
        <v>364082</v>
      </c>
      <c r="T73" s="112">
        <v>387872</v>
      </c>
      <c r="U73" s="112">
        <v>401945</v>
      </c>
      <c r="V73" s="112">
        <v>470248</v>
      </c>
      <c r="W73" s="112">
        <v>508814</v>
      </c>
      <c r="X73" s="112">
        <v>494690</v>
      </c>
      <c r="Y73" s="112">
        <v>472280</v>
      </c>
      <c r="Z73" s="112">
        <v>479341</v>
      </c>
      <c r="AA73" s="112">
        <v>491362</v>
      </c>
      <c r="AB73" s="112">
        <v>485874</v>
      </c>
      <c r="AC73" s="112">
        <v>477245</v>
      </c>
      <c r="AD73" s="112">
        <v>479811</v>
      </c>
      <c r="AE73" s="112">
        <v>468852</v>
      </c>
      <c r="AF73" s="112">
        <v>463289</v>
      </c>
      <c r="AG73" s="112">
        <v>458308</v>
      </c>
      <c r="AH73" s="112">
        <v>454611</v>
      </c>
      <c r="AI73" s="112">
        <v>435349</v>
      </c>
      <c r="AJ73" s="112">
        <v>424193</v>
      </c>
      <c r="AK73" s="112">
        <v>410762</v>
      </c>
      <c r="AL73" s="112">
        <v>414867</v>
      </c>
      <c r="AM73" s="112">
        <v>441025</v>
      </c>
      <c r="AN73" s="112">
        <v>445107</v>
      </c>
      <c r="AO73" s="112">
        <v>441589</v>
      </c>
      <c r="AP73" s="112">
        <v>456590</v>
      </c>
      <c r="AQ73" s="112">
        <v>467384</v>
      </c>
      <c r="AR73" s="112">
        <v>476133</v>
      </c>
      <c r="AS73" s="112">
        <v>491331</v>
      </c>
      <c r="AT73" s="112">
        <v>513931</v>
      </c>
      <c r="AU73" s="112">
        <v>517651</v>
      </c>
      <c r="AV73" s="112">
        <f t="shared" ref="AV73" si="49">SUM(AV74:AV80)</f>
        <v>535000</v>
      </c>
      <c r="AW73" s="112">
        <f t="shared" ref="AW73" si="50">SUM(AW74:AW80)</f>
        <v>649707</v>
      </c>
      <c r="AX73" s="112">
        <f t="shared" ref="AX73" si="51">SUM(AX74:AX80)</f>
        <v>687143</v>
      </c>
      <c r="AY73" s="112">
        <f t="shared" ref="AY73" si="52">SUM(AY74:AY80)</f>
        <v>461630</v>
      </c>
      <c r="AZ73" s="112">
        <f t="shared" ref="AZ73" si="53">SUM(AZ74:AZ80)</f>
        <v>493350</v>
      </c>
      <c r="BA73" s="112">
        <f t="shared" ref="BA73" si="54">SUM(BA74:BA80)</f>
        <v>554396</v>
      </c>
      <c r="BB73" s="112">
        <f t="shared" ref="BB73" si="55">SUM(BB74:BB80)</f>
        <v>631379</v>
      </c>
      <c r="BC73" s="112">
        <f t="shared" ref="BC73" si="56">SUM(BC74:BC80)</f>
        <v>597270</v>
      </c>
      <c r="BD73" s="112">
        <f t="shared" ref="BD73:BF73" si="57">SUM(BD74:BD80)</f>
        <v>650729</v>
      </c>
      <c r="BE73" s="112">
        <f t="shared" si="57"/>
        <v>668654</v>
      </c>
      <c r="BF73" s="112">
        <f t="shared" si="57"/>
        <v>681618</v>
      </c>
      <c r="BG73" s="112">
        <f>SUM(BG74:BG80)</f>
        <v>726203</v>
      </c>
      <c r="BH73" s="112">
        <f t="shared" ref="BH73:BK73" si="58">SUM(BH74:BH80)</f>
        <v>779763</v>
      </c>
      <c r="BI73" s="112">
        <f t="shared" si="58"/>
        <v>738241</v>
      </c>
      <c r="BJ73" s="112">
        <f t="shared" si="58"/>
        <v>754480</v>
      </c>
      <c r="BK73" s="112">
        <f t="shared" si="58"/>
        <v>0</v>
      </c>
      <c r="BL73" s="112">
        <v>268653</v>
      </c>
      <c r="BM73" s="112">
        <v>296913</v>
      </c>
      <c r="BN73" s="112">
        <v>320973</v>
      </c>
      <c r="BO73" s="112">
        <v>364082</v>
      </c>
      <c r="BP73" s="112">
        <v>508814</v>
      </c>
      <c r="BQ73" s="112">
        <v>491362</v>
      </c>
      <c r="BR73" s="112">
        <v>468852</v>
      </c>
      <c r="BS73" s="112">
        <v>435349</v>
      </c>
      <c r="BT73" s="112">
        <v>441025</v>
      </c>
      <c r="BU73" s="112">
        <v>467384</v>
      </c>
      <c r="BV73" s="112">
        <v>517651</v>
      </c>
      <c r="BW73" s="112">
        <v>461630</v>
      </c>
      <c r="BX73" s="112">
        <v>597270</v>
      </c>
      <c r="BY73" s="112">
        <f>SUM(BY74:BY80)</f>
        <v>726203</v>
      </c>
      <c r="BZ73" s="112">
        <f>SUM(BZ74:BZ80)</f>
        <v>754480</v>
      </c>
      <c r="CA73" s="159"/>
      <c r="CB73" s="159"/>
      <c r="CC73" s="159"/>
    </row>
    <row r="74" spans="2:81">
      <c r="B74" s="21" t="s">
        <v>392</v>
      </c>
      <c r="C74" s="202" t="s">
        <v>163</v>
      </c>
      <c r="D74" s="2">
        <v>429442</v>
      </c>
      <c r="E74" s="2">
        <v>428938</v>
      </c>
      <c r="F74" s="2">
        <v>429387</v>
      </c>
      <c r="G74" s="2">
        <v>429442</v>
      </c>
      <c r="H74" s="2">
        <v>429443</v>
      </c>
      <c r="I74" s="2">
        <v>429443</v>
      </c>
      <c r="J74" s="2">
        <v>429443</v>
      </c>
      <c r="K74" s="2">
        <v>429443</v>
      </c>
      <c r="L74" s="2">
        <v>429455</v>
      </c>
      <c r="M74" s="2">
        <v>452914</v>
      </c>
      <c r="N74" s="2">
        <v>230636</v>
      </c>
      <c r="O74" s="2">
        <v>230636</v>
      </c>
      <c r="P74" s="2">
        <v>230636</v>
      </c>
      <c r="Q74" s="2">
        <v>230636</v>
      </c>
      <c r="R74" s="2">
        <v>230636</v>
      </c>
      <c r="S74" s="2">
        <v>230636</v>
      </c>
      <c r="T74" s="2">
        <v>230652</v>
      </c>
      <c r="U74" s="2">
        <v>230658</v>
      </c>
      <c r="V74" s="2">
        <v>234222</v>
      </c>
      <c r="W74" s="2">
        <v>234222</v>
      </c>
      <c r="X74" s="2">
        <v>234223</v>
      </c>
      <c r="Y74" s="2">
        <v>234322</v>
      </c>
      <c r="Z74" s="2">
        <v>234322</v>
      </c>
      <c r="AA74" s="2">
        <v>234322</v>
      </c>
      <c r="AB74" s="2">
        <v>234322</v>
      </c>
      <c r="AC74" s="2">
        <v>234322</v>
      </c>
      <c r="AD74" s="2">
        <v>234322</v>
      </c>
      <c r="AE74" s="2">
        <v>234322</v>
      </c>
      <c r="AF74" s="2">
        <v>234322</v>
      </c>
      <c r="AG74" s="2">
        <v>234322</v>
      </c>
      <c r="AH74" s="2">
        <v>234322</v>
      </c>
      <c r="AI74" s="2">
        <v>234322</v>
      </c>
      <c r="AJ74" s="2">
        <v>234322</v>
      </c>
      <c r="AK74" s="2">
        <v>234322</v>
      </c>
      <c r="AL74" s="2">
        <v>234322</v>
      </c>
      <c r="AM74" s="2">
        <v>234322</v>
      </c>
      <c r="AN74" s="2">
        <v>234322</v>
      </c>
      <c r="AO74" s="2">
        <v>234322</v>
      </c>
      <c r="AP74" s="2">
        <v>234322</v>
      </c>
      <c r="AQ74" s="2">
        <v>234322</v>
      </c>
      <c r="AR74" s="2">
        <v>234322</v>
      </c>
      <c r="AS74" s="2">
        <v>234322</v>
      </c>
      <c r="AT74" s="2">
        <v>234322</v>
      </c>
      <c r="AU74" s="2">
        <v>234322</v>
      </c>
      <c r="AV74" s="2">
        <v>234322</v>
      </c>
      <c r="AW74" s="2">
        <v>423216</v>
      </c>
      <c r="AX74" s="2">
        <v>423216</v>
      </c>
      <c r="AY74" s="2">
        <v>144694</v>
      </c>
      <c r="AZ74" s="2">
        <v>144694</v>
      </c>
      <c r="BA74" s="2">
        <v>144694</v>
      </c>
      <c r="BB74" s="2">
        <v>144694</v>
      </c>
      <c r="BC74" s="2">
        <v>144694</v>
      </c>
      <c r="BD74" s="2">
        <v>144694</v>
      </c>
      <c r="BE74" s="2">
        <v>244694</v>
      </c>
      <c r="BF74" s="2">
        <v>244694</v>
      </c>
      <c r="BG74" s="2">
        <v>244694</v>
      </c>
      <c r="BH74" s="2">
        <v>244694</v>
      </c>
      <c r="BI74" s="2">
        <v>344694</v>
      </c>
      <c r="BJ74" s="2">
        <v>344694</v>
      </c>
      <c r="BK74" s="2"/>
      <c r="BL74" s="2">
        <v>429442</v>
      </c>
      <c r="BM74" s="2">
        <v>429443</v>
      </c>
      <c r="BN74" s="2">
        <v>230636</v>
      </c>
      <c r="BO74" s="2">
        <v>230636</v>
      </c>
      <c r="BP74" s="2">
        <v>234222</v>
      </c>
      <c r="BQ74" s="2">
        <v>234322</v>
      </c>
      <c r="BR74" s="2">
        <v>234322</v>
      </c>
      <c r="BS74" s="2">
        <v>234322</v>
      </c>
      <c r="BT74" s="2">
        <v>234322</v>
      </c>
      <c r="BU74" s="2">
        <v>234322</v>
      </c>
      <c r="BV74" s="2">
        <v>234322</v>
      </c>
      <c r="BW74" s="2">
        <v>144694</v>
      </c>
      <c r="BX74" s="2">
        <v>144694</v>
      </c>
      <c r="BY74" s="2">
        <f t="shared" si="36"/>
        <v>244694</v>
      </c>
      <c r="BZ74" s="2">
        <f t="shared" ref="BZ74:BZ80" si="59">BJ74</f>
        <v>344694</v>
      </c>
      <c r="CA74" s="159"/>
      <c r="CB74" s="159"/>
      <c r="CC74" s="159"/>
    </row>
    <row r="75" spans="2:81">
      <c r="B75" s="21" t="s">
        <v>393</v>
      </c>
      <c r="C75" s="202" t="s">
        <v>68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1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-662</v>
      </c>
      <c r="AX75" s="2">
        <v>-662</v>
      </c>
      <c r="AY75" s="2">
        <v>-12417</v>
      </c>
      <c r="AZ75" s="2">
        <v>-2383</v>
      </c>
      <c r="BA75" s="2">
        <v>-1865</v>
      </c>
      <c r="BB75" s="2">
        <v>-7806</v>
      </c>
      <c r="BC75" s="2">
        <v>-7806</v>
      </c>
      <c r="BD75" s="2">
        <v>-7806</v>
      </c>
      <c r="BE75" s="2">
        <v>-22303</v>
      </c>
      <c r="BF75" s="2">
        <v>-22303</v>
      </c>
      <c r="BG75" s="2">
        <v>-22303</v>
      </c>
      <c r="BH75" s="2">
        <v>-22303</v>
      </c>
      <c r="BI75" s="2">
        <v>-22570</v>
      </c>
      <c r="BJ75" s="2">
        <v>-49958</v>
      </c>
      <c r="BK75" s="2"/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-12417</v>
      </c>
      <c r="BX75" s="2">
        <v>-7806</v>
      </c>
      <c r="BY75" s="2">
        <f>BG75</f>
        <v>-22303</v>
      </c>
      <c r="BZ75" s="2">
        <f t="shared" si="59"/>
        <v>-49958</v>
      </c>
      <c r="CA75" s="159"/>
      <c r="CB75" s="159"/>
      <c r="CC75" s="159"/>
    </row>
    <row r="76" spans="2:81">
      <c r="B76" s="21" t="s">
        <v>394</v>
      </c>
      <c r="C76" s="202" t="s">
        <v>164</v>
      </c>
      <c r="D76" s="2">
        <v>27604</v>
      </c>
      <c r="E76" s="2">
        <v>27617</v>
      </c>
      <c r="F76" s="2">
        <v>27605</v>
      </c>
      <c r="G76" s="2">
        <v>27604</v>
      </c>
      <c r="H76" s="2">
        <v>27604</v>
      </c>
      <c r="I76" s="2">
        <v>27604</v>
      </c>
      <c r="J76" s="2">
        <v>27604</v>
      </c>
      <c r="K76" s="2">
        <v>27604</v>
      </c>
      <c r="L76" s="2">
        <v>27602</v>
      </c>
      <c r="M76" s="2">
        <v>4141</v>
      </c>
      <c r="N76" s="2">
        <v>4141</v>
      </c>
      <c r="O76" s="2">
        <v>3978</v>
      </c>
      <c r="P76" s="2">
        <v>3977</v>
      </c>
      <c r="Q76" s="2">
        <v>3977</v>
      </c>
      <c r="R76" s="2">
        <v>3977</v>
      </c>
      <c r="S76" s="2">
        <v>3977</v>
      </c>
      <c r="T76" s="2">
        <v>3977</v>
      </c>
      <c r="U76" s="2">
        <v>3977</v>
      </c>
      <c r="V76" s="2">
        <v>34469</v>
      </c>
      <c r="W76" s="2">
        <v>48650</v>
      </c>
      <c r="X76" s="2">
        <v>48806</v>
      </c>
      <c r="Y76" s="2">
        <v>48961</v>
      </c>
      <c r="Z76" s="2">
        <v>49279</v>
      </c>
      <c r="AA76" s="2">
        <v>49518</v>
      </c>
      <c r="AB76" s="2">
        <v>49758</v>
      </c>
      <c r="AC76" s="2">
        <v>49996</v>
      </c>
      <c r="AD76" s="2">
        <v>50236</v>
      </c>
      <c r="AE76" s="2">
        <v>50477</v>
      </c>
      <c r="AF76" s="2">
        <v>50716</v>
      </c>
      <c r="AG76" s="2">
        <v>50953</v>
      </c>
      <c r="AH76" s="2">
        <v>51090</v>
      </c>
      <c r="AI76" s="2">
        <v>51231</v>
      </c>
      <c r="AJ76" s="2">
        <v>50679</v>
      </c>
      <c r="AK76" s="2">
        <v>51231</v>
      </c>
      <c r="AL76" s="2">
        <v>51231</v>
      </c>
      <c r="AM76" s="2">
        <v>51231</v>
      </c>
      <c r="AN76" s="2">
        <v>51231</v>
      </c>
      <c r="AO76" s="2">
        <v>51231</v>
      </c>
      <c r="AP76" s="2">
        <v>48576</v>
      </c>
      <c r="AQ76" s="2">
        <v>48576</v>
      </c>
      <c r="AR76" s="2">
        <v>48576</v>
      </c>
      <c r="AS76" s="2">
        <v>48576</v>
      </c>
      <c r="AT76" s="2">
        <v>48345</v>
      </c>
      <c r="AU76" s="2">
        <v>48486</v>
      </c>
      <c r="AV76" s="2">
        <v>48627</v>
      </c>
      <c r="AW76" s="2">
        <v>1104</v>
      </c>
      <c r="AX76" s="2">
        <v>1521</v>
      </c>
      <c r="AY76" s="2">
        <v>1938</v>
      </c>
      <c r="AZ76" s="2">
        <v>2356</v>
      </c>
      <c r="BA76" s="2">
        <v>2568</v>
      </c>
      <c r="BB76" s="2">
        <v>2862</v>
      </c>
      <c r="BC76" s="2">
        <v>3429</v>
      </c>
      <c r="BD76" s="2">
        <v>5647</v>
      </c>
      <c r="BE76" s="2">
        <v>4711</v>
      </c>
      <c r="BF76" s="2">
        <v>6084</v>
      </c>
      <c r="BG76" s="2">
        <v>7456</v>
      </c>
      <c r="BH76" s="2">
        <v>8860</v>
      </c>
      <c r="BI76" s="2">
        <v>7611</v>
      </c>
      <c r="BJ76" s="2">
        <v>7853</v>
      </c>
      <c r="BK76" s="2"/>
      <c r="BL76" s="2">
        <v>27604</v>
      </c>
      <c r="BM76" s="2">
        <v>27604</v>
      </c>
      <c r="BN76" s="2">
        <v>3978</v>
      </c>
      <c r="BO76" s="2">
        <v>3977</v>
      </c>
      <c r="BP76" s="2">
        <v>48650</v>
      </c>
      <c r="BQ76" s="2">
        <v>49518</v>
      </c>
      <c r="BR76" s="2">
        <v>50477</v>
      </c>
      <c r="BS76" s="2">
        <v>51231</v>
      </c>
      <c r="BT76" s="2">
        <v>51231</v>
      </c>
      <c r="BU76" s="2">
        <v>48576</v>
      </c>
      <c r="BV76" s="2">
        <v>48486</v>
      </c>
      <c r="BW76" s="2">
        <v>1938</v>
      </c>
      <c r="BX76" s="2">
        <v>3429</v>
      </c>
      <c r="BY76" s="2">
        <f t="shared" si="36"/>
        <v>7456</v>
      </c>
      <c r="BZ76" s="2">
        <f t="shared" si="59"/>
        <v>7853</v>
      </c>
      <c r="CA76" s="159"/>
      <c r="CB76" s="159"/>
      <c r="CC76" s="159"/>
    </row>
    <row r="77" spans="2:81">
      <c r="B77" s="21" t="s">
        <v>395</v>
      </c>
      <c r="C77" s="202" t="s">
        <v>165</v>
      </c>
      <c r="D77" s="2">
        <v>2262</v>
      </c>
      <c r="E77" s="2">
        <v>2296</v>
      </c>
      <c r="F77" s="2">
        <v>2280</v>
      </c>
      <c r="G77" s="2">
        <v>2262</v>
      </c>
      <c r="H77" s="2">
        <v>2246</v>
      </c>
      <c r="I77" s="2">
        <v>2230</v>
      </c>
      <c r="J77" s="2">
        <v>2211</v>
      </c>
      <c r="K77" s="2">
        <v>2195</v>
      </c>
      <c r="L77" s="2">
        <v>2178</v>
      </c>
      <c r="M77" s="2">
        <v>2150</v>
      </c>
      <c r="N77" s="2">
        <v>2128</v>
      </c>
      <c r="O77" s="2">
        <v>2106</v>
      </c>
      <c r="P77" s="2">
        <v>2091</v>
      </c>
      <c r="Q77" s="2">
        <v>2088</v>
      </c>
      <c r="R77" s="2">
        <v>2073</v>
      </c>
      <c r="S77" s="2">
        <v>2057</v>
      </c>
      <c r="T77" s="2">
        <v>2042</v>
      </c>
      <c r="U77" s="2">
        <v>2026</v>
      </c>
      <c r="V77" s="2">
        <v>1968</v>
      </c>
      <c r="W77" s="2">
        <v>1953</v>
      </c>
      <c r="X77" s="2">
        <v>1958</v>
      </c>
      <c r="Y77" s="2">
        <v>1922</v>
      </c>
      <c r="Z77" s="2">
        <v>1921</v>
      </c>
      <c r="AA77" s="2">
        <v>1928</v>
      </c>
      <c r="AB77" s="2">
        <v>1934</v>
      </c>
      <c r="AC77" s="2">
        <v>1935</v>
      </c>
      <c r="AD77" s="2">
        <v>1935</v>
      </c>
      <c r="AE77" s="2">
        <v>1935</v>
      </c>
      <c r="AF77" s="2">
        <v>1935</v>
      </c>
      <c r="AG77" s="2">
        <v>683</v>
      </c>
      <c r="AH77" s="2">
        <v>683</v>
      </c>
      <c r="AI77" s="2">
        <v>683</v>
      </c>
      <c r="AJ77" s="2">
        <v>336</v>
      </c>
      <c r="AK77" s="2">
        <v>336</v>
      </c>
      <c r="AL77" s="2">
        <v>336</v>
      </c>
      <c r="AM77" s="2">
        <v>336</v>
      </c>
      <c r="AN77" s="2">
        <v>336</v>
      </c>
      <c r="AO77" s="2">
        <v>336</v>
      </c>
      <c r="AP77" s="2">
        <v>336</v>
      </c>
      <c r="AQ77" s="2">
        <v>336</v>
      </c>
      <c r="AR77" s="2">
        <v>336</v>
      </c>
      <c r="AS77" s="2">
        <v>336</v>
      </c>
      <c r="AT77" s="2">
        <v>336</v>
      </c>
      <c r="AU77" s="2">
        <v>336</v>
      </c>
      <c r="AV77" s="2">
        <v>336</v>
      </c>
      <c r="AW77" s="2">
        <v>336</v>
      </c>
      <c r="AX77" s="2">
        <v>225</v>
      </c>
      <c r="AY77" s="2">
        <v>158</v>
      </c>
      <c r="AZ77" s="2">
        <v>158</v>
      </c>
      <c r="BA77" s="2">
        <v>158</v>
      </c>
      <c r="BB77" s="2">
        <v>158</v>
      </c>
      <c r="BC77" s="2">
        <v>158</v>
      </c>
      <c r="BD77" s="2">
        <v>158</v>
      </c>
      <c r="BE77" s="2">
        <v>158</v>
      </c>
      <c r="BF77" s="2">
        <v>158</v>
      </c>
      <c r="BG77" s="2">
        <v>158</v>
      </c>
      <c r="BH77" s="2">
        <v>158</v>
      </c>
      <c r="BI77" s="2">
        <v>158</v>
      </c>
      <c r="BJ77" s="2">
        <v>158</v>
      </c>
      <c r="BK77" s="2"/>
      <c r="BL77" s="2">
        <v>2262</v>
      </c>
      <c r="BM77" s="2">
        <v>2195</v>
      </c>
      <c r="BN77" s="2">
        <v>2106</v>
      </c>
      <c r="BO77" s="2">
        <v>2057</v>
      </c>
      <c r="BP77" s="2">
        <v>1953</v>
      </c>
      <c r="BQ77" s="2">
        <v>1928</v>
      </c>
      <c r="BR77" s="2">
        <v>1935</v>
      </c>
      <c r="BS77" s="2">
        <v>683</v>
      </c>
      <c r="BT77" s="2">
        <v>336</v>
      </c>
      <c r="BU77" s="2">
        <v>336</v>
      </c>
      <c r="BV77" s="2">
        <v>336</v>
      </c>
      <c r="BW77" s="2">
        <v>158</v>
      </c>
      <c r="BX77" s="2">
        <v>158</v>
      </c>
      <c r="BY77" s="2">
        <f>BG77</f>
        <v>158</v>
      </c>
      <c r="BZ77" s="2">
        <f t="shared" si="59"/>
        <v>158</v>
      </c>
      <c r="CA77" s="159"/>
      <c r="CB77" s="159"/>
      <c r="CC77" s="159"/>
    </row>
    <row r="78" spans="2:81">
      <c r="B78" s="21" t="s">
        <v>396</v>
      </c>
      <c r="C78" s="202" t="s">
        <v>89</v>
      </c>
      <c r="D78" s="2">
        <v>62628</v>
      </c>
      <c r="E78" s="2">
        <v>63846</v>
      </c>
      <c r="F78" s="2">
        <v>63237</v>
      </c>
      <c r="G78" s="2">
        <v>62628</v>
      </c>
      <c r="H78" s="2">
        <v>62050</v>
      </c>
      <c r="I78" s="2">
        <v>61418</v>
      </c>
      <c r="J78" s="2">
        <v>60717</v>
      </c>
      <c r="K78" s="2">
        <v>59950</v>
      </c>
      <c r="L78" s="2">
        <v>59323</v>
      </c>
      <c r="M78" s="2">
        <v>58496</v>
      </c>
      <c r="N78" s="2">
        <v>57874</v>
      </c>
      <c r="O78" s="2">
        <v>57228</v>
      </c>
      <c r="P78" s="2">
        <v>56602</v>
      </c>
      <c r="Q78" s="2">
        <v>55980</v>
      </c>
      <c r="R78" s="2">
        <v>55359</v>
      </c>
      <c r="S78" s="2">
        <v>54737</v>
      </c>
      <c r="T78" s="2">
        <v>54115</v>
      </c>
      <c r="U78" s="2">
        <v>53493</v>
      </c>
      <c r="V78" s="2">
        <v>52837</v>
      </c>
      <c r="W78" s="2">
        <v>52243</v>
      </c>
      <c r="X78" s="2">
        <v>51673</v>
      </c>
      <c r="Y78" s="2">
        <v>51120</v>
      </c>
      <c r="Z78" s="2">
        <v>50570</v>
      </c>
      <c r="AA78" s="2">
        <v>50026</v>
      </c>
      <c r="AB78" s="2">
        <v>49482</v>
      </c>
      <c r="AC78" s="2">
        <v>48938</v>
      </c>
      <c r="AD78" s="2">
        <v>48394</v>
      </c>
      <c r="AE78" s="2">
        <v>47854</v>
      </c>
      <c r="AF78" s="2">
        <v>47314</v>
      </c>
      <c r="AG78" s="2">
        <v>44988</v>
      </c>
      <c r="AH78" s="2">
        <v>44448</v>
      </c>
      <c r="AI78" s="2">
        <v>43889</v>
      </c>
      <c r="AJ78" s="2">
        <v>43352</v>
      </c>
      <c r="AK78" s="2">
        <v>42815</v>
      </c>
      <c r="AL78" s="2">
        <v>42274</v>
      </c>
      <c r="AM78" s="2">
        <v>41730</v>
      </c>
      <c r="AN78" s="2">
        <v>40395</v>
      </c>
      <c r="AO78" s="2">
        <v>40400</v>
      </c>
      <c r="AP78" s="2">
        <v>38558</v>
      </c>
      <c r="AQ78" s="2">
        <v>38846</v>
      </c>
      <c r="AR78" s="2">
        <v>38331</v>
      </c>
      <c r="AS78" s="2">
        <v>37815</v>
      </c>
      <c r="AT78" s="2">
        <v>37300</v>
      </c>
      <c r="AU78" s="2">
        <v>36799</v>
      </c>
      <c r="AV78" s="2">
        <v>36285</v>
      </c>
      <c r="AW78" s="2">
        <v>35778</v>
      </c>
      <c r="AX78" s="2">
        <v>31269</v>
      </c>
      <c r="AY78" s="2">
        <v>27950</v>
      </c>
      <c r="AZ78" s="2">
        <v>27493</v>
      </c>
      <c r="BA78" s="2">
        <v>27038</v>
      </c>
      <c r="BB78" s="2">
        <v>26587</v>
      </c>
      <c r="BC78" s="2">
        <v>26139</v>
      </c>
      <c r="BD78" s="2">
        <v>25691</v>
      </c>
      <c r="BE78" s="2">
        <v>25244</v>
      </c>
      <c r="BF78" s="2">
        <v>24797</v>
      </c>
      <c r="BG78" s="2">
        <v>24367</v>
      </c>
      <c r="BH78" s="2">
        <v>23940</v>
      </c>
      <c r="BI78" s="2">
        <v>23515</v>
      </c>
      <c r="BJ78" s="2">
        <v>23090</v>
      </c>
      <c r="BK78" s="2"/>
      <c r="BL78" s="2">
        <v>62628</v>
      </c>
      <c r="BM78" s="2">
        <v>59950</v>
      </c>
      <c r="BN78" s="2">
        <v>57228</v>
      </c>
      <c r="BO78" s="2">
        <v>54737</v>
      </c>
      <c r="BP78" s="2">
        <v>52243</v>
      </c>
      <c r="BQ78" s="2">
        <v>50026</v>
      </c>
      <c r="BR78" s="2">
        <v>47854</v>
      </c>
      <c r="BS78" s="2">
        <v>43889</v>
      </c>
      <c r="BT78" s="2">
        <v>41730</v>
      </c>
      <c r="BU78" s="2">
        <v>38846</v>
      </c>
      <c r="BV78" s="2">
        <v>36799</v>
      </c>
      <c r="BW78" s="2">
        <v>27950</v>
      </c>
      <c r="BX78" s="2">
        <v>26139</v>
      </c>
      <c r="BY78" s="2">
        <f t="shared" si="36"/>
        <v>24367</v>
      </c>
      <c r="BZ78" s="2">
        <f t="shared" si="59"/>
        <v>23090</v>
      </c>
      <c r="CA78" s="159"/>
      <c r="CB78" s="159"/>
      <c r="CC78" s="159"/>
    </row>
    <row r="79" spans="2:81">
      <c r="B79" s="21" t="s">
        <v>397</v>
      </c>
      <c r="C79" s="202" t="s">
        <v>166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-1</v>
      </c>
      <c r="M79" s="2">
        <v>0</v>
      </c>
      <c r="N79" s="2">
        <v>0</v>
      </c>
      <c r="O79" s="2">
        <v>27025</v>
      </c>
      <c r="P79" s="2">
        <v>27025</v>
      </c>
      <c r="Q79" s="2">
        <v>20732</v>
      </c>
      <c r="R79" s="2">
        <v>20732</v>
      </c>
      <c r="S79" s="2">
        <v>72675</v>
      </c>
      <c r="T79" s="2">
        <v>72675</v>
      </c>
      <c r="U79" s="2">
        <v>61675</v>
      </c>
      <c r="V79" s="2">
        <v>61675</v>
      </c>
      <c r="W79" s="2">
        <v>171746</v>
      </c>
      <c r="X79" s="2">
        <v>171746</v>
      </c>
      <c r="Y79" s="2">
        <v>149588</v>
      </c>
      <c r="Z79" s="2">
        <v>150139</v>
      </c>
      <c r="AA79" s="2">
        <v>155568</v>
      </c>
      <c r="AB79" s="2">
        <v>155568</v>
      </c>
      <c r="AC79" s="2">
        <v>154223</v>
      </c>
      <c r="AD79" s="2">
        <v>154223</v>
      </c>
      <c r="AE79" s="2">
        <v>134264</v>
      </c>
      <c r="AF79" s="2">
        <v>134264</v>
      </c>
      <c r="AG79" s="2">
        <v>134264</v>
      </c>
      <c r="AH79" s="2">
        <v>134264</v>
      </c>
      <c r="AI79" s="2">
        <v>105224</v>
      </c>
      <c r="AJ79" s="2">
        <v>105224</v>
      </c>
      <c r="AK79" s="2">
        <v>105224</v>
      </c>
      <c r="AL79" s="2">
        <v>105224</v>
      </c>
      <c r="AM79" s="2">
        <v>113406</v>
      </c>
      <c r="AN79" s="2">
        <v>113406</v>
      </c>
      <c r="AO79" s="2">
        <v>113406</v>
      </c>
      <c r="AP79" s="2">
        <v>118335</v>
      </c>
      <c r="AQ79" s="2">
        <v>145304</v>
      </c>
      <c r="AR79" s="2">
        <v>145304</v>
      </c>
      <c r="AS79" s="2">
        <v>145304</v>
      </c>
      <c r="AT79" s="2">
        <v>145304</v>
      </c>
      <c r="AU79" s="2">
        <v>197708</v>
      </c>
      <c r="AV79" s="2">
        <v>197708</v>
      </c>
      <c r="AW79" s="2">
        <v>159993</v>
      </c>
      <c r="AX79" s="2">
        <v>159993</v>
      </c>
      <c r="AY79" s="2">
        <v>299307</v>
      </c>
      <c r="AZ79" s="2">
        <v>226935</v>
      </c>
      <c r="BA79" s="2">
        <v>226935</v>
      </c>
      <c r="BB79" s="2">
        <v>193917</v>
      </c>
      <c r="BC79" s="2">
        <v>430656</v>
      </c>
      <c r="BD79" s="2">
        <v>430656</v>
      </c>
      <c r="BE79" s="2">
        <v>330656</v>
      </c>
      <c r="BF79" s="2">
        <v>296094</v>
      </c>
      <c r="BG79" s="2">
        <v>471831</v>
      </c>
      <c r="BH79" s="2">
        <v>471831</v>
      </c>
      <c r="BI79" s="2">
        <v>294821</v>
      </c>
      <c r="BJ79" s="2">
        <v>294821</v>
      </c>
      <c r="BK79" s="2"/>
      <c r="BL79" s="2">
        <v>0</v>
      </c>
      <c r="BM79" s="2">
        <v>0</v>
      </c>
      <c r="BN79" s="2">
        <v>27025</v>
      </c>
      <c r="BO79" s="2">
        <v>72675</v>
      </c>
      <c r="BP79" s="2">
        <v>171746</v>
      </c>
      <c r="BQ79" s="2">
        <v>155568</v>
      </c>
      <c r="BR79" s="2">
        <v>134264</v>
      </c>
      <c r="BS79" s="2">
        <v>105224</v>
      </c>
      <c r="BT79" s="2">
        <v>113406</v>
      </c>
      <c r="BU79" s="2">
        <v>145304</v>
      </c>
      <c r="BV79" s="2">
        <v>197708</v>
      </c>
      <c r="BW79" s="2">
        <v>299307</v>
      </c>
      <c r="BX79" s="2">
        <v>430656</v>
      </c>
      <c r="BY79" s="2">
        <f t="shared" si="36"/>
        <v>471831</v>
      </c>
      <c r="BZ79" s="2">
        <f t="shared" si="59"/>
        <v>294821</v>
      </c>
      <c r="CA79" s="159"/>
      <c r="CB79" s="159"/>
      <c r="CC79" s="159"/>
    </row>
    <row r="80" spans="2:81">
      <c r="B80" s="21" t="s">
        <v>398</v>
      </c>
      <c r="C80" s="202" t="s">
        <v>167</v>
      </c>
      <c r="D80" s="2">
        <v>-253283</v>
      </c>
      <c r="E80" s="2">
        <v>-278480</v>
      </c>
      <c r="F80" s="2">
        <v>-271273</v>
      </c>
      <c r="G80" s="2">
        <v>-253283</v>
      </c>
      <c r="H80" s="2">
        <v>-255838</v>
      </c>
      <c r="I80" s="2">
        <v>-248982</v>
      </c>
      <c r="J80" s="2">
        <v>-240165</v>
      </c>
      <c r="K80" s="2">
        <v>-222279</v>
      </c>
      <c r="L80" s="2">
        <v>-218212</v>
      </c>
      <c r="M80" s="2">
        <v>-217009</v>
      </c>
      <c r="N80" s="2">
        <v>13391</v>
      </c>
      <c r="O80" s="2">
        <v>0</v>
      </c>
      <c r="P80" s="2">
        <v>9231</v>
      </c>
      <c r="Q80" s="2">
        <v>18559</v>
      </c>
      <c r="R80" s="2">
        <v>38953</v>
      </c>
      <c r="S80" s="2">
        <v>0</v>
      </c>
      <c r="T80" s="2">
        <v>24411</v>
      </c>
      <c r="U80" s="2">
        <v>50116</v>
      </c>
      <c r="V80" s="2">
        <v>85077</v>
      </c>
      <c r="W80" s="2">
        <v>0</v>
      </c>
      <c r="X80" s="2">
        <v>-13716</v>
      </c>
      <c r="Y80" s="2">
        <v>-13633</v>
      </c>
      <c r="Z80" s="2">
        <v>-6890</v>
      </c>
      <c r="AA80" s="2">
        <v>0</v>
      </c>
      <c r="AB80" s="2">
        <v>-5190</v>
      </c>
      <c r="AC80" s="2">
        <v>-12169</v>
      </c>
      <c r="AD80" s="2">
        <v>-9299</v>
      </c>
      <c r="AE80" s="2">
        <v>0</v>
      </c>
      <c r="AF80" s="2">
        <v>-5262</v>
      </c>
      <c r="AG80" s="2">
        <v>-6902</v>
      </c>
      <c r="AH80" s="2">
        <v>-10196</v>
      </c>
      <c r="AI80" s="2">
        <v>0</v>
      </c>
      <c r="AJ80" s="2">
        <v>-9720</v>
      </c>
      <c r="AK80" s="2">
        <v>-23166</v>
      </c>
      <c r="AL80" s="2">
        <v>-18520</v>
      </c>
      <c r="AM80" s="2">
        <v>0</v>
      </c>
      <c r="AN80" s="2">
        <v>5417</v>
      </c>
      <c r="AO80" s="2">
        <v>1894</v>
      </c>
      <c r="AP80" s="2">
        <v>16463</v>
      </c>
      <c r="AQ80" s="2">
        <v>0</v>
      </c>
      <c r="AR80" s="2">
        <v>9264</v>
      </c>
      <c r="AS80" s="2">
        <v>24978</v>
      </c>
      <c r="AT80" s="2">
        <v>48324</v>
      </c>
      <c r="AU80" s="2">
        <v>0</v>
      </c>
      <c r="AV80" s="2">
        <v>17722</v>
      </c>
      <c r="AW80" s="2">
        <v>29942</v>
      </c>
      <c r="AX80" s="2">
        <v>71581</v>
      </c>
      <c r="AY80" s="2">
        <v>0</v>
      </c>
      <c r="AZ80" s="2">
        <v>94097</v>
      </c>
      <c r="BA80" s="2">
        <v>154868</v>
      </c>
      <c r="BB80" s="2">
        <v>270967</v>
      </c>
      <c r="BC80" s="2">
        <v>0</v>
      </c>
      <c r="BD80" s="2">
        <v>51689</v>
      </c>
      <c r="BE80" s="2">
        <v>85494</v>
      </c>
      <c r="BF80" s="2">
        <v>132094</v>
      </c>
      <c r="BG80" s="2">
        <v>0</v>
      </c>
      <c r="BH80" s="2">
        <v>52583</v>
      </c>
      <c r="BI80" s="2">
        <v>90012</v>
      </c>
      <c r="BJ80" s="2">
        <v>133822</v>
      </c>
      <c r="BK80" s="2"/>
      <c r="BL80" s="2">
        <v>-253283</v>
      </c>
      <c r="BM80" s="2">
        <v>-222279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f t="shared" si="36"/>
        <v>0</v>
      </c>
      <c r="BZ80" s="2">
        <f t="shared" si="59"/>
        <v>133822</v>
      </c>
      <c r="CA80" s="159"/>
      <c r="CB80" s="159"/>
      <c r="CC80" s="159"/>
    </row>
    <row r="81" spans="2:81">
      <c r="B81" s="107" t="s">
        <v>399</v>
      </c>
      <c r="C81" s="193" t="s">
        <v>168</v>
      </c>
      <c r="D81" s="112">
        <v>552072</v>
      </c>
      <c r="E81" s="112">
        <v>535520</v>
      </c>
      <c r="F81" s="112">
        <v>563691</v>
      </c>
      <c r="G81" s="112">
        <v>552072</v>
      </c>
      <c r="H81" s="112">
        <v>538259</v>
      </c>
      <c r="I81" s="112">
        <v>544048</v>
      </c>
      <c r="J81" s="112">
        <v>605298</v>
      </c>
      <c r="K81" s="112">
        <v>651348</v>
      </c>
      <c r="L81" s="112">
        <v>616900</v>
      </c>
      <c r="M81" s="112">
        <v>606107</v>
      </c>
      <c r="N81" s="112">
        <v>586539</v>
      </c>
      <c r="O81" s="112">
        <v>587901</v>
      </c>
      <c r="P81" s="112">
        <v>593410</v>
      </c>
      <c r="Q81" s="112">
        <v>599216</v>
      </c>
      <c r="R81" s="112">
        <v>662711</v>
      </c>
      <c r="S81" s="112">
        <v>674361</v>
      </c>
      <c r="T81" s="112">
        <v>741278</v>
      </c>
      <c r="U81" s="112">
        <v>726796</v>
      </c>
      <c r="V81" s="112">
        <v>864556</v>
      </c>
      <c r="W81" s="112">
        <v>850775</v>
      </c>
      <c r="X81" s="112">
        <v>841840</v>
      </c>
      <c r="Y81" s="112">
        <v>791925</v>
      </c>
      <c r="Z81" s="112">
        <v>820696</v>
      </c>
      <c r="AA81" s="112">
        <v>791235</v>
      </c>
      <c r="AB81" s="112">
        <v>753115</v>
      </c>
      <c r="AC81" s="112">
        <v>707607</v>
      </c>
      <c r="AD81" s="112">
        <v>761717</v>
      </c>
      <c r="AE81" s="112">
        <v>763805</v>
      </c>
      <c r="AF81" s="112">
        <v>724882</v>
      </c>
      <c r="AG81" s="112">
        <v>721261</v>
      </c>
      <c r="AH81" s="112">
        <v>754946</v>
      </c>
      <c r="AI81" s="112">
        <v>716246</v>
      </c>
      <c r="AJ81" s="112">
        <v>657177</v>
      </c>
      <c r="AK81" s="112">
        <v>682106</v>
      </c>
      <c r="AL81" s="112">
        <v>675409</v>
      </c>
      <c r="AM81" s="112">
        <v>704273</v>
      </c>
      <c r="AN81" s="112">
        <v>669931</v>
      </c>
      <c r="AO81" s="112">
        <v>666890</v>
      </c>
      <c r="AP81" s="112">
        <v>671015</v>
      </c>
      <c r="AQ81" s="112">
        <v>676102</v>
      </c>
      <c r="AR81" s="112">
        <v>662345</v>
      </c>
      <c r="AS81" s="112">
        <v>728346</v>
      </c>
      <c r="AT81" s="112">
        <v>851402</v>
      </c>
      <c r="AU81" s="112">
        <v>948778</v>
      </c>
      <c r="AV81" s="112">
        <f t="shared" ref="AV81:BC81" si="60">+AV47+AV62+AV73</f>
        <v>951675</v>
      </c>
      <c r="AW81" s="112">
        <f t="shared" si="60"/>
        <v>1142810</v>
      </c>
      <c r="AX81" s="112">
        <f t="shared" si="60"/>
        <v>1333576</v>
      </c>
      <c r="AY81" s="112">
        <f t="shared" si="60"/>
        <v>1018396</v>
      </c>
      <c r="AZ81" s="112">
        <f t="shared" si="60"/>
        <v>1040768</v>
      </c>
      <c r="BA81" s="112">
        <f t="shared" si="60"/>
        <v>1245668</v>
      </c>
      <c r="BB81" s="112">
        <f t="shared" si="60"/>
        <v>1314360</v>
      </c>
      <c r="BC81" s="112">
        <f t="shared" si="60"/>
        <v>1273778</v>
      </c>
      <c r="BD81" s="112">
        <f t="shared" ref="BD81:BF81" si="61">+BD47+BD62+BD73</f>
        <v>1305457</v>
      </c>
      <c r="BE81" s="112">
        <f t="shared" si="61"/>
        <v>1220133</v>
      </c>
      <c r="BF81" s="112">
        <f t="shared" si="61"/>
        <v>1381917</v>
      </c>
      <c r="BG81" s="112">
        <f>+BG47+BG62+BG73</f>
        <v>1471280</v>
      </c>
      <c r="BH81" s="112">
        <f t="shared" ref="BH81:BK81" si="62">+BH47+BH62+BH73</f>
        <v>1405756</v>
      </c>
      <c r="BI81" s="112">
        <f t="shared" si="62"/>
        <v>1518049</v>
      </c>
      <c r="BJ81" s="112">
        <f t="shared" si="62"/>
        <v>1550670</v>
      </c>
      <c r="BK81" s="112">
        <f t="shared" si="62"/>
        <v>0</v>
      </c>
      <c r="BL81" s="112">
        <v>552072</v>
      </c>
      <c r="BM81" s="112">
        <v>651348</v>
      </c>
      <c r="BN81" s="112">
        <v>587901</v>
      </c>
      <c r="BO81" s="112">
        <v>674361</v>
      </c>
      <c r="BP81" s="112">
        <v>850775</v>
      </c>
      <c r="BQ81" s="112">
        <v>791235</v>
      </c>
      <c r="BR81" s="112">
        <v>763805</v>
      </c>
      <c r="BS81" s="112">
        <v>716246</v>
      </c>
      <c r="BT81" s="112">
        <v>704273</v>
      </c>
      <c r="BU81" s="112">
        <v>676102</v>
      </c>
      <c r="BV81" s="112">
        <v>948778</v>
      </c>
      <c r="BW81" s="112">
        <v>1018396</v>
      </c>
      <c r="BX81" s="112">
        <v>1273778</v>
      </c>
      <c r="BY81" s="112">
        <f>+BY47+BY62+BY73</f>
        <v>1471280</v>
      </c>
      <c r="BZ81" s="112">
        <f>+BZ47+BZ62+BZ73</f>
        <v>1550670</v>
      </c>
      <c r="CA81" s="159"/>
      <c r="CB81" s="159"/>
      <c r="CC81" s="159"/>
    </row>
    <row r="82" spans="2:81" ht="15.75" thickBot="1"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</row>
    <row r="83" spans="2:81">
      <c r="C83" s="101"/>
      <c r="D83" s="101"/>
    </row>
    <row r="84" spans="2:81">
      <c r="AV84" s="159"/>
      <c r="AW84" s="159"/>
      <c r="AX84" s="159"/>
      <c r="AY84" s="159"/>
      <c r="AZ84" s="159"/>
      <c r="BA84" s="159"/>
      <c r="BB84" s="159"/>
      <c r="BC84" s="159"/>
      <c r="BD84" s="159"/>
      <c r="BE84" s="159"/>
      <c r="BF84" s="159"/>
      <c r="BG84" s="159"/>
      <c r="BH84" s="159"/>
      <c r="BI84" s="159"/>
      <c r="BJ84" s="159"/>
      <c r="BK84" s="159"/>
      <c r="BW84" s="159"/>
      <c r="BX84" s="159"/>
      <c r="BY84" s="159"/>
      <c r="BZ84" s="159"/>
    </row>
  </sheetData>
  <mergeCells count="17">
    <mergeCell ref="BU4:BU5"/>
    <mergeCell ref="B4:B5"/>
    <mergeCell ref="C4:C5"/>
    <mergeCell ref="BL4:BL5"/>
    <mergeCell ref="BM4:BM5"/>
    <mergeCell ref="BN4:BN5"/>
    <mergeCell ref="BO4:BO5"/>
    <mergeCell ref="BP4:BP5"/>
    <mergeCell ref="BQ4:BQ5"/>
    <mergeCell ref="BR4:BR5"/>
    <mergeCell ref="BS4:BS5"/>
    <mergeCell ref="BT4:BT5"/>
    <mergeCell ref="BV4:BV5"/>
    <mergeCell ref="BW4:BW5"/>
    <mergeCell ref="BX4:BX5"/>
    <mergeCell ref="BY4:BY5"/>
    <mergeCell ref="BZ4:BZ5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63" fitToHeight="2" orientation="landscape" r:id="rId1"/>
  <headerFooter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tabColor theme="3" tint="-0.249977111117893"/>
    <pageSetUpPr fitToPage="1"/>
  </sheetPr>
  <dimension ref="A1:BZ31"/>
  <sheetViews>
    <sheetView showGridLines="0" zoomScale="85" zoomScaleNormal="85" workbookViewId="0">
      <pane xSplit="3" ySplit="7" topLeftCell="BG8" activePane="bottomRight" state="frozen"/>
      <selection activeCell="B20" sqref="B20"/>
      <selection pane="topRight" activeCell="B20" sqref="B20"/>
      <selection pane="bottomLeft" activeCell="B20" sqref="B20"/>
      <selection pane="bottomRight" activeCell="BJ12" sqref="BJ12"/>
    </sheetView>
  </sheetViews>
  <sheetFormatPr defaultColWidth="9.140625" defaultRowHeight="12.75" outlineLevelCol="1"/>
  <cols>
    <col min="1" max="1" width="7.7109375" style="1" customWidth="1"/>
    <col min="2" max="2" width="56.7109375" style="1" bestFit="1" customWidth="1"/>
    <col min="3" max="3" width="60.7109375" style="9" customWidth="1"/>
    <col min="4" max="6" width="8.28515625" style="8" customWidth="1" outlineLevel="1"/>
    <col min="7" max="7" width="8.7109375" style="8" customWidth="1" outlineLevel="1"/>
    <col min="8" max="9" width="8.28515625" style="8" customWidth="1" outlineLevel="1"/>
    <col min="10" max="10" width="8.7109375" style="8" customWidth="1" outlineLevel="1"/>
    <col min="11" max="11" width="9.28515625" style="8" customWidth="1" outlineLevel="1"/>
    <col min="12" max="14" width="8.28515625" style="8" customWidth="1" outlineLevel="1"/>
    <col min="15" max="15" width="9.28515625" style="8" customWidth="1" outlineLevel="1"/>
    <col min="16" max="16" width="8.7109375" style="8" customWidth="1" outlineLevel="1"/>
    <col min="17" max="17" width="8.7109375" style="9" customWidth="1" outlineLevel="1"/>
    <col min="18" max="28" width="9.28515625" style="3" customWidth="1" outlineLevel="1"/>
    <col min="29" max="29" width="8.28515625" style="3" customWidth="1" outlineLevel="1"/>
    <col min="30" max="40" width="9.28515625" style="3" customWidth="1" outlineLevel="1"/>
    <col min="41" max="41" width="8.7109375" style="3" customWidth="1" outlineLevel="1"/>
    <col min="42" max="43" width="9.28515625" style="3" customWidth="1" outlineLevel="1"/>
    <col min="44" max="44" width="8.7109375" style="3" customWidth="1" outlineLevel="1"/>
    <col min="45" max="45" width="8.28515625" style="3" customWidth="1" outlineLevel="1"/>
    <col min="46" max="47" width="9.28515625" style="3" customWidth="1" outlineLevel="1"/>
    <col min="48" max="48" width="9.28515625" style="3" customWidth="1" outlineLevel="1" collapsed="1"/>
    <col min="49" max="50" width="9.28515625" style="3" customWidth="1" outlineLevel="1"/>
    <col min="51" max="51" width="9.28515625" style="45" customWidth="1" outlineLevel="1"/>
    <col min="52" max="55" width="9.7109375" style="45" customWidth="1" outlineLevel="1"/>
    <col min="56" max="62" width="9.7109375" style="45" bestFit="1" customWidth="1"/>
    <col min="63" max="63" width="9.28515625" style="45" hidden="1" customWidth="1"/>
    <col min="64" max="74" width="9.28515625" style="3" customWidth="1" outlineLevel="1"/>
    <col min="75" max="75" width="10.28515625" style="45" customWidth="1" outlineLevel="1" collapsed="1"/>
    <col min="76" max="76" width="10.85546875" style="45" customWidth="1" outlineLevel="1"/>
    <col min="77" max="78" width="10.85546875" style="45" bestFit="1" customWidth="1"/>
    <col min="79" max="16384" width="9.140625" style="3"/>
  </cols>
  <sheetData>
    <row r="1" spans="1:78" ht="15" customHeight="1"/>
    <row r="2" spans="1:78" ht="15" customHeight="1" thickBot="1"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1:78" s="27" customFormat="1" ht="14.25" customHeight="1">
      <c r="A3" s="1"/>
      <c r="B3" s="244" t="s">
        <v>400</v>
      </c>
      <c r="C3" s="248" t="s">
        <v>125</v>
      </c>
      <c r="D3" s="99" t="s">
        <v>289</v>
      </c>
      <c r="E3" s="99" t="s">
        <v>290</v>
      </c>
      <c r="F3" s="99" t="s">
        <v>291</v>
      </c>
      <c r="G3" s="99" t="s">
        <v>293</v>
      </c>
      <c r="H3" s="99" t="s">
        <v>292</v>
      </c>
      <c r="I3" s="99" t="s">
        <v>294</v>
      </c>
      <c r="J3" s="99" t="s">
        <v>295</v>
      </c>
      <c r="K3" s="99" t="s">
        <v>296</v>
      </c>
      <c r="L3" s="99" t="s">
        <v>297</v>
      </c>
      <c r="M3" s="99" t="s">
        <v>298</v>
      </c>
      <c r="N3" s="99" t="s">
        <v>299</v>
      </c>
      <c r="O3" s="99" t="s">
        <v>300</v>
      </c>
      <c r="P3" s="99" t="s">
        <v>301</v>
      </c>
      <c r="Q3" s="99" t="s">
        <v>302</v>
      </c>
      <c r="R3" s="99" t="s">
        <v>303</v>
      </c>
      <c r="S3" s="99" t="s">
        <v>304</v>
      </c>
      <c r="T3" s="99" t="s">
        <v>305</v>
      </c>
      <c r="U3" s="99" t="s">
        <v>306</v>
      </c>
      <c r="V3" s="99" t="s">
        <v>307</v>
      </c>
      <c r="W3" s="99" t="s">
        <v>308</v>
      </c>
      <c r="X3" s="99" t="s">
        <v>309</v>
      </c>
      <c r="Y3" s="99" t="s">
        <v>310</v>
      </c>
      <c r="Z3" s="99" t="s">
        <v>311</v>
      </c>
      <c r="AA3" s="99" t="s">
        <v>312</v>
      </c>
      <c r="AB3" s="99" t="s">
        <v>313</v>
      </c>
      <c r="AC3" s="99" t="s">
        <v>314</v>
      </c>
      <c r="AD3" s="99" t="s">
        <v>315</v>
      </c>
      <c r="AE3" s="99" t="s">
        <v>316</v>
      </c>
      <c r="AF3" s="99" t="s">
        <v>317</v>
      </c>
      <c r="AG3" s="99" t="s">
        <v>318</v>
      </c>
      <c r="AH3" s="99" t="s">
        <v>319</v>
      </c>
      <c r="AI3" s="99" t="s">
        <v>320</v>
      </c>
      <c r="AJ3" s="99" t="s">
        <v>321</v>
      </c>
      <c r="AK3" s="99" t="s">
        <v>322</v>
      </c>
      <c r="AL3" s="99" t="s">
        <v>323</v>
      </c>
      <c r="AM3" s="99" t="s">
        <v>324</v>
      </c>
      <c r="AN3" s="99" t="s">
        <v>325</v>
      </c>
      <c r="AO3" s="99" t="s">
        <v>326</v>
      </c>
      <c r="AP3" s="99" t="s">
        <v>327</v>
      </c>
      <c r="AQ3" s="99" t="s">
        <v>328</v>
      </c>
      <c r="AR3" s="99" t="s">
        <v>329</v>
      </c>
      <c r="AS3" s="99" t="s">
        <v>330</v>
      </c>
      <c r="AT3" s="99" t="s">
        <v>331</v>
      </c>
      <c r="AU3" s="99" t="s">
        <v>332</v>
      </c>
      <c r="AV3" s="99" t="s">
        <v>333</v>
      </c>
      <c r="AW3" s="99" t="s">
        <v>334</v>
      </c>
      <c r="AX3" s="99" t="s">
        <v>335</v>
      </c>
      <c r="AY3" s="99" t="s">
        <v>336</v>
      </c>
      <c r="AZ3" s="99" t="s">
        <v>337</v>
      </c>
      <c r="BA3" s="99" t="s">
        <v>338</v>
      </c>
      <c r="BB3" s="99" t="s">
        <v>339</v>
      </c>
      <c r="BC3" s="99" t="s">
        <v>340</v>
      </c>
      <c r="BD3" s="99" t="s">
        <v>341</v>
      </c>
      <c r="BE3" s="99" t="s">
        <v>342</v>
      </c>
      <c r="BF3" s="99" t="s">
        <v>343</v>
      </c>
      <c r="BG3" s="99" t="s">
        <v>344</v>
      </c>
      <c r="BH3" s="99" t="s">
        <v>345</v>
      </c>
      <c r="BI3" s="99" t="s">
        <v>346</v>
      </c>
      <c r="BJ3" s="99" t="s">
        <v>347</v>
      </c>
      <c r="BK3" s="99" t="s">
        <v>348</v>
      </c>
      <c r="BL3" s="238">
        <v>2010</v>
      </c>
      <c r="BM3" s="238">
        <v>2011</v>
      </c>
      <c r="BN3" s="238">
        <v>2012</v>
      </c>
      <c r="BO3" s="238">
        <v>2013</v>
      </c>
      <c r="BP3" s="238">
        <v>2014</v>
      </c>
      <c r="BQ3" s="238">
        <v>2015</v>
      </c>
      <c r="BR3" s="238">
        <v>2016</v>
      </c>
      <c r="BS3" s="238">
        <v>2017</v>
      </c>
      <c r="BT3" s="238">
        <v>2018</v>
      </c>
      <c r="BU3" s="238">
        <v>2019</v>
      </c>
      <c r="BV3" s="238">
        <v>2020</v>
      </c>
      <c r="BW3" s="238">
        <v>2021</v>
      </c>
      <c r="BX3" s="238">
        <v>2022</v>
      </c>
      <c r="BY3" s="238">
        <v>2023</v>
      </c>
      <c r="BZ3" s="238">
        <v>2024</v>
      </c>
    </row>
    <row r="4" spans="1:78" s="27" customFormat="1" ht="12.75" customHeight="1">
      <c r="A4" s="1"/>
      <c r="B4" s="245"/>
      <c r="C4" s="247"/>
      <c r="D4" s="99" t="s">
        <v>58</v>
      </c>
      <c r="E4" s="99" t="s">
        <v>57</v>
      </c>
      <c r="F4" s="99" t="s">
        <v>56</v>
      </c>
      <c r="G4" s="99" t="s">
        <v>47</v>
      </c>
      <c r="H4" s="99" t="s">
        <v>55</v>
      </c>
      <c r="I4" s="99" t="s">
        <v>54</v>
      </c>
      <c r="J4" s="99" t="s">
        <v>53</v>
      </c>
      <c r="K4" s="99" t="s">
        <v>52</v>
      </c>
      <c r="L4" s="99" t="s">
        <v>51</v>
      </c>
      <c r="M4" s="99" t="s">
        <v>50</v>
      </c>
      <c r="N4" s="99" t="s">
        <v>49</v>
      </c>
      <c r="O4" s="99" t="s">
        <v>48</v>
      </c>
      <c r="P4" s="99" t="s">
        <v>10</v>
      </c>
      <c r="Q4" s="99" t="s">
        <v>11</v>
      </c>
      <c r="R4" s="99" t="s">
        <v>12</v>
      </c>
      <c r="S4" s="99" t="s">
        <v>13</v>
      </c>
      <c r="T4" s="99" t="s">
        <v>14</v>
      </c>
      <c r="U4" s="99" t="s">
        <v>15</v>
      </c>
      <c r="V4" s="99" t="s">
        <v>16</v>
      </c>
      <c r="W4" s="99" t="s">
        <v>17</v>
      </c>
      <c r="X4" s="99" t="s">
        <v>18</v>
      </c>
      <c r="Y4" s="99" t="s">
        <v>19</v>
      </c>
      <c r="Z4" s="99" t="s">
        <v>20</v>
      </c>
      <c r="AA4" s="99" t="s">
        <v>21</v>
      </c>
      <c r="AB4" s="99" t="s">
        <v>22</v>
      </c>
      <c r="AC4" s="99" t="s">
        <v>23</v>
      </c>
      <c r="AD4" s="99" t="s">
        <v>24</v>
      </c>
      <c r="AE4" s="99" t="s">
        <v>25</v>
      </c>
      <c r="AF4" s="99" t="s">
        <v>26</v>
      </c>
      <c r="AG4" s="99" t="s">
        <v>27</v>
      </c>
      <c r="AH4" s="99" t="s">
        <v>28</v>
      </c>
      <c r="AI4" s="99" t="s">
        <v>29</v>
      </c>
      <c r="AJ4" s="99" t="s">
        <v>30</v>
      </c>
      <c r="AK4" s="99" t="s">
        <v>31</v>
      </c>
      <c r="AL4" s="99" t="s">
        <v>32</v>
      </c>
      <c r="AM4" s="99" t="s">
        <v>33</v>
      </c>
      <c r="AN4" s="99" t="s">
        <v>34</v>
      </c>
      <c r="AO4" s="99" t="s">
        <v>35</v>
      </c>
      <c r="AP4" s="99" t="s">
        <v>36</v>
      </c>
      <c r="AQ4" s="99" t="s">
        <v>37</v>
      </c>
      <c r="AR4" s="99" t="s">
        <v>3</v>
      </c>
      <c r="AS4" s="99" t="s">
        <v>38</v>
      </c>
      <c r="AT4" s="99" t="s">
        <v>39</v>
      </c>
      <c r="AU4" s="99" t="s">
        <v>8</v>
      </c>
      <c r="AV4" s="99" t="s">
        <v>9</v>
      </c>
      <c r="AW4" s="99" t="s">
        <v>40</v>
      </c>
      <c r="AX4" s="99" t="s">
        <v>41</v>
      </c>
      <c r="AY4" s="99" t="s">
        <v>42</v>
      </c>
      <c r="AZ4" s="99" t="s">
        <v>71</v>
      </c>
      <c r="BA4" s="99" t="s">
        <v>75</v>
      </c>
      <c r="BB4" s="99" t="s">
        <v>76</v>
      </c>
      <c r="BC4" s="99" t="s">
        <v>77</v>
      </c>
      <c r="BD4" s="99" t="s">
        <v>91</v>
      </c>
      <c r="BE4" s="99" t="s">
        <v>92</v>
      </c>
      <c r="BF4" s="99" t="s">
        <v>93</v>
      </c>
      <c r="BG4" s="99" t="s">
        <v>94</v>
      </c>
      <c r="BH4" s="99" t="s">
        <v>256</v>
      </c>
      <c r="BI4" s="99" t="s">
        <v>257</v>
      </c>
      <c r="BJ4" s="99" t="s">
        <v>258</v>
      </c>
      <c r="BK4" s="99" t="s">
        <v>259</v>
      </c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</row>
    <row r="5" spans="1:78" s="27" customFormat="1">
      <c r="A5" s="1"/>
      <c r="B5" s="166"/>
      <c r="C5" s="190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57"/>
      <c r="BX5" s="57"/>
      <c r="BY5" s="57"/>
      <c r="BZ5" s="57"/>
    </row>
    <row r="6" spans="1:78" s="27" customFormat="1">
      <c r="A6" s="1"/>
      <c r="B6" s="31" t="s">
        <v>278</v>
      </c>
      <c r="C6" s="191" t="s">
        <v>110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57"/>
      <c r="BX6" s="57"/>
      <c r="BY6" s="57"/>
      <c r="BZ6" s="57"/>
    </row>
    <row r="7" spans="1:78" s="27" customFormat="1">
      <c r="A7" s="1"/>
      <c r="B7" s="108"/>
      <c r="C7" s="19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7"/>
      <c r="BX7" s="57"/>
      <c r="BY7" s="57"/>
      <c r="BZ7" s="57"/>
    </row>
    <row r="8" spans="1:78" s="27" customFormat="1">
      <c r="A8" s="1"/>
      <c r="B8" s="107" t="s">
        <v>401</v>
      </c>
      <c r="C8" s="193" t="s">
        <v>111</v>
      </c>
      <c r="D8" s="112">
        <v>73244</v>
      </c>
      <c r="E8" s="112">
        <v>75841</v>
      </c>
      <c r="F8" s="112">
        <v>97862</v>
      </c>
      <c r="G8" s="112">
        <v>119383</v>
      </c>
      <c r="H8" s="112">
        <v>60718</v>
      </c>
      <c r="I8" s="112">
        <v>86038</v>
      </c>
      <c r="J8" s="112">
        <v>125679</v>
      </c>
      <c r="K8" s="112">
        <v>149691</v>
      </c>
      <c r="L8" s="112">
        <v>97702</v>
      </c>
      <c r="M8" s="112">
        <v>73495</v>
      </c>
      <c r="N8" s="112">
        <v>94818</v>
      </c>
      <c r="O8" s="112">
        <v>158426</v>
      </c>
      <c r="P8" s="112">
        <v>119521</v>
      </c>
      <c r="Q8" s="112">
        <v>128779</v>
      </c>
      <c r="R8" s="112">
        <v>166926</v>
      </c>
      <c r="S8" s="112">
        <v>179536</v>
      </c>
      <c r="T8" s="112">
        <v>173270</v>
      </c>
      <c r="U8" s="112">
        <v>226683</v>
      </c>
      <c r="V8" s="112">
        <v>254348</v>
      </c>
      <c r="W8" s="112">
        <v>251540</v>
      </c>
      <c r="X8" s="112">
        <v>107909</v>
      </c>
      <c r="Y8" s="112">
        <v>171520</v>
      </c>
      <c r="Z8" s="112">
        <v>202765</v>
      </c>
      <c r="AA8" s="112">
        <v>223785</v>
      </c>
      <c r="AB8" s="112">
        <v>115793</v>
      </c>
      <c r="AC8" s="112">
        <v>88293</v>
      </c>
      <c r="AD8" s="112">
        <v>120912</v>
      </c>
      <c r="AE8" s="112">
        <v>150300</v>
      </c>
      <c r="AF8" s="112">
        <v>117231</v>
      </c>
      <c r="AG8" s="112">
        <v>125031</v>
      </c>
      <c r="AH8" s="112">
        <v>161769</v>
      </c>
      <c r="AI8" s="112">
        <v>174344</v>
      </c>
      <c r="AJ8" s="112">
        <v>108595</v>
      </c>
      <c r="AK8" s="112">
        <v>107649</v>
      </c>
      <c r="AL8" s="112">
        <v>166100</v>
      </c>
      <c r="AM8" s="112">
        <v>193956</v>
      </c>
      <c r="AN8" s="112">
        <v>137531</v>
      </c>
      <c r="AO8" s="112">
        <v>117052</v>
      </c>
      <c r="AP8" s="112">
        <v>149522</v>
      </c>
      <c r="AQ8" s="112">
        <v>179360</v>
      </c>
      <c r="AR8" s="112">
        <v>127482</v>
      </c>
      <c r="AS8" s="112">
        <v>93992</v>
      </c>
      <c r="AT8" s="112">
        <v>201645</v>
      </c>
      <c r="AU8" s="112">
        <v>248124</v>
      </c>
      <c r="AV8" s="112">
        <v>236180</v>
      </c>
      <c r="AW8" s="112">
        <v>242654</v>
      </c>
      <c r="AX8" s="112">
        <v>330467</v>
      </c>
      <c r="AY8" s="112">
        <v>416878</v>
      </c>
      <c r="AZ8" s="112">
        <v>437595</v>
      </c>
      <c r="BA8" s="112">
        <v>360074</v>
      </c>
      <c r="BB8" s="112">
        <v>515754</v>
      </c>
      <c r="BC8" s="112">
        <v>501978</v>
      </c>
      <c r="BD8" s="112">
        <v>323104</v>
      </c>
      <c r="BE8" s="112">
        <v>281197</v>
      </c>
      <c r="BF8" s="112">
        <v>405628</v>
      </c>
      <c r="BG8" s="112">
        <f>+BY8-SUM(BD8:BF8)</f>
        <v>502205</v>
      </c>
      <c r="BH8" s="112">
        <v>380311</v>
      </c>
      <c r="BI8" s="112">
        <v>327834</v>
      </c>
      <c r="BJ8" s="112">
        <v>439052</v>
      </c>
      <c r="BK8" s="112"/>
      <c r="BL8" s="112">
        <v>366330</v>
      </c>
      <c r="BM8" s="112">
        <v>422126</v>
      </c>
      <c r="BN8" s="112">
        <v>424441</v>
      </c>
      <c r="BO8" s="112">
        <v>594762</v>
      </c>
      <c r="BP8" s="112">
        <v>905841</v>
      </c>
      <c r="BQ8" s="112">
        <v>705979</v>
      </c>
      <c r="BR8" s="112">
        <v>475298</v>
      </c>
      <c r="BS8" s="112">
        <v>578375</v>
      </c>
      <c r="BT8" s="112">
        <v>576300</v>
      </c>
      <c r="BU8" s="112">
        <v>583465</v>
      </c>
      <c r="BV8" s="112">
        <v>671243</v>
      </c>
      <c r="BW8" s="112">
        <v>1226179</v>
      </c>
      <c r="BX8" s="112">
        <v>1815401</v>
      </c>
      <c r="BY8" s="112">
        <v>1512134</v>
      </c>
      <c r="BZ8" s="112">
        <f>SUM(BH8:BK8)</f>
        <v>1147197</v>
      </c>
    </row>
    <row r="9" spans="1:78" s="27" customFormat="1" ht="7.5" customHeight="1">
      <c r="A9" s="1"/>
      <c r="B9" s="108"/>
      <c r="C9" s="194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</row>
    <row r="10" spans="1:78">
      <c r="B10" s="107" t="s">
        <v>402</v>
      </c>
      <c r="C10" s="193" t="s">
        <v>112</v>
      </c>
      <c r="D10" s="112">
        <v>-59545</v>
      </c>
      <c r="E10" s="112">
        <v>-58305</v>
      </c>
      <c r="F10" s="112">
        <v>-73562</v>
      </c>
      <c r="G10" s="112">
        <v>-94396</v>
      </c>
      <c r="H10" s="112">
        <v>-50691</v>
      </c>
      <c r="I10" s="112">
        <v>-70632</v>
      </c>
      <c r="J10" s="112">
        <v>-98920</v>
      </c>
      <c r="K10" s="112">
        <v>-116173</v>
      </c>
      <c r="L10" s="112">
        <v>-77506</v>
      </c>
      <c r="M10" s="112">
        <v>-58772</v>
      </c>
      <c r="N10" s="112">
        <v>-73268</v>
      </c>
      <c r="O10" s="112">
        <v>-118856</v>
      </c>
      <c r="P10" s="112">
        <v>-93018</v>
      </c>
      <c r="Q10" s="112">
        <v>-98440</v>
      </c>
      <c r="R10" s="112">
        <v>-114210</v>
      </c>
      <c r="S10" s="112">
        <v>-127179</v>
      </c>
      <c r="T10" s="112">
        <v>-129967</v>
      </c>
      <c r="U10" s="112">
        <v>-170321</v>
      </c>
      <c r="V10" s="112">
        <v>-186027</v>
      </c>
      <c r="W10" s="112">
        <v>-201606</v>
      </c>
      <c r="X10" s="112">
        <v>-104917</v>
      </c>
      <c r="Y10" s="112">
        <v>-152761</v>
      </c>
      <c r="Z10" s="112">
        <v>-165765</v>
      </c>
      <c r="AA10" s="112">
        <v>-191739</v>
      </c>
      <c r="AB10" s="112">
        <v>-106041</v>
      </c>
      <c r="AC10" s="112">
        <v>-82907</v>
      </c>
      <c r="AD10" s="112">
        <v>-102607</v>
      </c>
      <c r="AE10" s="112">
        <v>-151039</v>
      </c>
      <c r="AF10" s="112">
        <v>-107369</v>
      </c>
      <c r="AG10" s="112">
        <v>-112326</v>
      </c>
      <c r="AH10" s="112">
        <v>-142870</v>
      </c>
      <c r="AI10" s="112">
        <v>-167382</v>
      </c>
      <c r="AJ10" s="112">
        <v>-101662</v>
      </c>
      <c r="AK10" s="112">
        <v>-101849</v>
      </c>
      <c r="AL10" s="112">
        <v>-140221</v>
      </c>
      <c r="AM10" s="112">
        <v>-149208</v>
      </c>
      <c r="AN10" s="112">
        <v>-110435</v>
      </c>
      <c r="AO10" s="112">
        <v>-89200</v>
      </c>
      <c r="AP10" s="112">
        <v>-109016</v>
      </c>
      <c r="AQ10" s="112">
        <v>-129620</v>
      </c>
      <c r="AR10" s="112">
        <v>-97886</v>
      </c>
      <c r="AS10" s="112">
        <v>-73524</v>
      </c>
      <c r="AT10" s="112">
        <v>-144691</v>
      </c>
      <c r="AU10" s="112">
        <v>-192625</v>
      </c>
      <c r="AV10" s="112">
        <v>-185107</v>
      </c>
      <c r="AW10" s="112">
        <v>-198522</v>
      </c>
      <c r="AX10" s="112">
        <v>-239625</v>
      </c>
      <c r="AY10" s="112">
        <v>-271437</v>
      </c>
      <c r="AZ10" s="112">
        <v>-267844</v>
      </c>
      <c r="BA10" s="112">
        <v>-239419</v>
      </c>
      <c r="BB10" s="112">
        <v>-330920</v>
      </c>
      <c r="BC10" s="112">
        <v>-315035</v>
      </c>
      <c r="BD10" s="112">
        <v>-220701</v>
      </c>
      <c r="BE10" s="112">
        <v>-199116</v>
      </c>
      <c r="BF10" s="112">
        <v>-292745</v>
      </c>
      <c r="BG10" s="112">
        <f>+BY10-SUM(BD10:BF10)</f>
        <v>-350724</v>
      </c>
      <c r="BH10" s="112">
        <v>-258002</v>
      </c>
      <c r="BI10" s="112">
        <v>-230874</v>
      </c>
      <c r="BJ10" s="112">
        <v>-307958</v>
      </c>
      <c r="BK10" s="112"/>
      <c r="BL10" s="112">
        <v>-285808</v>
      </c>
      <c r="BM10" s="112">
        <v>-336416</v>
      </c>
      <c r="BN10" s="112">
        <v>-328402</v>
      </c>
      <c r="BO10" s="112">
        <v>-432847</v>
      </c>
      <c r="BP10" s="112">
        <v>-687921</v>
      </c>
      <c r="BQ10" s="112">
        <v>-615182</v>
      </c>
      <c r="BR10" s="112">
        <v>-442594</v>
      </c>
      <c r="BS10" s="112">
        <v>-529947</v>
      </c>
      <c r="BT10" s="112">
        <v>-492940</v>
      </c>
      <c r="BU10" s="112">
        <v>-438271</v>
      </c>
      <c r="BV10" s="112">
        <v>-508726</v>
      </c>
      <c r="BW10" s="112">
        <v>-894690</v>
      </c>
      <c r="BX10" s="112">
        <v>-1153218</v>
      </c>
      <c r="BY10" s="112">
        <v>-1063286</v>
      </c>
      <c r="BZ10" s="112">
        <f>SUM(BH10:BK10)</f>
        <v>-796834</v>
      </c>
    </row>
    <row r="11" spans="1:78" ht="7.5" customHeight="1">
      <c r="B11" s="108"/>
      <c r="C11" s="194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</row>
    <row r="12" spans="1:78">
      <c r="B12" s="107" t="s">
        <v>281</v>
      </c>
      <c r="C12" s="193" t="s">
        <v>113</v>
      </c>
      <c r="D12" s="112">
        <v>13699</v>
      </c>
      <c r="E12" s="112">
        <v>17536</v>
      </c>
      <c r="F12" s="112">
        <v>24300</v>
      </c>
      <c r="G12" s="112">
        <v>24987</v>
      </c>
      <c r="H12" s="112">
        <v>10027</v>
      </c>
      <c r="I12" s="112">
        <v>15406</v>
      </c>
      <c r="J12" s="112">
        <v>26759</v>
      </c>
      <c r="K12" s="112">
        <v>33518</v>
      </c>
      <c r="L12" s="112">
        <v>20196</v>
      </c>
      <c r="M12" s="112">
        <v>14723</v>
      </c>
      <c r="N12" s="112">
        <v>21550</v>
      </c>
      <c r="O12" s="112">
        <v>39570</v>
      </c>
      <c r="P12" s="112">
        <v>26503</v>
      </c>
      <c r="Q12" s="112">
        <v>30339</v>
      </c>
      <c r="R12" s="112">
        <v>52716</v>
      </c>
      <c r="S12" s="112">
        <v>52357</v>
      </c>
      <c r="T12" s="112">
        <v>43303</v>
      </c>
      <c r="U12" s="112">
        <v>56362</v>
      </c>
      <c r="V12" s="112">
        <v>68321</v>
      </c>
      <c r="W12" s="112">
        <v>49934</v>
      </c>
      <c r="X12" s="112">
        <v>2992</v>
      </c>
      <c r="Y12" s="112">
        <v>18759</v>
      </c>
      <c r="Z12" s="112">
        <v>37000</v>
      </c>
      <c r="AA12" s="112">
        <v>32046</v>
      </c>
      <c r="AB12" s="112">
        <v>9752</v>
      </c>
      <c r="AC12" s="112">
        <v>5386</v>
      </c>
      <c r="AD12" s="112">
        <v>18305</v>
      </c>
      <c r="AE12" s="112">
        <v>-739</v>
      </c>
      <c r="AF12" s="112">
        <v>9862</v>
      </c>
      <c r="AG12" s="112">
        <v>12705</v>
      </c>
      <c r="AH12" s="112">
        <v>18899</v>
      </c>
      <c r="AI12" s="112">
        <v>6962</v>
      </c>
      <c r="AJ12" s="112">
        <v>6933</v>
      </c>
      <c r="AK12" s="112">
        <v>5800</v>
      </c>
      <c r="AL12" s="112">
        <v>25879</v>
      </c>
      <c r="AM12" s="112">
        <v>44748</v>
      </c>
      <c r="AN12" s="112">
        <v>27096</v>
      </c>
      <c r="AO12" s="112">
        <v>27852</v>
      </c>
      <c r="AP12" s="112">
        <v>40506</v>
      </c>
      <c r="AQ12" s="112">
        <v>49740</v>
      </c>
      <c r="AR12" s="112">
        <v>29596</v>
      </c>
      <c r="AS12" s="112">
        <v>20468</v>
      </c>
      <c r="AT12" s="112">
        <v>56954</v>
      </c>
      <c r="AU12" s="112">
        <v>55499</v>
      </c>
      <c r="AV12" s="112">
        <v>51073</v>
      </c>
      <c r="AW12" s="112">
        <v>44132</v>
      </c>
      <c r="AX12" s="112">
        <v>90842</v>
      </c>
      <c r="AY12" s="112">
        <v>145441</v>
      </c>
      <c r="AZ12" s="112">
        <v>169751</v>
      </c>
      <c r="BA12" s="112">
        <v>120655</v>
      </c>
      <c r="BB12" s="112">
        <v>184834</v>
      </c>
      <c r="BC12" s="112">
        <v>186943</v>
      </c>
      <c r="BD12" s="112">
        <v>102403</v>
      </c>
      <c r="BE12" s="112">
        <v>82081</v>
      </c>
      <c r="BF12" s="112">
        <v>112883</v>
      </c>
      <c r="BG12" s="112">
        <f>BG8+BG10</f>
        <v>151481</v>
      </c>
      <c r="BH12" s="112">
        <f>BH8+BH10</f>
        <v>122309</v>
      </c>
      <c r="BI12" s="112">
        <f>BI8+BI10</f>
        <v>96960</v>
      </c>
      <c r="BJ12" s="112">
        <f>BJ8+BJ10</f>
        <v>131094</v>
      </c>
      <c r="BK12" s="112"/>
      <c r="BL12" s="112">
        <v>80522</v>
      </c>
      <c r="BM12" s="112">
        <v>85710</v>
      </c>
      <c r="BN12" s="112">
        <v>96039</v>
      </c>
      <c r="BO12" s="112">
        <v>161915</v>
      </c>
      <c r="BP12" s="112">
        <v>217920</v>
      </c>
      <c r="BQ12" s="112">
        <v>90797</v>
      </c>
      <c r="BR12" s="112">
        <v>32704</v>
      </c>
      <c r="BS12" s="112">
        <v>48428</v>
      </c>
      <c r="BT12" s="112">
        <v>83360</v>
      </c>
      <c r="BU12" s="112">
        <v>145194</v>
      </c>
      <c r="BV12" s="112">
        <v>162517</v>
      </c>
      <c r="BW12" s="112">
        <v>331489</v>
      </c>
      <c r="BX12" s="112">
        <v>662183</v>
      </c>
      <c r="BY12" s="112">
        <f>BY8+BY10</f>
        <v>448848</v>
      </c>
      <c r="BZ12" s="112">
        <f>BZ8+BZ10</f>
        <v>350363</v>
      </c>
    </row>
    <row r="13" spans="1:78">
      <c r="B13" s="165" t="s">
        <v>403</v>
      </c>
      <c r="C13" s="195" t="s">
        <v>114</v>
      </c>
      <c r="D13" s="103">
        <v>-3863</v>
      </c>
      <c r="E13" s="103">
        <v>-5835</v>
      </c>
      <c r="F13" s="103">
        <v>-4592</v>
      </c>
      <c r="G13" s="103">
        <v>-4987</v>
      </c>
      <c r="H13" s="103">
        <v>-4546</v>
      </c>
      <c r="I13" s="103">
        <v>-5562</v>
      </c>
      <c r="J13" s="103">
        <v>-4433</v>
      </c>
      <c r="K13" s="103">
        <v>-7720</v>
      </c>
      <c r="L13" s="103">
        <v>-5361</v>
      </c>
      <c r="M13" s="103">
        <v>-7188</v>
      </c>
      <c r="N13" s="103">
        <v>-6390</v>
      </c>
      <c r="O13" s="103">
        <v>-7677</v>
      </c>
      <c r="P13" s="103">
        <v>-7007</v>
      </c>
      <c r="Q13" s="103">
        <v>-7889</v>
      </c>
      <c r="R13" s="103">
        <v>-9073</v>
      </c>
      <c r="S13" s="103">
        <v>-12786</v>
      </c>
      <c r="T13" s="103">
        <v>-8170</v>
      </c>
      <c r="U13" s="103">
        <v>-9037</v>
      </c>
      <c r="V13" s="103">
        <v>-10782</v>
      </c>
      <c r="W13" s="103">
        <v>-12894</v>
      </c>
      <c r="X13" s="103">
        <v>-9092</v>
      </c>
      <c r="Y13" s="103">
        <v>-9860</v>
      </c>
      <c r="Z13" s="103">
        <v>-10282</v>
      </c>
      <c r="AA13" s="103">
        <v>-11623</v>
      </c>
      <c r="AB13" s="103">
        <v>-9612</v>
      </c>
      <c r="AC13" s="103">
        <v>-7610</v>
      </c>
      <c r="AD13" s="103">
        <v>-7933</v>
      </c>
      <c r="AE13" s="103">
        <v>-10974</v>
      </c>
      <c r="AF13" s="103">
        <v>-7395</v>
      </c>
      <c r="AG13" s="103">
        <v>-9396</v>
      </c>
      <c r="AH13" s="103">
        <v>-9474</v>
      </c>
      <c r="AI13" s="103">
        <v>-9608</v>
      </c>
      <c r="AJ13" s="103">
        <v>-7829</v>
      </c>
      <c r="AK13" s="103">
        <v>-8284</v>
      </c>
      <c r="AL13" s="103">
        <v>-9059</v>
      </c>
      <c r="AM13" s="103">
        <v>-10000</v>
      </c>
      <c r="AN13" s="103">
        <v>-8043</v>
      </c>
      <c r="AO13" s="103">
        <v>-8717</v>
      </c>
      <c r="AP13" s="103">
        <v>-9725</v>
      </c>
      <c r="AQ13" s="103">
        <v>-11934</v>
      </c>
      <c r="AR13" s="103">
        <v>-10626</v>
      </c>
      <c r="AS13" s="103">
        <v>-8808</v>
      </c>
      <c r="AT13" s="103">
        <v>-12712</v>
      </c>
      <c r="AU13" s="103">
        <v>-12884</v>
      </c>
      <c r="AV13" s="103">
        <v>-13798</v>
      </c>
      <c r="AW13" s="103">
        <v>-15394</v>
      </c>
      <c r="AX13" s="103">
        <v>-19047</v>
      </c>
      <c r="AY13" s="103">
        <v>-22336</v>
      </c>
      <c r="AZ13" s="103">
        <v>-21459</v>
      </c>
      <c r="BA13" s="103">
        <v>-22459</v>
      </c>
      <c r="BB13" s="103">
        <v>-25134</v>
      </c>
      <c r="BC13" s="103">
        <v>-25437</v>
      </c>
      <c r="BD13" s="103">
        <v>-22344</v>
      </c>
      <c r="BE13" s="103">
        <v>-20397</v>
      </c>
      <c r="BF13" s="103">
        <v>-25288</v>
      </c>
      <c r="BG13" s="103">
        <f t="shared" ref="BG13:BG21" si="0">+BY13-SUM(BD13:BF13)</f>
        <v>-26030</v>
      </c>
      <c r="BH13" s="103">
        <v>-23749</v>
      </c>
      <c r="BI13" s="103">
        <v>-22439</v>
      </c>
      <c r="BJ13" s="103">
        <f>-25590-104</f>
        <v>-25694</v>
      </c>
      <c r="BK13" s="103"/>
      <c r="BL13" s="103">
        <v>-19277</v>
      </c>
      <c r="BM13" s="103">
        <v>-22261</v>
      </c>
      <c r="BN13" s="103">
        <v>-26616</v>
      </c>
      <c r="BO13" s="103">
        <v>-36755</v>
      </c>
      <c r="BP13" s="103">
        <v>-40883</v>
      </c>
      <c r="BQ13" s="103">
        <v>-40857</v>
      </c>
      <c r="BR13" s="103">
        <v>-36129</v>
      </c>
      <c r="BS13" s="103">
        <v>-35873</v>
      </c>
      <c r="BT13" s="103">
        <v>-35172</v>
      </c>
      <c r="BU13" s="103">
        <v>-38419</v>
      </c>
      <c r="BV13" s="103">
        <v>-45030</v>
      </c>
      <c r="BW13" s="103">
        <v>-70575</v>
      </c>
      <c r="BX13" s="103">
        <v>-94489</v>
      </c>
      <c r="BY13" s="103">
        <f>-92349-1710</f>
        <v>-94059</v>
      </c>
      <c r="BZ13" s="103">
        <f>SUM(BH13:BK13)</f>
        <v>-71882</v>
      </c>
    </row>
    <row r="14" spans="1:78">
      <c r="B14" s="102" t="s">
        <v>404</v>
      </c>
      <c r="C14" s="195" t="s">
        <v>115</v>
      </c>
      <c r="D14" s="104">
        <v>-5350</v>
      </c>
      <c r="E14" s="104">
        <v>-4918</v>
      </c>
      <c r="F14" s="104">
        <v>-5294</v>
      </c>
      <c r="G14" s="104">
        <v>-6648</v>
      </c>
      <c r="H14" s="104">
        <v>-6661</v>
      </c>
      <c r="I14" s="104">
        <v>-6725</v>
      </c>
      <c r="J14" s="104">
        <v>-6838</v>
      </c>
      <c r="K14" s="104">
        <v>-9446</v>
      </c>
      <c r="L14" s="104">
        <v>-6260</v>
      </c>
      <c r="M14" s="104">
        <v>-6201</v>
      </c>
      <c r="N14" s="104">
        <v>-5969</v>
      </c>
      <c r="O14" s="104">
        <v>-10731</v>
      </c>
      <c r="P14" s="104">
        <v>-7998</v>
      </c>
      <c r="Q14" s="104">
        <v>-8855</v>
      </c>
      <c r="R14" s="104">
        <v>-9121</v>
      </c>
      <c r="S14" s="104">
        <v>-12729</v>
      </c>
      <c r="T14" s="104">
        <v>-9532</v>
      </c>
      <c r="U14" s="104">
        <v>-10709</v>
      </c>
      <c r="V14" s="104">
        <v>-12974</v>
      </c>
      <c r="W14" s="104">
        <v>-18698</v>
      </c>
      <c r="X14" s="104">
        <v>-11470</v>
      </c>
      <c r="Y14" s="104">
        <v>-14256</v>
      </c>
      <c r="Z14" s="104">
        <v>-13622</v>
      </c>
      <c r="AA14" s="104">
        <v>-14204</v>
      </c>
      <c r="AB14" s="104">
        <v>-11868</v>
      </c>
      <c r="AC14" s="104">
        <v>-12039</v>
      </c>
      <c r="AD14" s="104">
        <v>-10516</v>
      </c>
      <c r="AE14" s="104">
        <v>-15215</v>
      </c>
      <c r="AF14" s="104">
        <v>-11111</v>
      </c>
      <c r="AG14" s="104">
        <v>-10906</v>
      </c>
      <c r="AH14" s="104">
        <v>-11581</v>
      </c>
      <c r="AI14" s="104">
        <v>-8449</v>
      </c>
      <c r="AJ14" s="104">
        <v>-9864</v>
      </c>
      <c r="AK14" s="104">
        <v>-11735</v>
      </c>
      <c r="AL14" s="104">
        <v>-11079</v>
      </c>
      <c r="AM14" s="104">
        <v>-11835</v>
      </c>
      <c r="AN14" s="104">
        <v>-11044</v>
      </c>
      <c r="AO14" s="104">
        <v>-12055</v>
      </c>
      <c r="AP14" s="104">
        <v>-12697</v>
      </c>
      <c r="AQ14" s="104">
        <v>-12172</v>
      </c>
      <c r="AR14" s="104">
        <v>-10826</v>
      </c>
      <c r="AS14" s="104">
        <v>-11705</v>
      </c>
      <c r="AT14" s="104">
        <v>-10863</v>
      </c>
      <c r="AU14" s="104">
        <v>-14860</v>
      </c>
      <c r="AV14" s="104">
        <v>-12687</v>
      </c>
      <c r="AW14" s="104">
        <v>-13773</v>
      </c>
      <c r="AX14" s="104">
        <v>-14210</v>
      </c>
      <c r="AY14" s="104">
        <v>-16622</v>
      </c>
      <c r="AZ14" s="104">
        <v>-16204</v>
      </c>
      <c r="BA14" s="104">
        <v>-16277</v>
      </c>
      <c r="BB14" s="104">
        <v>-17775</v>
      </c>
      <c r="BC14" s="104">
        <v>-21150</v>
      </c>
      <c r="BD14" s="104">
        <v>-18357</v>
      </c>
      <c r="BE14" s="104">
        <v>-22835</v>
      </c>
      <c r="BF14" s="104">
        <v>-23125</v>
      </c>
      <c r="BG14" s="104">
        <f t="shared" si="0"/>
        <v>-27119</v>
      </c>
      <c r="BH14" s="104">
        <v>-24982</v>
      </c>
      <c r="BI14" s="104">
        <v>-24868</v>
      </c>
      <c r="BJ14" s="104">
        <v>-24269</v>
      </c>
      <c r="BK14" s="104"/>
      <c r="BL14" s="104">
        <v>-22210</v>
      </c>
      <c r="BM14" s="104">
        <v>-29670</v>
      </c>
      <c r="BN14" s="104">
        <v>-29161</v>
      </c>
      <c r="BO14" s="104">
        <v>-38703</v>
      </c>
      <c r="BP14" s="104">
        <v>-51913</v>
      </c>
      <c r="BQ14" s="104">
        <v>-53552</v>
      </c>
      <c r="BR14" s="104">
        <v>-49638</v>
      </c>
      <c r="BS14" s="104">
        <v>-42047</v>
      </c>
      <c r="BT14" s="104">
        <v>-44513</v>
      </c>
      <c r="BU14" s="104">
        <v>-47968</v>
      </c>
      <c r="BV14" s="104">
        <v>-48254</v>
      </c>
      <c r="BW14" s="104">
        <v>-57292</v>
      </c>
      <c r="BX14" s="104">
        <v>-71406</v>
      </c>
      <c r="BY14" s="104">
        <v>-91436</v>
      </c>
      <c r="BZ14" s="103">
        <f>SUM(BH14:BK14)</f>
        <v>-74119</v>
      </c>
    </row>
    <row r="15" spans="1:78">
      <c r="B15" s="102" t="s">
        <v>405</v>
      </c>
      <c r="C15" s="195" t="s">
        <v>124</v>
      </c>
      <c r="D15" s="104">
        <v>-423</v>
      </c>
      <c r="E15" s="104">
        <v>815</v>
      </c>
      <c r="F15" s="104">
        <v>-2933</v>
      </c>
      <c r="G15" s="104">
        <v>4716</v>
      </c>
      <c r="H15" s="104">
        <v>-1334</v>
      </c>
      <c r="I15" s="104">
        <v>3794</v>
      </c>
      <c r="J15" s="104">
        <v>-216</v>
      </c>
      <c r="K15" s="104">
        <v>3040</v>
      </c>
      <c r="L15" s="104">
        <v>-1750</v>
      </c>
      <c r="M15" s="104">
        <v>2311</v>
      </c>
      <c r="N15" s="104">
        <v>-259</v>
      </c>
      <c r="O15" s="104">
        <v>1566</v>
      </c>
      <c r="P15" s="104">
        <v>912</v>
      </c>
      <c r="Q15" s="104">
        <v>2455</v>
      </c>
      <c r="R15" s="104">
        <v>-2537</v>
      </c>
      <c r="S15" s="104">
        <v>-3168</v>
      </c>
      <c r="T15" s="104">
        <v>5122</v>
      </c>
      <c r="U15" s="104">
        <v>3946</v>
      </c>
      <c r="V15" s="104">
        <v>9301</v>
      </c>
      <c r="W15" s="104">
        <v>-54</v>
      </c>
      <c r="X15" s="104">
        <v>1132</v>
      </c>
      <c r="Y15" s="104">
        <v>3191</v>
      </c>
      <c r="Z15" s="104">
        <v>3682</v>
      </c>
      <c r="AA15" s="104">
        <v>-687</v>
      </c>
      <c r="AB15" s="104">
        <v>326</v>
      </c>
      <c r="AC15" s="104">
        <v>1040</v>
      </c>
      <c r="AD15" s="104">
        <v>1489</v>
      </c>
      <c r="AE15" s="104">
        <v>1567</v>
      </c>
      <c r="AF15" s="104">
        <v>-441</v>
      </c>
      <c r="AG15" s="104">
        <v>-84</v>
      </c>
      <c r="AH15" s="104">
        <v>-5096</v>
      </c>
      <c r="AI15" s="104">
        <v>-4291</v>
      </c>
      <c r="AJ15" s="104">
        <v>922</v>
      </c>
      <c r="AK15" s="104">
        <v>2407</v>
      </c>
      <c r="AL15" s="104">
        <v>673</v>
      </c>
      <c r="AM15" s="104">
        <v>13318</v>
      </c>
      <c r="AN15" s="104">
        <v>499</v>
      </c>
      <c r="AO15" s="104">
        <v>-4575</v>
      </c>
      <c r="AP15" s="104">
        <v>-40</v>
      </c>
      <c r="AQ15" s="104">
        <v>-2264</v>
      </c>
      <c r="AR15" s="104">
        <v>2070</v>
      </c>
      <c r="AS15" s="104">
        <v>16310</v>
      </c>
      <c r="AT15" s="104">
        <v>-2942</v>
      </c>
      <c r="AU15" s="104">
        <v>-4246</v>
      </c>
      <c r="AV15" s="104">
        <v>1408</v>
      </c>
      <c r="AW15" s="104">
        <v>-578</v>
      </c>
      <c r="AX15" s="104">
        <v>-4816</v>
      </c>
      <c r="AY15" s="104">
        <v>5237</v>
      </c>
      <c r="AZ15" s="104">
        <v>7424</v>
      </c>
      <c r="BA15" s="104">
        <v>4938</v>
      </c>
      <c r="BB15" s="104">
        <v>6397</v>
      </c>
      <c r="BC15" s="104">
        <v>3101</v>
      </c>
      <c r="BD15" s="104">
        <v>7996</v>
      </c>
      <c r="BE15" s="104">
        <v>6168</v>
      </c>
      <c r="BF15" s="104">
        <v>14764</v>
      </c>
      <c r="BG15" s="104">
        <f t="shared" si="0"/>
        <v>9496</v>
      </c>
      <c r="BH15" s="104">
        <v>6988</v>
      </c>
      <c r="BI15" s="104">
        <v>3719</v>
      </c>
      <c r="BJ15" s="104">
        <v>1963</v>
      </c>
      <c r="BK15" s="104"/>
      <c r="BL15" s="104">
        <v>2175</v>
      </c>
      <c r="BM15" s="104">
        <v>5284</v>
      </c>
      <c r="BN15" s="104">
        <v>1868</v>
      </c>
      <c r="BO15" s="104">
        <v>-2338</v>
      </c>
      <c r="BP15" s="104">
        <v>18315</v>
      </c>
      <c r="BQ15" s="104">
        <v>7318</v>
      </c>
      <c r="BR15" s="104">
        <v>4423</v>
      </c>
      <c r="BS15" s="104">
        <v>-9912</v>
      </c>
      <c r="BT15" s="104">
        <v>17320</v>
      </c>
      <c r="BU15" s="104">
        <v>-6380</v>
      </c>
      <c r="BV15" s="104">
        <v>11192</v>
      </c>
      <c r="BW15" s="104">
        <v>1251</v>
      </c>
      <c r="BX15" s="104">
        <v>21860</v>
      </c>
      <c r="BY15" s="104">
        <v>38424</v>
      </c>
      <c r="BZ15" s="103">
        <f>SUM(BH15:BK15)</f>
        <v>12670</v>
      </c>
    </row>
    <row r="16" spans="1:78">
      <c r="B16" s="107" t="s">
        <v>406</v>
      </c>
      <c r="C16" s="193" t="s">
        <v>116</v>
      </c>
      <c r="D16" s="112">
        <v>4063</v>
      </c>
      <c r="E16" s="112">
        <v>7598</v>
      </c>
      <c r="F16" s="112">
        <v>11481</v>
      </c>
      <c r="G16" s="112">
        <v>18068</v>
      </c>
      <c r="H16" s="112">
        <v>-2514</v>
      </c>
      <c r="I16" s="112">
        <v>6913</v>
      </c>
      <c r="J16" s="112">
        <v>15272</v>
      </c>
      <c r="K16" s="112">
        <v>19392</v>
      </c>
      <c r="L16" s="112">
        <v>6825</v>
      </c>
      <c r="M16" s="112">
        <v>3645</v>
      </c>
      <c r="N16" s="112">
        <v>8932</v>
      </c>
      <c r="O16" s="112">
        <v>22728</v>
      </c>
      <c r="P16" s="112">
        <v>12410</v>
      </c>
      <c r="Q16" s="112">
        <v>16050</v>
      </c>
      <c r="R16" s="112">
        <v>31985</v>
      </c>
      <c r="S16" s="112">
        <v>23674</v>
      </c>
      <c r="T16" s="112">
        <v>30723</v>
      </c>
      <c r="U16" s="112">
        <v>40562</v>
      </c>
      <c r="V16" s="112">
        <v>53866</v>
      </c>
      <c r="W16" s="112">
        <v>18288</v>
      </c>
      <c r="X16" s="112">
        <v>-16438</v>
      </c>
      <c r="Y16" s="112">
        <v>-2166</v>
      </c>
      <c r="Z16" s="112">
        <v>16778</v>
      </c>
      <c r="AA16" s="112">
        <v>5532</v>
      </c>
      <c r="AB16" s="112">
        <v>-11402</v>
      </c>
      <c r="AC16" s="112">
        <v>-13223</v>
      </c>
      <c r="AD16" s="112">
        <v>1345</v>
      </c>
      <c r="AE16" s="112">
        <v>-25361</v>
      </c>
      <c r="AF16" s="112">
        <v>-9085</v>
      </c>
      <c r="AG16" s="112">
        <v>-7681</v>
      </c>
      <c r="AH16" s="112">
        <v>-7252</v>
      </c>
      <c r="AI16" s="112">
        <v>-15386</v>
      </c>
      <c r="AJ16" s="112">
        <v>-9838</v>
      </c>
      <c r="AK16" s="112">
        <v>-11812</v>
      </c>
      <c r="AL16" s="112">
        <v>6414</v>
      </c>
      <c r="AM16" s="112">
        <v>36231</v>
      </c>
      <c r="AN16" s="112">
        <v>8508</v>
      </c>
      <c r="AO16" s="112">
        <v>2505</v>
      </c>
      <c r="AP16" s="112">
        <v>18044</v>
      </c>
      <c r="AQ16" s="112">
        <v>23370</v>
      </c>
      <c r="AR16" s="112">
        <v>10214</v>
      </c>
      <c r="AS16" s="112">
        <v>16265</v>
      </c>
      <c r="AT16" s="112">
        <v>30437</v>
      </c>
      <c r="AU16" s="112">
        <v>23509</v>
      </c>
      <c r="AV16" s="112">
        <v>25996</v>
      </c>
      <c r="AW16" s="112">
        <v>14387</v>
      </c>
      <c r="AX16" s="112">
        <v>52770</v>
      </c>
      <c r="AY16" s="112">
        <v>111720</v>
      </c>
      <c r="AZ16" s="112">
        <v>139512</v>
      </c>
      <c r="BA16" s="112">
        <v>86857</v>
      </c>
      <c r="BB16" s="112">
        <v>148322</v>
      </c>
      <c r="BC16" s="112">
        <v>143457</v>
      </c>
      <c r="BD16" s="112">
        <v>69698</v>
      </c>
      <c r="BE16" s="112">
        <v>45017</v>
      </c>
      <c r="BF16" s="112">
        <v>79234</v>
      </c>
      <c r="BG16" s="112">
        <f>+SUM(BG12:BG15)</f>
        <v>107828</v>
      </c>
      <c r="BH16" s="112">
        <f>+SUM(BH12:BH15)</f>
        <v>80566</v>
      </c>
      <c r="BI16" s="112">
        <f>+SUM(BI12:BI15)</f>
        <v>53372</v>
      </c>
      <c r="BJ16" s="112">
        <f>+SUM(BJ12:BJ15)</f>
        <v>83094</v>
      </c>
      <c r="BK16" s="112"/>
      <c r="BL16" s="112">
        <v>41210</v>
      </c>
      <c r="BM16" s="112">
        <v>39063</v>
      </c>
      <c r="BN16" s="112">
        <v>42130</v>
      </c>
      <c r="BO16" s="112">
        <v>84119</v>
      </c>
      <c r="BP16" s="112">
        <v>143439</v>
      </c>
      <c r="BQ16" s="112">
        <v>3706</v>
      </c>
      <c r="BR16" s="112">
        <v>-48641</v>
      </c>
      <c r="BS16" s="112">
        <v>-39404</v>
      </c>
      <c r="BT16" s="112">
        <v>20995</v>
      </c>
      <c r="BU16" s="112">
        <v>52427</v>
      </c>
      <c r="BV16" s="112">
        <v>80425</v>
      </c>
      <c r="BW16" s="112">
        <v>204873</v>
      </c>
      <c r="BX16" s="112">
        <v>518148</v>
      </c>
      <c r="BY16" s="112">
        <f>+SUM(BY12:BY15)</f>
        <v>301777</v>
      </c>
      <c r="BZ16" s="112">
        <f>+SUM(BZ12:BZ15)</f>
        <v>217032</v>
      </c>
    </row>
    <row r="17" spans="1:78">
      <c r="A17" s="3"/>
      <c r="B17" s="165" t="s">
        <v>407</v>
      </c>
      <c r="C17" s="195" t="s">
        <v>117</v>
      </c>
      <c r="D17" s="103">
        <v>-6904</v>
      </c>
      <c r="E17" s="103">
        <v>-6989</v>
      </c>
      <c r="F17" s="103">
        <v>-6066</v>
      </c>
      <c r="G17" s="103">
        <v>-7839</v>
      </c>
      <c r="H17" s="103">
        <v>-4990</v>
      </c>
      <c r="I17" s="103">
        <v>-5143</v>
      </c>
      <c r="J17" s="103">
        <v>-11989</v>
      </c>
      <c r="K17" s="103">
        <v>-11058</v>
      </c>
      <c r="L17" s="103">
        <v>-8038</v>
      </c>
      <c r="M17" s="103">
        <v>-8243</v>
      </c>
      <c r="N17" s="103">
        <v>-5234</v>
      </c>
      <c r="O17" s="103">
        <v>-5097</v>
      </c>
      <c r="P17" s="103">
        <v>-4601</v>
      </c>
      <c r="Q17" s="103">
        <v>-6242</v>
      </c>
      <c r="R17" s="103">
        <v>-5768</v>
      </c>
      <c r="S17" s="103">
        <v>-6357</v>
      </c>
      <c r="T17" s="103">
        <v>-7807</v>
      </c>
      <c r="U17" s="103">
        <v>-6573</v>
      </c>
      <c r="V17" s="103">
        <v>-13707</v>
      </c>
      <c r="W17" s="103">
        <v>-9246</v>
      </c>
      <c r="X17" s="103">
        <v>-10870</v>
      </c>
      <c r="Y17" s="103">
        <v>-4060</v>
      </c>
      <c r="Z17" s="103">
        <v>-12654</v>
      </c>
      <c r="AA17" s="103">
        <v>-4748</v>
      </c>
      <c r="AB17" s="103">
        <v>-6151</v>
      </c>
      <c r="AC17" s="103">
        <v>-4858</v>
      </c>
      <c r="AD17" s="103">
        <v>-4132</v>
      </c>
      <c r="AE17" s="103">
        <v>-5922</v>
      </c>
      <c r="AF17" s="103">
        <v>-4869</v>
      </c>
      <c r="AG17" s="103">
        <v>-4357</v>
      </c>
      <c r="AH17" s="103">
        <v>-5192</v>
      </c>
      <c r="AI17" s="103">
        <v>-4989</v>
      </c>
      <c r="AJ17" s="103">
        <v>-3411</v>
      </c>
      <c r="AK17" s="103">
        <v>-7218</v>
      </c>
      <c r="AL17" s="103">
        <v>-5257</v>
      </c>
      <c r="AM17" s="103">
        <v>-4813</v>
      </c>
      <c r="AN17" s="103">
        <v>-4470</v>
      </c>
      <c r="AO17" s="103">
        <v>-1598</v>
      </c>
      <c r="AP17" s="103">
        <v>-3694</v>
      </c>
      <c r="AQ17" s="103">
        <v>-4580</v>
      </c>
      <c r="AR17" s="103">
        <v>-7735</v>
      </c>
      <c r="AS17" s="103">
        <v>-9077</v>
      </c>
      <c r="AT17" s="103">
        <v>-12377</v>
      </c>
      <c r="AU17" s="103">
        <v>-5263</v>
      </c>
      <c r="AV17" s="103">
        <v>-6758</v>
      </c>
      <c r="AW17" s="103">
        <v>-4858</v>
      </c>
      <c r="AX17" s="103">
        <v>-4069</v>
      </c>
      <c r="AY17" s="103">
        <v>-6074</v>
      </c>
      <c r="AZ17" s="103">
        <v>-10372</v>
      </c>
      <c r="BA17" s="103">
        <v>-6720</v>
      </c>
      <c r="BB17" s="103">
        <v>-10829</v>
      </c>
      <c r="BC17" s="103">
        <v>-11689</v>
      </c>
      <c r="BD17" s="103">
        <v>-13545</v>
      </c>
      <c r="BE17" s="103">
        <v>-12613</v>
      </c>
      <c r="BF17" s="103">
        <v>-8200</v>
      </c>
      <c r="BG17" s="103">
        <f t="shared" si="0"/>
        <v>-15356</v>
      </c>
      <c r="BH17" s="103">
        <v>-9141</v>
      </c>
      <c r="BI17" s="103">
        <v>-12649</v>
      </c>
      <c r="BJ17" s="103">
        <v>-22373</v>
      </c>
      <c r="BK17" s="103"/>
      <c r="BL17" s="103">
        <v>-27798</v>
      </c>
      <c r="BM17" s="103">
        <v>-33180</v>
      </c>
      <c r="BN17" s="103">
        <v>-26612</v>
      </c>
      <c r="BO17" s="103">
        <v>-22968</v>
      </c>
      <c r="BP17" s="103">
        <v>-37333</v>
      </c>
      <c r="BQ17" s="103">
        <v>-32332</v>
      </c>
      <c r="BR17" s="103">
        <v>-21063</v>
      </c>
      <c r="BS17" s="103">
        <v>-19407</v>
      </c>
      <c r="BT17" s="103">
        <v>-20699</v>
      </c>
      <c r="BU17" s="103">
        <v>-14342</v>
      </c>
      <c r="BV17" s="103">
        <v>-34452</v>
      </c>
      <c r="BW17" s="103">
        <v>-21759</v>
      </c>
      <c r="BX17" s="103">
        <v>-39610</v>
      </c>
      <c r="BY17" s="103">
        <v>-49714</v>
      </c>
      <c r="BZ17" s="103">
        <f>SUM(BH17:BK17)</f>
        <v>-44163</v>
      </c>
    </row>
    <row r="18" spans="1:78">
      <c r="B18" s="102" t="s">
        <v>408</v>
      </c>
      <c r="C18" s="195" t="s">
        <v>118</v>
      </c>
      <c r="D18" s="104">
        <v>3988</v>
      </c>
      <c r="E18" s="104">
        <v>3562</v>
      </c>
      <c r="F18" s="104">
        <v>4046</v>
      </c>
      <c r="G18" s="104">
        <v>5119</v>
      </c>
      <c r="H18" s="104">
        <v>4051</v>
      </c>
      <c r="I18" s="104">
        <v>4827</v>
      </c>
      <c r="J18" s="104">
        <v>6809</v>
      </c>
      <c r="K18" s="104">
        <v>7623</v>
      </c>
      <c r="L18" s="104">
        <v>7547</v>
      </c>
      <c r="M18" s="104">
        <v>4628</v>
      </c>
      <c r="N18" s="104">
        <v>3634</v>
      </c>
      <c r="O18" s="104">
        <v>2973</v>
      </c>
      <c r="P18" s="104">
        <v>2868</v>
      </c>
      <c r="Q18" s="104">
        <v>4101</v>
      </c>
      <c r="R18" s="104">
        <v>6360</v>
      </c>
      <c r="S18" s="104">
        <v>4206</v>
      </c>
      <c r="T18" s="104">
        <v>7454</v>
      </c>
      <c r="U18" s="104">
        <v>4789</v>
      </c>
      <c r="V18" s="104">
        <v>7410</v>
      </c>
      <c r="W18" s="104">
        <v>9652</v>
      </c>
      <c r="X18" s="104">
        <v>7073</v>
      </c>
      <c r="Y18" s="104">
        <v>4521</v>
      </c>
      <c r="Z18" s="104">
        <v>6342</v>
      </c>
      <c r="AA18" s="104">
        <v>5219</v>
      </c>
      <c r="AB18" s="104">
        <v>8750</v>
      </c>
      <c r="AC18" s="104">
        <v>7842</v>
      </c>
      <c r="AD18" s="104">
        <v>5941</v>
      </c>
      <c r="AE18" s="104">
        <v>8540</v>
      </c>
      <c r="AF18" s="104">
        <v>6816</v>
      </c>
      <c r="AG18" s="104">
        <v>4088</v>
      </c>
      <c r="AH18" s="104">
        <v>6998</v>
      </c>
      <c r="AI18" s="104">
        <v>3709</v>
      </c>
      <c r="AJ18" s="104">
        <v>3413</v>
      </c>
      <c r="AK18" s="104">
        <v>5312</v>
      </c>
      <c r="AL18" s="104">
        <v>3645</v>
      </c>
      <c r="AM18" s="104">
        <v>2599</v>
      </c>
      <c r="AN18" s="104">
        <v>3246</v>
      </c>
      <c r="AO18" s="104">
        <v>1116</v>
      </c>
      <c r="AP18" s="104">
        <v>1898</v>
      </c>
      <c r="AQ18" s="104">
        <v>3181</v>
      </c>
      <c r="AR18" s="104">
        <v>10492</v>
      </c>
      <c r="AS18" s="104">
        <v>15578</v>
      </c>
      <c r="AT18" s="104">
        <v>11816</v>
      </c>
      <c r="AU18" s="104">
        <v>5304</v>
      </c>
      <c r="AV18" s="104">
        <v>6540</v>
      </c>
      <c r="AW18" s="104">
        <v>4339</v>
      </c>
      <c r="AX18" s="104">
        <v>8188</v>
      </c>
      <c r="AY18" s="104">
        <v>4780</v>
      </c>
      <c r="AZ18" s="104">
        <v>5043</v>
      </c>
      <c r="BA18" s="104">
        <v>6857</v>
      </c>
      <c r="BB18" s="104">
        <v>15866</v>
      </c>
      <c r="BC18" s="104">
        <v>13428</v>
      </c>
      <c r="BD18" s="104">
        <v>15624</v>
      </c>
      <c r="BE18" s="104">
        <v>12230</v>
      </c>
      <c r="BF18" s="104">
        <v>11177</v>
      </c>
      <c r="BG18" s="104">
        <f t="shared" si="0"/>
        <v>14622</v>
      </c>
      <c r="BH18" s="104">
        <v>8597</v>
      </c>
      <c r="BI18" s="104">
        <v>13907</v>
      </c>
      <c r="BJ18" s="104">
        <v>22140</v>
      </c>
      <c r="BK18" s="104"/>
      <c r="BL18" s="104">
        <v>16715</v>
      </c>
      <c r="BM18" s="104">
        <v>23310</v>
      </c>
      <c r="BN18" s="104">
        <v>18782</v>
      </c>
      <c r="BO18" s="104">
        <v>17535</v>
      </c>
      <c r="BP18" s="104">
        <v>29305</v>
      </c>
      <c r="BQ18" s="104">
        <v>23155</v>
      </c>
      <c r="BR18" s="104">
        <v>31073</v>
      </c>
      <c r="BS18" s="104">
        <v>21611</v>
      </c>
      <c r="BT18" s="104">
        <v>14969</v>
      </c>
      <c r="BU18" s="104">
        <v>9441</v>
      </c>
      <c r="BV18" s="104">
        <v>43190</v>
      </c>
      <c r="BW18" s="104">
        <v>23847</v>
      </c>
      <c r="BX18" s="104">
        <v>41194</v>
      </c>
      <c r="BY18" s="104">
        <v>53653</v>
      </c>
      <c r="BZ18" s="103">
        <f>SUM(BH18:BK18)</f>
        <v>44644</v>
      </c>
    </row>
    <row r="19" spans="1:78">
      <c r="B19" s="107" t="s">
        <v>409</v>
      </c>
      <c r="C19" s="193" t="s">
        <v>119</v>
      </c>
      <c r="D19" s="112">
        <v>1147</v>
      </c>
      <c r="E19" s="112">
        <v>4171</v>
      </c>
      <c r="F19" s="112">
        <v>9461</v>
      </c>
      <c r="G19" s="112">
        <v>15348</v>
      </c>
      <c r="H19" s="112">
        <v>-3453</v>
      </c>
      <c r="I19" s="112">
        <v>6597</v>
      </c>
      <c r="J19" s="112">
        <v>10092</v>
      </c>
      <c r="K19" s="112">
        <v>15957</v>
      </c>
      <c r="L19" s="112">
        <v>6334</v>
      </c>
      <c r="M19" s="112">
        <v>30</v>
      </c>
      <c r="N19" s="112">
        <v>7332</v>
      </c>
      <c r="O19" s="112">
        <v>20604</v>
      </c>
      <c r="P19" s="112">
        <v>10677</v>
      </c>
      <c r="Q19" s="112">
        <v>13909</v>
      </c>
      <c r="R19" s="112">
        <v>32577</v>
      </c>
      <c r="S19" s="112">
        <v>21523</v>
      </c>
      <c r="T19" s="112">
        <v>30370</v>
      </c>
      <c r="U19" s="112">
        <v>38778</v>
      </c>
      <c r="V19" s="112">
        <v>47569</v>
      </c>
      <c r="W19" s="112">
        <v>18694</v>
      </c>
      <c r="X19" s="112">
        <v>-20235</v>
      </c>
      <c r="Y19" s="112">
        <v>-1705</v>
      </c>
      <c r="Z19" s="112">
        <v>10466</v>
      </c>
      <c r="AA19" s="112">
        <v>6003</v>
      </c>
      <c r="AB19" s="112">
        <v>-8803</v>
      </c>
      <c r="AC19" s="112">
        <v>-10239</v>
      </c>
      <c r="AD19" s="112">
        <v>3154</v>
      </c>
      <c r="AE19" s="112">
        <v>-22743</v>
      </c>
      <c r="AF19" s="112">
        <v>-7138</v>
      </c>
      <c r="AG19" s="112">
        <v>-7950</v>
      </c>
      <c r="AH19" s="112">
        <v>-5446</v>
      </c>
      <c r="AI19" s="112">
        <v>-16666</v>
      </c>
      <c r="AJ19" s="112">
        <v>-9836</v>
      </c>
      <c r="AK19" s="112">
        <v>-13718</v>
      </c>
      <c r="AL19" s="112">
        <v>4802</v>
      </c>
      <c r="AM19" s="112">
        <v>34017</v>
      </c>
      <c r="AN19" s="112">
        <v>7284</v>
      </c>
      <c r="AO19" s="112">
        <v>2023</v>
      </c>
      <c r="AP19" s="112">
        <v>16248</v>
      </c>
      <c r="AQ19" s="112">
        <v>21971</v>
      </c>
      <c r="AR19" s="112">
        <v>12971</v>
      </c>
      <c r="AS19" s="112">
        <v>22766</v>
      </c>
      <c r="AT19" s="112">
        <v>29876</v>
      </c>
      <c r="AU19" s="112">
        <v>23550</v>
      </c>
      <c r="AV19" s="112">
        <v>25778</v>
      </c>
      <c r="AW19" s="112">
        <v>13868</v>
      </c>
      <c r="AX19" s="112">
        <v>56889</v>
      </c>
      <c r="AY19" s="112">
        <v>110426</v>
      </c>
      <c r="AZ19" s="112">
        <v>134183</v>
      </c>
      <c r="BA19" s="112">
        <v>86994</v>
      </c>
      <c r="BB19" s="112">
        <v>153359</v>
      </c>
      <c r="BC19" s="112">
        <v>145196</v>
      </c>
      <c r="BD19" s="112">
        <v>71777</v>
      </c>
      <c r="BE19" s="112">
        <v>44634</v>
      </c>
      <c r="BF19" s="112">
        <v>82211</v>
      </c>
      <c r="BG19" s="112">
        <f>+SUM(BG16:BG18)</f>
        <v>107094</v>
      </c>
      <c r="BH19" s="112">
        <f>+SUM(BH16:BH18)</f>
        <v>80022</v>
      </c>
      <c r="BI19" s="112">
        <f>+SUM(BI16:BI18)</f>
        <v>54630</v>
      </c>
      <c r="BJ19" s="112">
        <f>+SUM(BJ16:BJ18)</f>
        <v>82861</v>
      </c>
      <c r="BK19" s="112"/>
      <c r="BL19" s="112">
        <v>30127</v>
      </c>
      <c r="BM19" s="112">
        <v>29193</v>
      </c>
      <c r="BN19" s="112">
        <v>34300</v>
      </c>
      <c r="BO19" s="112">
        <v>78686</v>
      </c>
      <c r="BP19" s="112">
        <v>135411</v>
      </c>
      <c r="BQ19" s="112">
        <v>-5471</v>
      </c>
      <c r="BR19" s="112">
        <v>-38631</v>
      </c>
      <c r="BS19" s="112">
        <v>-37200</v>
      </c>
      <c r="BT19" s="112">
        <v>15265</v>
      </c>
      <c r="BU19" s="112">
        <v>47526</v>
      </c>
      <c r="BV19" s="112">
        <v>89163</v>
      </c>
      <c r="BW19" s="112">
        <v>206961</v>
      </c>
      <c r="BX19" s="112">
        <v>519732</v>
      </c>
      <c r="BY19" s="112">
        <f>+SUM(BY16:BY18)</f>
        <v>305716</v>
      </c>
      <c r="BZ19" s="112">
        <f>+SUM(BZ16:BZ18)</f>
        <v>217513</v>
      </c>
    </row>
    <row r="20" spans="1:78">
      <c r="B20" s="102" t="s">
        <v>410</v>
      </c>
      <c r="C20" s="195" t="s">
        <v>120</v>
      </c>
      <c r="D20" s="104">
        <v>-1734</v>
      </c>
      <c r="E20" s="104">
        <v>-309</v>
      </c>
      <c r="F20" s="104">
        <v>-1640</v>
      </c>
      <c r="G20" s="104">
        <v>-1171</v>
      </c>
      <c r="H20" s="104">
        <v>0</v>
      </c>
      <c r="I20" s="104">
        <v>-579</v>
      </c>
      <c r="J20" s="104">
        <v>-1783</v>
      </c>
      <c r="K20" s="104">
        <v>-2033</v>
      </c>
      <c r="L20" s="104">
        <v>-2046</v>
      </c>
      <c r="M20" s="104">
        <v>345</v>
      </c>
      <c r="N20" s="104">
        <v>-318</v>
      </c>
      <c r="O20" s="104">
        <v>-4352</v>
      </c>
      <c r="P20" s="104">
        <v>-1517</v>
      </c>
      <c r="Q20" s="104">
        <v>-3705</v>
      </c>
      <c r="R20" s="104">
        <v>-9120</v>
      </c>
      <c r="S20" s="104">
        <v>-4029</v>
      </c>
      <c r="T20" s="104">
        <v>-4420</v>
      </c>
      <c r="U20" s="104">
        <v>-9707</v>
      </c>
      <c r="V20" s="104">
        <v>-9418</v>
      </c>
      <c r="W20" s="104">
        <v>954</v>
      </c>
      <c r="X20" s="104">
        <v>-364</v>
      </c>
      <c r="Y20" s="104">
        <v>307</v>
      </c>
      <c r="Z20" s="104">
        <v>-478</v>
      </c>
      <c r="AA20" s="104">
        <v>-527</v>
      </c>
      <c r="AB20" s="104">
        <v>-390</v>
      </c>
      <c r="AC20" s="104">
        <v>-343</v>
      </c>
      <c r="AD20" s="104">
        <v>-360</v>
      </c>
      <c r="AE20" s="104">
        <v>-672</v>
      </c>
      <c r="AF20" s="104">
        <v>-456</v>
      </c>
      <c r="AG20" s="104">
        <v>-542</v>
      </c>
      <c r="AH20" s="104">
        <v>-691</v>
      </c>
      <c r="AI20" s="104">
        <v>-653</v>
      </c>
      <c r="AJ20" s="104">
        <v>-352</v>
      </c>
      <c r="AK20" s="104">
        <v>0</v>
      </c>
      <c r="AL20" s="104">
        <v>-268</v>
      </c>
      <c r="AM20" s="104">
        <v>-4019</v>
      </c>
      <c r="AN20" s="104">
        <v>-538</v>
      </c>
      <c r="AO20" s="104">
        <v>153</v>
      </c>
      <c r="AP20" s="104">
        <v>-352</v>
      </c>
      <c r="AQ20" s="104">
        <v>-3471</v>
      </c>
      <c r="AR20" s="104">
        <v>-232</v>
      </c>
      <c r="AS20" s="104">
        <v>-6501</v>
      </c>
      <c r="AT20" s="104">
        <v>-5133</v>
      </c>
      <c r="AU20" s="104">
        <v>-4489</v>
      </c>
      <c r="AV20" s="104">
        <v>-3411</v>
      </c>
      <c r="AW20" s="104">
        <v>-1713</v>
      </c>
      <c r="AX20" s="104">
        <v>-15562</v>
      </c>
      <c r="AY20" s="104">
        <v>-20735</v>
      </c>
      <c r="AZ20" s="104">
        <v>-28940</v>
      </c>
      <c r="BA20" s="104">
        <v>-20824</v>
      </c>
      <c r="BB20" s="104">
        <v>-29058</v>
      </c>
      <c r="BC20" s="104">
        <v>-33520</v>
      </c>
      <c r="BD20" s="104">
        <v>-9497</v>
      </c>
      <c r="BE20" s="104">
        <v>-9121</v>
      </c>
      <c r="BF20" s="104">
        <v>-16713</v>
      </c>
      <c r="BG20" s="104">
        <f t="shared" si="0"/>
        <v>-19264</v>
      </c>
      <c r="BH20" s="104">
        <v>-16316</v>
      </c>
      <c r="BI20" s="104">
        <v>-12620</v>
      </c>
      <c r="BJ20" s="104">
        <v>-23125</v>
      </c>
      <c r="BK20" s="104"/>
      <c r="BL20" s="104">
        <v>-4854</v>
      </c>
      <c r="BM20" s="104">
        <v>-4395</v>
      </c>
      <c r="BN20" s="104">
        <v>-6371</v>
      </c>
      <c r="BO20" s="104">
        <v>-18371</v>
      </c>
      <c r="BP20" s="104">
        <v>-22591</v>
      </c>
      <c r="BQ20" s="104">
        <v>-1062</v>
      </c>
      <c r="BR20" s="104">
        <v>-1765</v>
      </c>
      <c r="BS20" s="104">
        <v>-2342</v>
      </c>
      <c r="BT20" s="104">
        <v>-4639</v>
      </c>
      <c r="BU20" s="104">
        <v>-4208</v>
      </c>
      <c r="BV20" s="104">
        <v>-16355</v>
      </c>
      <c r="BW20" s="104">
        <v>-41421</v>
      </c>
      <c r="BX20" s="104">
        <v>-112342</v>
      </c>
      <c r="BY20" s="104">
        <v>-54595</v>
      </c>
      <c r="BZ20" s="103">
        <f t="shared" ref="BZ20:BZ21" si="1">SUM(BH20:BK20)</f>
        <v>-52061</v>
      </c>
    </row>
    <row r="21" spans="1:78">
      <c r="B21" s="165" t="s">
        <v>411</v>
      </c>
      <c r="C21" s="195" t="s">
        <v>121</v>
      </c>
      <c r="D21" s="103">
        <v>-777</v>
      </c>
      <c r="E21" s="103">
        <v>-187</v>
      </c>
      <c r="F21" s="103">
        <v>-785</v>
      </c>
      <c r="G21" s="103">
        <v>4112</v>
      </c>
      <c r="H21" s="103">
        <v>298</v>
      </c>
      <c r="I21" s="103">
        <v>188</v>
      </c>
      <c r="J21" s="103">
        <v>-145</v>
      </c>
      <c r="K21" s="103">
        <v>3115</v>
      </c>
      <c r="L21" s="103">
        <v>-869</v>
      </c>
      <c r="M21" s="103">
        <v>186</v>
      </c>
      <c r="N21" s="103">
        <v>241</v>
      </c>
      <c r="O21" s="103">
        <v>3794</v>
      </c>
      <c r="P21" s="103">
        <v>-560</v>
      </c>
      <c r="Q21" s="103">
        <v>-1505</v>
      </c>
      <c r="R21" s="103">
        <v>-3706</v>
      </c>
      <c r="S21" s="103">
        <v>7554</v>
      </c>
      <c r="T21" s="103">
        <v>-2176</v>
      </c>
      <c r="U21" s="103">
        <v>-4004</v>
      </c>
      <c r="V21" s="103">
        <v>-3904</v>
      </c>
      <c r="W21" s="103">
        <v>29948</v>
      </c>
      <c r="X21" s="103">
        <v>6318</v>
      </c>
      <c r="Y21" s="103">
        <v>2046</v>
      </c>
      <c r="Z21" s="103">
        <v>-3245</v>
      </c>
      <c r="AA21" s="103">
        <v>7651</v>
      </c>
      <c r="AB21" s="103">
        <v>3465</v>
      </c>
      <c r="AC21" s="103">
        <v>3060</v>
      </c>
      <c r="AD21" s="103">
        <v>-468</v>
      </c>
      <c r="AE21" s="103">
        <v>12215</v>
      </c>
      <c r="AF21" s="103">
        <v>1792</v>
      </c>
      <c r="AG21" s="103">
        <v>3274</v>
      </c>
      <c r="AH21" s="103">
        <v>2303</v>
      </c>
      <c r="AI21" s="103">
        <v>-2084</v>
      </c>
      <c r="AJ21" s="103">
        <v>-416</v>
      </c>
      <c r="AK21" s="103">
        <v>-265</v>
      </c>
      <c r="AL21" s="103">
        <v>-429</v>
      </c>
      <c r="AM21" s="103">
        <v>-1250</v>
      </c>
      <c r="AN21" s="103">
        <v>-2664</v>
      </c>
      <c r="AO21" s="103">
        <v>-5694</v>
      </c>
      <c r="AP21" s="103">
        <v>3</v>
      </c>
      <c r="AQ21" s="103">
        <v>2609</v>
      </c>
      <c r="AR21" s="103">
        <v>-3990</v>
      </c>
      <c r="AS21" s="103">
        <v>-1067</v>
      </c>
      <c r="AT21" s="103">
        <v>-1785</v>
      </c>
      <c r="AU21" s="103">
        <v>1684</v>
      </c>
      <c r="AV21" s="103">
        <v>-5159</v>
      </c>
      <c r="AW21" s="103">
        <v>-332</v>
      </c>
      <c r="AX21" s="103">
        <v>-194</v>
      </c>
      <c r="AY21" s="103">
        <v>-5220</v>
      </c>
      <c r="AZ21" s="103">
        <v>-11603</v>
      </c>
      <c r="BA21" s="103">
        <v>-6002</v>
      </c>
      <c r="BB21" s="103">
        <v>-8653</v>
      </c>
      <c r="BC21" s="103">
        <v>1336</v>
      </c>
      <c r="BD21" s="103">
        <v>-11039</v>
      </c>
      <c r="BE21" s="103">
        <v>-2155</v>
      </c>
      <c r="BF21" s="103">
        <v>1093</v>
      </c>
      <c r="BG21" s="103">
        <f t="shared" si="0"/>
        <v>6194</v>
      </c>
      <c r="BH21" s="103">
        <v>-11550</v>
      </c>
      <c r="BI21" s="103">
        <v>-5006</v>
      </c>
      <c r="BJ21" s="103">
        <v>-95</v>
      </c>
      <c r="BK21" s="103"/>
      <c r="BL21" s="103">
        <v>2363</v>
      </c>
      <c r="BM21" s="103">
        <v>3456</v>
      </c>
      <c r="BN21" s="103">
        <v>3352</v>
      </c>
      <c r="BO21" s="103">
        <v>1783</v>
      </c>
      <c r="BP21" s="103">
        <v>19864</v>
      </c>
      <c r="BQ21" s="103">
        <v>12770</v>
      </c>
      <c r="BR21" s="103">
        <v>18272</v>
      </c>
      <c r="BS21" s="103">
        <v>5285</v>
      </c>
      <c r="BT21" s="103">
        <v>-2360</v>
      </c>
      <c r="BU21" s="103">
        <v>-5746</v>
      </c>
      <c r="BV21" s="103">
        <v>-5158</v>
      </c>
      <c r="BW21" s="103">
        <v>-10905</v>
      </c>
      <c r="BX21" s="103">
        <v>-24922</v>
      </c>
      <c r="BY21" s="103">
        <v>-5907</v>
      </c>
      <c r="BZ21" s="103">
        <f t="shared" si="1"/>
        <v>-16651</v>
      </c>
    </row>
    <row r="22" spans="1:78">
      <c r="B22" s="107" t="s">
        <v>412</v>
      </c>
      <c r="C22" s="193" t="s">
        <v>122</v>
      </c>
      <c r="D22" s="112">
        <v>-2511</v>
      </c>
      <c r="E22" s="112">
        <v>-496</v>
      </c>
      <c r="F22" s="112">
        <v>-2425</v>
      </c>
      <c r="G22" s="112">
        <v>2941</v>
      </c>
      <c r="H22" s="112">
        <v>298</v>
      </c>
      <c r="I22" s="112">
        <v>-391</v>
      </c>
      <c r="J22" s="112">
        <v>-1928</v>
      </c>
      <c r="K22" s="112">
        <v>1082</v>
      </c>
      <c r="L22" s="112">
        <v>-2915</v>
      </c>
      <c r="M22" s="112">
        <v>531</v>
      </c>
      <c r="N22" s="112">
        <v>-77</v>
      </c>
      <c r="O22" s="112">
        <v>-558</v>
      </c>
      <c r="P22" s="112">
        <v>-2077</v>
      </c>
      <c r="Q22" s="112">
        <v>-5210</v>
      </c>
      <c r="R22" s="112">
        <v>-12826</v>
      </c>
      <c r="S22" s="112">
        <v>3525</v>
      </c>
      <c r="T22" s="112">
        <v>-6596</v>
      </c>
      <c r="U22" s="112">
        <v>-13711</v>
      </c>
      <c r="V22" s="112">
        <v>-13322</v>
      </c>
      <c r="W22" s="112">
        <v>30902</v>
      </c>
      <c r="X22" s="112">
        <v>5954</v>
      </c>
      <c r="Y22" s="112">
        <v>2353</v>
      </c>
      <c r="Z22" s="112">
        <v>-3723</v>
      </c>
      <c r="AA22" s="112">
        <v>7124</v>
      </c>
      <c r="AB22" s="112">
        <v>3075</v>
      </c>
      <c r="AC22" s="112">
        <v>2717</v>
      </c>
      <c r="AD22" s="112">
        <v>-828</v>
      </c>
      <c r="AE22" s="112">
        <v>11543</v>
      </c>
      <c r="AF22" s="112">
        <v>1336</v>
      </c>
      <c r="AG22" s="112">
        <v>2732</v>
      </c>
      <c r="AH22" s="112">
        <v>1612</v>
      </c>
      <c r="AI22" s="112">
        <v>-2737</v>
      </c>
      <c r="AJ22" s="112">
        <v>-768</v>
      </c>
      <c r="AK22" s="112">
        <v>-265</v>
      </c>
      <c r="AL22" s="112">
        <v>-697</v>
      </c>
      <c r="AM22" s="112">
        <v>-5269</v>
      </c>
      <c r="AN22" s="112">
        <v>-3202</v>
      </c>
      <c r="AO22" s="112">
        <v>-5541</v>
      </c>
      <c r="AP22" s="112">
        <v>-349</v>
      </c>
      <c r="AQ22" s="112">
        <v>-862</v>
      </c>
      <c r="AR22" s="112">
        <v>-4222</v>
      </c>
      <c r="AS22" s="112">
        <v>-7568</v>
      </c>
      <c r="AT22" s="112">
        <v>-6918</v>
      </c>
      <c r="AU22" s="112">
        <v>-2805</v>
      </c>
      <c r="AV22" s="112">
        <v>-8570</v>
      </c>
      <c r="AW22" s="112">
        <v>-2045</v>
      </c>
      <c r="AX22" s="112">
        <v>-15756</v>
      </c>
      <c r="AY22" s="112">
        <v>-25955</v>
      </c>
      <c r="AZ22" s="112">
        <v>-40543</v>
      </c>
      <c r="BA22" s="112">
        <v>-26826</v>
      </c>
      <c r="BB22" s="112">
        <v>-37711</v>
      </c>
      <c r="BC22" s="112">
        <v>-32184</v>
      </c>
      <c r="BD22" s="112">
        <v>-20536</v>
      </c>
      <c r="BE22" s="112">
        <v>-11276</v>
      </c>
      <c r="BF22" s="112">
        <v>-15620</v>
      </c>
      <c r="BG22" s="112">
        <f>+BG20+BG21</f>
        <v>-13070</v>
      </c>
      <c r="BH22" s="112">
        <f>+BH20+BH21</f>
        <v>-27866</v>
      </c>
      <c r="BI22" s="112">
        <f>+BI20+BI21</f>
        <v>-17626</v>
      </c>
      <c r="BJ22" s="112">
        <f>+BJ20+BJ21</f>
        <v>-23220</v>
      </c>
      <c r="BK22" s="112"/>
      <c r="BL22" s="112">
        <v>-2491</v>
      </c>
      <c r="BM22" s="112">
        <v>-939</v>
      </c>
      <c r="BN22" s="112">
        <v>-3019</v>
      </c>
      <c r="BO22" s="112">
        <v>-16588</v>
      </c>
      <c r="BP22" s="112">
        <v>-2727</v>
      </c>
      <c r="BQ22" s="112">
        <v>11708</v>
      </c>
      <c r="BR22" s="112">
        <v>16507</v>
      </c>
      <c r="BS22" s="112">
        <v>2943</v>
      </c>
      <c r="BT22" s="112">
        <v>-6999</v>
      </c>
      <c r="BU22" s="112">
        <v>-9954</v>
      </c>
      <c r="BV22" s="112">
        <v>-21513</v>
      </c>
      <c r="BW22" s="112">
        <v>-52326</v>
      </c>
      <c r="BX22" s="112">
        <v>-137264</v>
      </c>
      <c r="BY22" s="112">
        <f>+BY20+BY21</f>
        <v>-60502</v>
      </c>
      <c r="BZ22" s="112">
        <f>+BZ20+BZ21</f>
        <v>-68712</v>
      </c>
    </row>
    <row r="23" spans="1:78">
      <c r="A23" s="3"/>
      <c r="B23" s="108"/>
      <c r="C23" s="194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</row>
    <row r="24" spans="1:78">
      <c r="B24" s="107" t="s">
        <v>413</v>
      </c>
      <c r="C24" s="193" t="s">
        <v>123</v>
      </c>
      <c r="D24" s="112">
        <v>-1364</v>
      </c>
      <c r="E24" s="112">
        <v>3675</v>
      </c>
      <c r="F24" s="112">
        <v>7036</v>
      </c>
      <c r="G24" s="112">
        <v>18289</v>
      </c>
      <c r="H24" s="112">
        <v>-3155</v>
      </c>
      <c r="I24" s="112">
        <v>6206</v>
      </c>
      <c r="J24" s="112">
        <v>8164</v>
      </c>
      <c r="K24" s="112">
        <v>17039</v>
      </c>
      <c r="L24" s="112">
        <v>3419</v>
      </c>
      <c r="M24" s="112">
        <v>561</v>
      </c>
      <c r="N24" s="112">
        <v>7255</v>
      </c>
      <c r="O24" s="112">
        <v>20046</v>
      </c>
      <c r="P24" s="112">
        <v>8600</v>
      </c>
      <c r="Q24" s="112">
        <v>8699</v>
      </c>
      <c r="R24" s="112">
        <v>19751</v>
      </c>
      <c r="S24" s="112">
        <v>25048</v>
      </c>
      <c r="T24" s="112">
        <v>23774</v>
      </c>
      <c r="U24" s="112">
        <v>25067</v>
      </c>
      <c r="V24" s="112">
        <v>34247</v>
      </c>
      <c r="W24" s="112">
        <v>49596</v>
      </c>
      <c r="X24" s="112">
        <v>-14281</v>
      </c>
      <c r="Y24" s="112">
        <v>648</v>
      </c>
      <c r="Z24" s="112">
        <v>6743</v>
      </c>
      <c r="AA24" s="112">
        <v>13127</v>
      </c>
      <c r="AB24" s="112">
        <v>-5728</v>
      </c>
      <c r="AC24" s="112">
        <v>-7522</v>
      </c>
      <c r="AD24" s="112">
        <v>2326</v>
      </c>
      <c r="AE24" s="112">
        <v>-11200</v>
      </c>
      <c r="AF24" s="112">
        <v>-5802</v>
      </c>
      <c r="AG24" s="112">
        <v>-5218</v>
      </c>
      <c r="AH24" s="112">
        <v>-3834</v>
      </c>
      <c r="AI24" s="112">
        <v>-19403</v>
      </c>
      <c r="AJ24" s="112">
        <v>-10604</v>
      </c>
      <c r="AK24" s="112">
        <v>-13983</v>
      </c>
      <c r="AL24" s="112">
        <v>4105</v>
      </c>
      <c r="AM24" s="112">
        <v>28748</v>
      </c>
      <c r="AN24" s="112">
        <v>4082</v>
      </c>
      <c r="AO24" s="112">
        <v>-3518</v>
      </c>
      <c r="AP24" s="112">
        <v>15899</v>
      </c>
      <c r="AQ24" s="112">
        <v>21109</v>
      </c>
      <c r="AR24" s="112">
        <v>8749</v>
      </c>
      <c r="AS24" s="112">
        <v>15198</v>
      </c>
      <c r="AT24" s="112">
        <v>22958</v>
      </c>
      <c r="AU24" s="112">
        <v>20745</v>
      </c>
      <c r="AV24" s="112">
        <v>17208</v>
      </c>
      <c r="AW24" s="112">
        <v>11823</v>
      </c>
      <c r="AX24" s="112">
        <v>41133</v>
      </c>
      <c r="AY24" s="112">
        <v>84471</v>
      </c>
      <c r="AZ24" s="112">
        <v>93640</v>
      </c>
      <c r="BA24" s="112">
        <v>60168</v>
      </c>
      <c r="BB24" s="112">
        <v>115648</v>
      </c>
      <c r="BC24" s="112">
        <v>113012</v>
      </c>
      <c r="BD24" s="112">
        <v>51241</v>
      </c>
      <c r="BE24" s="112">
        <v>33358</v>
      </c>
      <c r="BF24" s="112">
        <v>66591</v>
      </c>
      <c r="BG24" s="112">
        <f>+BG19+BG22</f>
        <v>94024</v>
      </c>
      <c r="BH24" s="112">
        <f>+BH19+BH22</f>
        <v>52156</v>
      </c>
      <c r="BI24" s="112">
        <f>+BI19+BI22</f>
        <v>37004</v>
      </c>
      <c r="BJ24" s="112">
        <f>+BJ19+BJ22</f>
        <v>59641</v>
      </c>
      <c r="BK24" s="112"/>
      <c r="BL24" s="112">
        <v>27636</v>
      </c>
      <c r="BM24" s="112">
        <v>28254</v>
      </c>
      <c r="BN24" s="112">
        <v>31281</v>
      </c>
      <c r="BO24" s="112">
        <v>62098</v>
      </c>
      <c r="BP24" s="112">
        <v>132684</v>
      </c>
      <c r="BQ24" s="112">
        <v>6237</v>
      </c>
      <c r="BR24" s="112">
        <v>-22124</v>
      </c>
      <c r="BS24" s="112">
        <v>-34257</v>
      </c>
      <c r="BT24" s="112">
        <v>8266</v>
      </c>
      <c r="BU24" s="112">
        <v>37572</v>
      </c>
      <c r="BV24" s="112">
        <v>67650</v>
      </c>
      <c r="BW24" s="112">
        <v>154635</v>
      </c>
      <c r="BX24" s="112">
        <v>382468</v>
      </c>
      <c r="BY24" s="112">
        <f>+BY19+BY22</f>
        <v>245214</v>
      </c>
      <c r="BZ24" s="112">
        <f>+BZ19+BZ22</f>
        <v>148801</v>
      </c>
    </row>
    <row r="25" spans="1:78" ht="15.75" thickBot="1">
      <c r="B25" s="100"/>
      <c r="C25" s="196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</row>
    <row r="26" spans="1:78">
      <c r="B26" s="110"/>
      <c r="C26" s="197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</row>
    <row r="27" spans="1:78">
      <c r="B27" s="107" t="s">
        <v>414</v>
      </c>
      <c r="C27" s="193" t="s">
        <v>59</v>
      </c>
      <c r="D27" s="112">
        <v>-828</v>
      </c>
      <c r="E27" s="112">
        <v>-21</v>
      </c>
      <c r="F27" s="112">
        <v>-459</v>
      </c>
      <c r="G27" s="112">
        <v>-924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f t="shared" ref="BG27" si="2">+BY27-SUM(BD27:BF27)</f>
        <v>0</v>
      </c>
      <c r="BH27" s="112">
        <v>0</v>
      </c>
      <c r="BI27" s="112">
        <v>0</v>
      </c>
      <c r="BJ27" s="112">
        <v>0</v>
      </c>
      <c r="BK27" s="112"/>
      <c r="BL27" s="112">
        <v>-2232</v>
      </c>
      <c r="BM27" s="112">
        <v>0</v>
      </c>
      <c r="BN27" s="112">
        <v>0</v>
      </c>
      <c r="BO27" s="112">
        <v>0</v>
      </c>
      <c r="BP27" s="112">
        <v>0</v>
      </c>
      <c r="BQ27" s="112">
        <v>0</v>
      </c>
      <c r="BR27" s="112">
        <v>0</v>
      </c>
      <c r="BS27" s="112">
        <v>0</v>
      </c>
      <c r="BT27" s="112">
        <v>0</v>
      </c>
      <c r="BU27" s="112">
        <v>0</v>
      </c>
      <c r="BV27" s="112">
        <v>0</v>
      </c>
      <c r="BW27" s="112">
        <v>0</v>
      </c>
      <c r="BX27" s="112">
        <v>0</v>
      </c>
      <c r="BY27" s="112">
        <v>0</v>
      </c>
      <c r="BZ27" s="112">
        <v>0</v>
      </c>
    </row>
    <row r="28" spans="1:78">
      <c r="B28" s="111"/>
      <c r="C28" s="198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</row>
    <row r="29" spans="1:78">
      <c r="B29" s="107" t="s">
        <v>415</v>
      </c>
      <c r="C29" s="193" t="s">
        <v>60</v>
      </c>
      <c r="D29" s="112">
        <v>-2192</v>
      </c>
      <c r="E29" s="112">
        <v>3654</v>
      </c>
      <c r="F29" s="112">
        <v>6577</v>
      </c>
      <c r="G29" s="112">
        <v>17365</v>
      </c>
      <c r="H29" s="112">
        <v>-3155</v>
      </c>
      <c r="I29" s="112">
        <v>6206</v>
      </c>
      <c r="J29" s="112">
        <v>8164</v>
      </c>
      <c r="K29" s="112">
        <v>17039</v>
      </c>
      <c r="L29" s="112">
        <v>3419</v>
      </c>
      <c r="M29" s="112">
        <v>561</v>
      </c>
      <c r="N29" s="112">
        <v>7255</v>
      </c>
      <c r="O29" s="112">
        <v>20046</v>
      </c>
      <c r="P29" s="112">
        <v>8600</v>
      </c>
      <c r="Q29" s="112">
        <v>8699</v>
      </c>
      <c r="R29" s="112">
        <v>19751</v>
      </c>
      <c r="S29" s="112">
        <v>25048</v>
      </c>
      <c r="T29" s="112">
        <v>23774</v>
      </c>
      <c r="U29" s="112">
        <v>25067</v>
      </c>
      <c r="V29" s="112">
        <v>34247</v>
      </c>
      <c r="W29" s="112">
        <v>49596</v>
      </c>
      <c r="X29" s="112">
        <v>-14281</v>
      </c>
      <c r="Y29" s="112">
        <v>648</v>
      </c>
      <c r="Z29" s="112">
        <v>6743</v>
      </c>
      <c r="AA29" s="112">
        <v>13127</v>
      </c>
      <c r="AB29" s="112">
        <v>-5728</v>
      </c>
      <c r="AC29" s="112">
        <v>-7522</v>
      </c>
      <c r="AD29" s="112">
        <v>2326</v>
      </c>
      <c r="AE29" s="112">
        <v>-11200</v>
      </c>
      <c r="AF29" s="112">
        <v>-5802</v>
      </c>
      <c r="AG29" s="112">
        <v>-5218</v>
      </c>
      <c r="AH29" s="112">
        <v>-3834</v>
      </c>
      <c r="AI29" s="112">
        <v>-19403</v>
      </c>
      <c r="AJ29" s="112">
        <v>-10604</v>
      </c>
      <c r="AK29" s="112">
        <v>-13983</v>
      </c>
      <c r="AL29" s="112">
        <v>4105</v>
      </c>
      <c r="AM29" s="112">
        <v>28748</v>
      </c>
      <c r="AN29" s="112">
        <v>4082</v>
      </c>
      <c r="AO29" s="112">
        <v>-3518</v>
      </c>
      <c r="AP29" s="112">
        <v>15899</v>
      </c>
      <c r="AQ29" s="112">
        <v>21109</v>
      </c>
      <c r="AR29" s="112">
        <v>8749</v>
      </c>
      <c r="AS29" s="112">
        <v>15198</v>
      </c>
      <c r="AT29" s="112">
        <v>22958</v>
      </c>
      <c r="AU29" s="112">
        <v>20745</v>
      </c>
      <c r="AV29" s="112">
        <v>17208</v>
      </c>
      <c r="AW29" s="112">
        <v>11823</v>
      </c>
      <c r="AX29" s="112">
        <v>41133</v>
      </c>
      <c r="AY29" s="112">
        <v>84471</v>
      </c>
      <c r="AZ29" s="112">
        <v>93640</v>
      </c>
      <c r="BA29" s="112">
        <v>60168</v>
      </c>
      <c r="BB29" s="112">
        <v>115648</v>
      </c>
      <c r="BC29" s="112">
        <v>113012</v>
      </c>
      <c r="BD29" s="112">
        <v>51241</v>
      </c>
      <c r="BE29" s="112">
        <v>33358</v>
      </c>
      <c r="BF29" s="112">
        <v>66591</v>
      </c>
      <c r="BG29" s="112">
        <f>+BG24+BG27</f>
        <v>94024</v>
      </c>
      <c r="BH29" s="112">
        <f>+BH24+BH27</f>
        <v>52156</v>
      </c>
      <c r="BI29" s="112">
        <f>+BI24+BI27</f>
        <v>37004</v>
      </c>
      <c r="BJ29" s="112">
        <f>+BJ24+BJ27</f>
        <v>59641</v>
      </c>
      <c r="BK29" s="112"/>
      <c r="BL29" s="112">
        <v>25404</v>
      </c>
      <c r="BM29" s="112">
        <v>28254</v>
      </c>
      <c r="BN29" s="112">
        <v>31281</v>
      </c>
      <c r="BO29" s="112">
        <v>62098</v>
      </c>
      <c r="BP29" s="112">
        <v>132684</v>
      </c>
      <c r="BQ29" s="112">
        <v>6237</v>
      </c>
      <c r="BR29" s="112">
        <v>-22124</v>
      </c>
      <c r="BS29" s="112">
        <v>-34257</v>
      </c>
      <c r="BT29" s="112">
        <v>8266</v>
      </c>
      <c r="BU29" s="112">
        <v>37572</v>
      </c>
      <c r="BV29" s="112">
        <v>67650</v>
      </c>
      <c r="BW29" s="112">
        <v>154635</v>
      </c>
      <c r="BX29" s="112">
        <v>382468</v>
      </c>
      <c r="BY29" s="112">
        <f>+BY24+BY27</f>
        <v>245214</v>
      </c>
      <c r="BZ29" s="112">
        <f>+BZ24+BZ27</f>
        <v>148801</v>
      </c>
    </row>
    <row r="30" spans="1:78" ht="15.75" thickBot="1">
      <c r="B30" s="100"/>
      <c r="C30" s="196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</row>
    <row r="31" spans="1:78">
      <c r="D31" s="114"/>
    </row>
  </sheetData>
  <mergeCells count="17">
    <mergeCell ref="BU3:BU4"/>
    <mergeCell ref="B3:B4"/>
    <mergeCell ref="C3:C4"/>
    <mergeCell ref="BL3:BL4"/>
    <mergeCell ref="BM3:BM4"/>
    <mergeCell ref="BN3:BN4"/>
    <mergeCell ref="BO3:BO4"/>
    <mergeCell ref="BP3:BP4"/>
    <mergeCell ref="BQ3:BQ4"/>
    <mergeCell ref="BR3:BR4"/>
    <mergeCell ref="BS3:BS4"/>
    <mergeCell ref="BT3:BT4"/>
    <mergeCell ref="BV3:BV4"/>
    <mergeCell ref="BW3:BW4"/>
    <mergeCell ref="BX3:BX4"/>
    <mergeCell ref="BY3:BY4"/>
    <mergeCell ref="BZ3:BZ4"/>
  </mergeCells>
  <phoneticPr fontId="0" type="noConversion"/>
  <pageMargins left="0" right="0" top="0.78740157480314965" bottom="0.78740157480314965" header="0.31496062992125984" footer="0.31496062992125984"/>
  <pageSetup paperSize="9" scale="80" orientation="landscape" r:id="rId1"/>
  <headerFooter>
    <oddHeader>&amp;A</oddHeader>
    <oddFooter>&amp;F</oddFooter>
  </headerFooter>
  <ignoredErrors>
    <ignoredError sqref="BG8:BG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theme="3" tint="-0.249977111117893"/>
  </sheetPr>
  <dimension ref="B1:CB82"/>
  <sheetViews>
    <sheetView showGridLines="0" zoomScale="85" zoomScaleNormal="85" workbookViewId="0">
      <pane xSplit="3" ySplit="7" topLeftCell="BH29" activePane="bottomRight" state="frozen"/>
      <selection activeCell="B20" sqref="B20"/>
      <selection pane="topRight" activeCell="B20" sqref="B20"/>
      <selection pane="bottomLeft" activeCell="B20" sqref="B20"/>
      <selection pane="bottomRight" activeCell="BJ61" sqref="BJ61"/>
    </sheetView>
  </sheetViews>
  <sheetFormatPr defaultColWidth="9.140625" defaultRowHeight="12.75" outlineLevelRow="1" outlineLevelCol="1"/>
  <cols>
    <col min="1" max="1" width="7.7109375" style="43" customWidth="1"/>
    <col min="2" max="2" width="61.28515625" style="43" bestFit="1" customWidth="1"/>
    <col min="3" max="3" width="61.42578125" style="43" bestFit="1" customWidth="1"/>
    <col min="4" max="4" width="11.140625" style="66" customWidth="1" outlineLevel="1"/>
    <col min="5" max="5" width="11.5703125" style="66" customWidth="1" outlineLevel="1"/>
    <col min="6" max="7" width="12.140625" style="66" customWidth="1" outlineLevel="1"/>
    <col min="8" max="8" width="11.140625" style="66" customWidth="1" outlineLevel="1"/>
    <col min="9" max="15" width="12.140625" style="66" customWidth="1" outlineLevel="1"/>
    <col min="16" max="16" width="11.140625" style="66" customWidth="1" outlineLevel="1"/>
    <col min="17" max="17" width="12.140625" style="78" customWidth="1" outlineLevel="1"/>
    <col min="18" max="19" width="12.140625" style="66" customWidth="1" outlineLevel="1"/>
    <col min="20" max="20" width="11.5703125" style="66" customWidth="1" outlineLevel="1"/>
    <col min="21" max="23" width="12.140625" style="66" customWidth="1" outlineLevel="1"/>
    <col min="24" max="24" width="11.5703125" style="66" customWidth="1" outlineLevel="1"/>
    <col min="25" max="46" width="12.140625" style="66" customWidth="1" outlineLevel="1"/>
    <col min="47" max="47" width="12.5703125" style="66" customWidth="1" outlineLevel="1"/>
    <col min="48" max="48" width="12.140625" style="66" customWidth="1" outlineLevel="1" collapsed="1"/>
    <col min="49" max="50" width="12.5703125" style="66" customWidth="1" outlineLevel="1"/>
    <col min="51" max="51" width="13.28515625" style="66" customWidth="1" outlineLevel="1"/>
    <col min="52" max="55" width="16.7109375" style="66" customWidth="1" outlineLevel="1"/>
    <col min="56" max="61" width="16.7109375" style="66" customWidth="1"/>
    <col min="62" max="62" width="14" style="66" customWidth="1"/>
    <col min="63" max="63" width="14" style="66" hidden="1" customWidth="1"/>
    <col min="64" max="74" width="14" style="66" customWidth="1" outlineLevel="1"/>
    <col min="75" max="75" width="14" style="66" customWidth="1" outlineLevel="1" collapsed="1"/>
    <col min="76" max="76" width="16.7109375" style="66" customWidth="1" outlineLevel="1"/>
    <col min="77" max="78" width="16.7109375" style="66" customWidth="1"/>
    <col min="79" max="16384" width="9.140625" style="43"/>
  </cols>
  <sheetData>
    <row r="1" spans="2:80" ht="15" customHeight="1">
      <c r="C1" s="44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2:80" ht="15" customHeight="1" thickBot="1">
      <c r="C2" s="126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2:80" ht="12.75" customHeight="1">
      <c r="B3" s="255" t="s">
        <v>416</v>
      </c>
      <c r="C3" s="257" t="s">
        <v>261</v>
      </c>
      <c r="D3" s="125" t="s">
        <v>289</v>
      </c>
      <c r="E3" s="125" t="s">
        <v>290</v>
      </c>
      <c r="F3" s="125" t="s">
        <v>291</v>
      </c>
      <c r="G3" s="125" t="s">
        <v>293</v>
      </c>
      <c r="H3" s="125" t="s">
        <v>292</v>
      </c>
      <c r="I3" s="125" t="s">
        <v>294</v>
      </c>
      <c r="J3" s="125" t="s">
        <v>295</v>
      </c>
      <c r="K3" s="125" t="s">
        <v>296</v>
      </c>
      <c r="L3" s="125" t="s">
        <v>297</v>
      </c>
      <c r="M3" s="125" t="s">
        <v>298</v>
      </c>
      <c r="N3" s="125" t="s">
        <v>299</v>
      </c>
      <c r="O3" s="125" t="s">
        <v>300</v>
      </c>
      <c r="P3" s="125" t="s">
        <v>301</v>
      </c>
      <c r="Q3" s="125" t="s">
        <v>302</v>
      </c>
      <c r="R3" s="125" t="s">
        <v>303</v>
      </c>
      <c r="S3" s="125" t="s">
        <v>304</v>
      </c>
      <c r="T3" s="125" t="s">
        <v>305</v>
      </c>
      <c r="U3" s="125" t="s">
        <v>306</v>
      </c>
      <c r="V3" s="125" t="s">
        <v>307</v>
      </c>
      <c r="W3" s="125" t="s">
        <v>308</v>
      </c>
      <c r="X3" s="125" t="s">
        <v>309</v>
      </c>
      <c r="Y3" s="125" t="s">
        <v>310</v>
      </c>
      <c r="Z3" s="125" t="s">
        <v>311</v>
      </c>
      <c r="AA3" s="125" t="s">
        <v>312</v>
      </c>
      <c r="AB3" s="125" t="s">
        <v>313</v>
      </c>
      <c r="AC3" s="125" t="s">
        <v>314</v>
      </c>
      <c r="AD3" s="125" t="s">
        <v>315</v>
      </c>
      <c r="AE3" s="125" t="s">
        <v>316</v>
      </c>
      <c r="AF3" s="125" t="s">
        <v>317</v>
      </c>
      <c r="AG3" s="125" t="s">
        <v>318</v>
      </c>
      <c r="AH3" s="125" t="s">
        <v>319</v>
      </c>
      <c r="AI3" s="125" t="s">
        <v>320</v>
      </c>
      <c r="AJ3" s="125" t="s">
        <v>321</v>
      </c>
      <c r="AK3" s="125" t="s">
        <v>322</v>
      </c>
      <c r="AL3" s="125" t="s">
        <v>323</v>
      </c>
      <c r="AM3" s="125" t="s">
        <v>324</v>
      </c>
      <c r="AN3" s="125" t="s">
        <v>325</v>
      </c>
      <c r="AO3" s="125" t="s">
        <v>326</v>
      </c>
      <c r="AP3" s="125" t="s">
        <v>327</v>
      </c>
      <c r="AQ3" s="125" t="s">
        <v>328</v>
      </c>
      <c r="AR3" s="125" t="s">
        <v>329</v>
      </c>
      <c r="AS3" s="125" t="s">
        <v>330</v>
      </c>
      <c r="AT3" s="125" t="s">
        <v>331</v>
      </c>
      <c r="AU3" s="125" t="s">
        <v>332</v>
      </c>
      <c r="AV3" s="125" t="s">
        <v>333</v>
      </c>
      <c r="AW3" s="125" t="s">
        <v>334</v>
      </c>
      <c r="AX3" s="125" t="s">
        <v>335</v>
      </c>
      <c r="AY3" s="125" t="s">
        <v>336</v>
      </c>
      <c r="AZ3" s="125" t="s">
        <v>337</v>
      </c>
      <c r="BA3" s="253" t="s">
        <v>272</v>
      </c>
      <c r="BB3" s="259" t="s">
        <v>273</v>
      </c>
      <c r="BC3" s="261" t="s">
        <v>274</v>
      </c>
      <c r="BD3" s="125" t="s">
        <v>341</v>
      </c>
      <c r="BE3" s="253" t="s">
        <v>267</v>
      </c>
      <c r="BF3" s="249" t="s">
        <v>266</v>
      </c>
      <c r="BG3" s="251" t="s">
        <v>265</v>
      </c>
      <c r="BH3" s="167" t="s">
        <v>345</v>
      </c>
      <c r="BI3" s="253" t="s">
        <v>264</v>
      </c>
      <c r="BJ3" s="249" t="s">
        <v>275</v>
      </c>
      <c r="BK3" s="125" t="s">
        <v>348</v>
      </c>
      <c r="BL3" s="238">
        <v>2010</v>
      </c>
      <c r="BM3" s="238">
        <v>2011</v>
      </c>
      <c r="BN3" s="238">
        <v>2012</v>
      </c>
      <c r="BO3" s="238">
        <v>2013</v>
      </c>
      <c r="BP3" s="238">
        <v>2014</v>
      </c>
      <c r="BQ3" s="238">
        <v>2015</v>
      </c>
      <c r="BR3" s="238">
        <v>2016</v>
      </c>
      <c r="BS3" s="238">
        <v>2017</v>
      </c>
      <c r="BT3" s="238">
        <v>2018</v>
      </c>
      <c r="BU3" s="238">
        <v>2019</v>
      </c>
      <c r="BV3" s="238">
        <v>2020</v>
      </c>
      <c r="BW3" s="238">
        <v>2021</v>
      </c>
      <c r="BX3" s="238">
        <v>2022</v>
      </c>
      <c r="BY3" s="238">
        <v>2023</v>
      </c>
      <c r="BZ3" s="238">
        <v>2024</v>
      </c>
    </row>
    <row r="4" spans="2:80" s="46" customFormat="1">
      <c r="B4" s="256"/>
      <c r="C4" s="258"/>
      <c r="D4" s="125" t="s">
        <v>58</v>
      </c>
      <c r="E4" s="125" t="s">
        <v>57</v>
      </c>
      <c r="F4" s="125" t="s">
        <v>56</v>
      </c>
      <c r="G4" s="125" t="s">
        <v>47</v>
      </c>
      <c r="H4" s="125" t="s">
        <v>55</v>
      </c>
      <c r="I4" s="125" t="s">
        <v>54</v>
      </c>
      <c r="J4" s="125" t="s">
        <v>53</v>
      </c>
      <c r="K4" s="125" t="s">
        <v>52</v>
      </c>
      <c r="L4" s="125" t="s">
        <v>51</v>
      </c>
      <c r="M4" s="125" t="s">
        <v>50</v>
      </c>
      <c r="N4" s="125" t="s">
        <v>49</v>
      </c>
      <c r="O4" s="125" t="s">
        <v>48</v>
      </c>
      <c r="P4" s="125" t="s">
        <v>10</v>
      </c>
      <c r="Q4" s="125" t="s">
        <v>11</v>
      </c>
      <c r="R4" s="125" t="s">
        <v>12</v>
      </c>
      <c r="S4" s="125" t="s">
        <v>13</v>
      </c>
      <c r="T4" s="125" t="s">
        <v>14</v>
      </c>
      <c r="U4" s="125" t="s">
        <v>15</v>
      </c>
      <c r="V4" s="125" t="s">
        <v>16</v>
      </c>
      <c r="W4" s="125" t="s">
        <v>17</v>
      </c>
      <c r="X4" s="125" t="s">
        <v>18</v>
      </c>
      <c r="Y4" s="125" t="s">
        <v>19</v>
      </c>
      <c r="Z4" s="125" t="s">
        <v>20</v>
      </c>
      <c r="AA4" s="125" t="s">
        <v>21</v>
      </c>
      <c r="AB4" s="125" t="s">
        <v>22</v>
      </c>
      <c r="AC4" s="125" t="s">
        <v>23</v>
      </c>
      <c r="AD4" s="125" t="s">
        <v>24</v>
      </c>
      <c r="AE4" s="125" t="s">
        <v>25</v>
      </c>
      <c r="AF4" s="125" t="s">
        <v>26</v>
      </c>
      <c r="AG4" s="125" t="s">
        <v>27</v>
      </c>
      <c r="AH4" s="125" t="s">
        <v>28</v>
      </c>
      <c r="AI4" s="125" t="s">
        <v>29</v>
      </c>
      <c r="AJ4" s="125" t="s">
        <v>30</v>
      </c>
      <c r="AK4" s="125" t="s">
        <v>31</v>
      </c>
      <c r="AL4" s="125" t="s">
        <v>32</v>
      </c>
      <c r="AM4" s="125" t="s">
        <v>33</v>
      </c>
      <c r="AN4" s="125" t="s">
        <v>34</v>
      </c>
      <c r="AO4" s="125" t="s">
        <v>35</v>
      </c>
      <c r="AP4" s="125" t="s">
        <v>36</v>
      </c>
      <c r="AQ4" s="125" t="s">
        <v>37</v>
      </c>
      <c r="AR4" s="125" t="s">
        <v>3</v>
      </c>
      <c r="AS4" s="125" t="s">
        <v>38</v>
      </c>
      <c r="AT4" s="125" t="s">
        <v>39</v>
      </c>
      <c r="AU4" s="125" t="s">
        <v>8</v>
      </c>
      <c r="AV4" s="125" t="s">
        <v>9</v>
      </c>
      <c r="AW4" s="125" t="s">
        <v>40</v>
      </c>
      <c r="AX4" s="125" t="s">
        <v>41</v>
      </c>
      <c r="AY4" s="125" t="s">
        <v>42</v>
      </c>
      <c r="AZ4" s="125" t="s">
        <v>71</v>
      </c>
      <c r="BA4" s="254"/>
      <c r="BB4" s="260"/>
      <c r="BC4" s="262"/>
      <c r="BD4" s="125" t="s">
        <v>91</v>
      </c>
      <c r="BE4" s="254"/>
      <c r="BF4" s="250"/>
      <c r="BG4" s="252"/>
      <c r="BH4" s="125" t="s">
        <v>256</v>
      </c>
      <c r="BI4" s="254"/>
      <c r="BJ4" s="250"/>
      <c r="BK4" s="125" t="s">
        <v>259</v>
      </c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89"/>
    </row>
    <row r="5" spans="2:80" s="46" customFormat="1">
      <c r="B5" s="174"/>
      <c r="C5" s="169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79"/>
      <c r="Q5" s="79"/>
      <c r="R5" s="79"/>
      <c r="S5" s="80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168"/>
      <c r="BD5" s="77"/>
      <c r="BE5" s="168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</row>
    <row r="6" spans="2:80" s="46" customFormat="1" ht="10.5" customHeight="1">
      <c r="B6" s="175" t="s">
        <v>417</v>
      </c>
      <c r="C6" s="170" t="s">
        <v>181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81"/>
      <c r="Q6" s="81"/>
      <c r="R6" s="81"/>
      <c r="S6" s="82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</row>
    <row r="7" spans="2:80" s="46" customFormat="1">
      <c r="B7" s="176"/>
      <c r="C7" s="17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83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</row>
    <row r="8" spans="2:80" s="46" customFormat="1" ht="18" hidden="1" customHeight="1">
      <c r="B8" s="177" t="s">
        <v>418</v>
      </c>
      <c r="C8" s="107" t="s">
        <v>182</v>
      </c>
      <c r="D8" s="112">
        <v>0</v>
      </c>
      <c r="E8" s="112">
        <v>5318</v>
      </c>
      <c r="F8" s="112">
        <v>14779</v>
      </c>
      <c r="G8" s="112">
        <v>30127</v>
      </c>
      <c r="H8" s="112">
        <v>0</v>
      </c>
      <c r="I8" s="112">
        <v>3144</v>
      </c>
      <c r="J8" s="112">
        <v>13236</v>
      </c>
      <c r="K8" s="112">
        <v>29193</v>
      </c>
      <c r="L8" s="112">
        <v>6334</v>
      </c>
      <c r="M8" s="112">
        <v>6364</v>
      </c>
      <c r="N8" s="112">
        <v>13696</v>
      </c>
      <c r="O8" s="112">
        <v>34300</v>
      </c>
      <c r="P8" s="112">
        <v>10677</v>
      </c>
      <c r="Q8" s="112">
        <v>24586</v>
      </c>
      <c r="R8" s="112">
        <v>57163</v>
      </c>
      <c r="S8" s="112">
        <v>78686</v>
      </c>
      <c r="T8" s="112">
        <v>30370</v>
      </c>
      <c r="U8" s="112">
        <v>69148</v>
      </c>
      <c r="V8" s="112">
        <v>116717</v>
      </c>
      <c r="W8" s="112">
        <v>135411</v>
      </c>
      <c r="X8" s="112">
        <v>-20235</v>
      </c>
      <c r="Y8" s="112">
        <v>-21940</v>
      </c>
      <c r="Z8" s="112">
        <v>-11474</v>
      </c>
      <c r="AA8" s="112">
        <v>-5471</v>
      </c>
      <c r="AB8" s="112">
        <v>-8803</v>
      </c>
      <c r="AC8" s="112">
        <v>-19042</v>
      </c>
      <c r="AD8" s="112">
        <v>-15888</v>
      </c>
      <c r="AE8" s="112">
        <v>-38631</v>
      </c>
      <c r="AF8" s="112">
        <v>-7138</v>
      </c>
      <c r="AG8" s="112">
        <v>-15088</v>
      </c>
      <c r="AH8" s="112">
        <v>-20534</v>
      </c>
      <c r="AI8" s="112">
        <v>-37200</v>
      </c>
      <c r="AJ8" s="112">
        <v>-9836</v>
      </c>
      <c r="AK8" s="112">
        <v>-23554</v>
      </c>
      <c r="AL8" s="112">
        <v>-18752</v>
      </c>
      <c r="AM8" s="112">
        <v>15265</v>
      </c>
      <c r="AN8" s="112">
        <v>7284</v>
      </c>
      <c r="AO8" s="112"/>
      <c r="AP8" s="112">
        <v>25555</v>
      </c>
      <c r="AQ8" s="112">
        <v>0</v>
      </c>
      <c r="AR8" s="112">
        <v>0</v>
      </c>
      <c r="AS8" s="112">
        <v>0</v>
      </c>
      <c r="AT8" s="112">
        <v>0</v>
      </c>
      <c r="AU8" s="112">
        <v>0</v>
      </c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>
        <v>30127</v>
      </c>
      <c r="BM8" s="112">
        <v>29193</v>
      </c>
      <c r="BN8" s="112">
        <v>34300</v>
      </c>
      <c r="BO8" s="112">
        <v>78686</v>
      </c>
      <c r="BP8" s="112">
        <v>135411</v>
      </c>
      <c r="BQ8" s="112">
        <v>-5471</v>
      </c>
      <c r="BR8" s="112">
        <v>-38631</v>
      </c>
      <c r="BS8" s="112">
        <v>-37200</v>
      </c>
      <c r="BT8" s="112">
        <v>15265</v>
      </c>
      <c r="BU8" s="112">
        <v>0</v>
      </c>
      <c r="BV8" s="112">
        <v>0</v>
      </c>
      <c r="BW8" s="112"/>
      <c r="BX8" s="112"/>
      <c r="BY8" s="112"/>
      <c r="BZ8" s="112"/>
    </row>
    <row r="9" spans="2:80" s="46" customFormat="1" ht="18" customHeight="1">
      <c r="B9" s="177" t="s">
        <v>419</v>
      </c>
      <c r="C9" s="107" t="s">
        <v>183</v>
      </c>
      <c r="D9" s="112">
        <v>1147</v>
      </c>
      <c r="E9" s="112">
        <v>0</v>
      </c>
      <c r="F9" s="112">
        <v>0</v>
      </c>
      <c r="G9" s="112">
        <v>0</v>
      </c>
      <c r="H9" s="112">
        <v>-3453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12">
        <v>0</v>
      </c>
      <c r="AA9" s="112">
        <v>0</v>
      </c>
      <c r="AB9" s="112">
        <v>0</v>
      </c>
      <c r="AC9" s="112">
        <v>0</v>
      </c>
      <c r="AD9" s="112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2">
        <v>0</v>
      </c>
      <c r="AK9" s="112">
        <v>0</v>
      </c>
      <c r="AL9" s="112">
        <v>0</v>
      </c>
      <c r="AM9" s="112">
        <v>0</v>
      </c>
      <c r="AN9" s="112">
        <v>0</v>
      </c>
      <c r="AO9" s="112">
        <v>564</v>
      </c>
      <c r="AP9" s="112">
        <v>0</v>
      </c>
      <c r="AQ9" s="112">
        <v>37572</v>
      </c>
      <c r="AR9" s="112">
        <v>8749</v>
      </c>
      <c r="AS9" s="112">
        <v>23947</v>
      </c>
      <c r="AT9" s="112">
        <v>46905</v>
      </c>
      <c r="AU9" s="112">
        <v>67650</v>
      </c>
      <c r="AV9" s="112">
        <v>17208</v>
      </c>
      <c r="AW9" s="112">
        <v>29031</v>
      </c>
      <c r="AX9" s="112">
        <v>70164</v>
      </c>
      <c r="AY9" s="112">
        <v>154635</v>
      </c>
      <c r="AZ9" s="112">
        <v>93640</v>
      </c>
      <c r="BA9" s="112">
        <v>153808</v>
      </c>
      <c r="BB9" s="112">
        <v>269456</v>
      </c>
      <c r="BC9" s="112">
        <v>382468</v>
      </c>
      <c r="BD9" s="112">
        <v>51241</v>
      </c>
      <c r="BE9" s="112">
        <v>84599</v>
      </c>
      <c r="BF9" s="112">
        <v>151190</v>
      </c>
      <c r="BG9" s="112">
        <v>245214</v>
      </c>
      <c r="BH9" s="112">
        <v>52156</v>
      </c>
      <c r="BI9" s="112">
        <v>89160</v>
      </c>
      <c r="BJ9" s="112">
        <v>148801</v>
      </c>
      <c r="BK9" s="112"/>
      <c r="BL9" s="112">
        <v>0</v>
      </c>
      <c r="BM9" s="112">
        <v>0</v>
      </c>
      <c r="BN9" s="112">
        <v>0</v>
      </c>
      <c r="BO9" s="112">
        <v>0</v>
      </c>
      <c r="BP9" s="112">
        <v>0</v>
      </c>
      <c r="BQ9" s="112">
        <v>0</v>
      </c>
      <c r="BR9" s="112">
        <v>0</v>
      </c>
      <c r="BS9" s="112">
        <v>0</v>
      </c>
      <c r="BT9" s="112">
        <v>0</v>
      </c>
      <c r="BU9" s="112">
        <v>37572</v>
      </c>
      <c r="BV9" s="112">
        <v>67650</v>
      </c>
      <c r="BW9" s="112">
        <v>154635</v>
      </c>
      <c r="BX9" s="112">
        <v>382468</v>
      </c>
      <c r="BY9" s="112">
        <f>+BG9</f>
        <v>245214</v>
      </c>
      <c r="BZ9" s="112">
        <f>+BJ9</f>
        <v>148801</v>
      </c>
    </row>
    <row r="10" spans="2:80" s="47" customFormat="1">
      <c r="B10" s="178" t="s">
        <v>420</v>
      </c>
      <c r="C10" s="51" t="s">
        <v>184</v>
      </c>
      <c r="D10" s="118">
        <v>7995</v>
      </c>
      <c r="E10" s="118">
        <v>12198</v>
      </c>
      <c r="F10" s="118">
        <v>18101</v>
      </c>
      <c r="G10" s="118">
        <v>21114</v>
      </c>
      <c r="H10" s="118">
        <v>6838</v>
      </c>
      <c r="I10" s="118">
        <v>19507</v>
      </c>
      <c r="J10" s="118">
        <v>29062</v>
      </c>
      <c r="K10" s="118">
        <v>31173</v>
      </c>
      <c r="L10" s="118">
        <v>3869</v>
      </c>
      <c r="M10" s="118">
        <v>18549</v>
      </c>
      <c r="N10" s="118">
        <v>26535</v>
      </c>
      <c r="O10" s="118">
        <v>32097</v>
      </c>
      <c r="P10" s="118">
        <v>4980</v>
      </c>
      <c r="Q10" s="118">
        <v>11666</v>
      </c>
      <c r="R10" s="118">
        <v>22469</v>
      </c>
      <c r="S10" s="118">
        <v>33817</v>
      </c>
      <c r="T10" s="118">
        <v>2998</v>
      </c>
      <c r="U10" s="118">
        <v>4829</v>
      </c>
      <c r="V10" s="118">
        <v>8301</v>
      </c>
      <c r="W10" s="118">
        <v>12657</v>
      </c>
      <c r="X10" s="118">
        <v>1591</v>
      </c>
      <c r="Y10" s="118">
        <v>2833</v>
      </c>
      <c r="Z10" s="118">
        <v>14204</v>
      </c>
      <c r="AA10" s="118">
        <v>35896</v>
      </c>
      <c r="AB10" s="118">
        <v>-2125</v>
      </c>
      <c r="AC10" s="118">
        <v>1116</v>
      </c>
      <c r="AD10" s="118">
        <v>2544</v>
      </c>
      <c r="AE10" s="118">
        <v>26912</v>
      </c>
      <c r="AF10" s="118">
        <v>-3691</v>
      </c>
      <c r="AG10" s="118">
        <v>-2519</v>
      </c>
      <c r="AH10" s="118">
        <v>10629</v>
      </c>
      <c r="AI10" s="118">
        <v>24529</v>
      </c>
      <c r="AJ10" s="118">
        <v>645</v>
      </c>
      <c r="AK10" s="118">
        <v>7977</v>
      </c>
      <c r="AL10" s="118">
        <v>20069</v>
      </c>
      <c r="AM10" s="118">
        <v>28336</v>
      </c>
      <c r="AN10" s="118">
        <v>6047</v>
      </c>
      <c r="AO10" s="118">
        <v>11027</v>
      </c>
      <c r="AP10" s="118">
        <v>12412</v>
      </c>
      <c r="AQ10" s="118">
        <v>41764</v>
      </c>
      <c r="AR10" s="118">
        <v>9278</v>
      </c>
      <c r="AS10" s="118">
        <v>-4879</v>
      </c>
      <c r="AT10" s="118">
        <v>11411</v>
      </c>
      <c r="AU10" s="118">
        <v>19797</v>
      </c>
      <c r="AV10" s="118">
        <v>19749</v>
      </c>
      <c r="AW10" s="118">
        <v>26341</v>
      </c>
      <c r="AX10" s="118">
        <v>59515</v>
      </c>
      <c r="AY10" s="118">
        <v>99927</v>
      </c>
      <c r="AZ10" s="118">
        <v>52512.789999999994</v>
      </c>
      <c r="BA10" s="118">
        <v>89006</v>
      </c>
      <c r="BB10" s="118">
        <v>140725</v>
      </c>
      <c r="BC10" s="118">
        <v>189650</v>
      </c>
      <c r="BD10" s="118">
        <v>26437</v>
      </c>
      <c r="BE10" s="118">
        <v>40755</v>
      </c>
      <c r="BF10" s="118">
        <f>SUM(BF11:BF29)</f>
        <v>71786</v>
      </c>
      <c r="BG10" s="118">
        <f>SUM(BG11:BG29)</f>
        <v>100334</v>
      </c>
      <c r="BH10" s="118">
        <f>SUM(BH11:BH29)</f>
        <v>42764</v>
      </c>
      <c r="BI10" s="118">
        <f>SUM(BI11:BI29)</f>
        <v>72248</v>
      </c>
      <c r="BJ10" s="118">
        <f>SUM(BJ11:BJ29)</f>
        <v>117714</v>
      </c>
      <c r="BK10" s="118"/>
      <c r="BL10" s="118">
        <v>21114</v>
      </c>
      <c r="BM10" s="118">
        <v>31173</v>
      </c>
      <c r="BN10" s="118">
        <v>32097</v>
      </c>
      <c r="BO10" s="118">
        <v>33817</v>
      </c>
      <c r="BP10" s="118">
        <v>12657</v>
      </c>
      <c r="BQ10" s="118">
        <v>35896</v>
      </c>
      <c r="BR10" s="118">
        <v>26912</v>
      </c>
      <c r="BS10" s="118">
        <v>24529</v>
      </c>
      <c r="BT10" s="118">
        <v>28336</v>
      </c>
      <c r="BU10" s="118">
        <v>41764</v>
      </c>
      <c r="BV10" s="118">
        <v>19797</v>
      </c>
      <c r="BW10" s="118">
        <v>99927</v>
      </c>
      <c r="BX10" s="118">
        <v>189650</v>
      </c>
      <c r="BY10" s="118">
        <f>SUM(BY11:BY29)</f>
        <v>100334</v>
      </c>
      <c r="BZ10" s="118">
        <f>SUM(BZ11:BZ29)</f>
        <v>117714</v>
      </c>
    </row>
    <row r="11" spans="2:80">
      <c r="B11" s="179" t="s">
        <v>421</v>
      </c>
      <c r="C11" s="172" t="s">
        <v>185</v>
      </c>
      <c r="D11" s="90">
        <v>4029</v>
      </c>
      <c r="E11" s="90">
        <v>7039</v>
      </c>
      <c r="F11" s="90">
        <v>10556</v>
      </c>
      <c r="G11" s="90">
        <v>14317</v>
      </c>
      <c r="H11" s="90">
        <v>3676</v>
      </c>
      <c r="I11" s="90">
        <v>7059</v>
      </c>
      <c r="J11" s="90">
        <v>10088</v>
      </c>
      <c r="K11" s="90">
        <v>13328</v>
      </c>
      <c r="L11" s="90">
        <v>3313</v>
      </c>
      <c r="M11" s="90">
        <v>6645</v>
      </c>
      <c r="N11" s="90">
        <v>9944</v>
      </c>
      <c r="O11" s="90">
        <v>14769</v>
      </c>
      <c r="P11" s="90">
        <v>3017</v>
      </c>
      <c r="Q11" s="90">
        <v>7765</v>
      </c>
      <c r="R11" s="90">
        <v>11509</v>
      </c>
      <c r="S11" s="90">
        <v>14179</v>
      </c>
      <c r="T11" s="90">
        <v>4049</v>
      </c>
      <c r="U11" s="90">
        <v>8156</v>
      </c>
      <c r="V11" s="90">
        <v>12647</v>
      </c>
      <c r="W11" s="90">
        <v>17530</v>
      </c>
      <c r="X11" s="90">
        <v>5481</v>
      </c>
      <c r="Y11" s="90">
        <v>11097</v>
      </c>
      <c r="Z11" s="90">
        <v>16812</v>
      </c>
      <c r="AA11" s="90">
        <v>25117</v>
      </c>
      <c r="AB11" s="90">
        <v>6595</v>
      </c>
      <c r="AC11" s="90">
        <v>12357</v>
      </c>
      <c r="AD11" s="90">
        <v>18786</v>
      </c>
      <c r="AE11" s="90">
        <v>25312</v>
      </c>
      <c r="AF11" s="90">
        <v>6514</v>
      </c>
      <c r="AG11" s="90">
        <v>13109</v>
      </c>
      <c r="AH11" s="90">
        <v>19860</v>
      </c>
      <c r="AI11" s="90">
        <v>26655</v>
      </c>
      <c r="AJ11" s="90">
        <v>6772</v>
      </c>
      <c r="AK11" s="90">
        <v>13654</v>
      </c>
      <c r="AL11" s="90">
        <v>20467</v>
      </c>
      <c r="AM11" s="90">
        <v>27423</v>
      </c>
      <c r="AN11" s="90">
        <v>6790</v>
      </c>
      <c r="AO11" s="90">
        <v>15983</v>
      </c>
      <c r="AP11" s="90">
        <v>23322</v>
      </c>
      <c r="AQ11" s="90">
        <v>30888</v>
      </c>
      <c r="AR11" s="90">
        <v>7272</v>
      </c>
      <c r="AS11" s="90">
        <v>14400</v>
      </c>
      <c r="AT11" s="90">
        <v>21375</v>
      </c>
      <c r="AU11" s="90">
        <v>28329</v>
      </c>
      <c r="AV11" s="90">
        <v>6897</v>
      </c>
      <c r="AW11" s="90">
        <v>13865</v>
      </c>
      <c r="AX11" s="90">
        <v>20964</v>
      </c>
      <c r="AY11" s="90">
        <v>28296</v>
      </c>
      <c r="AZ11" s="90">
        <v>7289.0979999999981</v>
      </c>
      <c r="BA11" s="90">
        <v>14772</v>
      </c>
      <c r="BB11" s="90">
        <v>22293</v>
      </c>
      <c r="BC11" s="90">
        <v>30110</v>
      </c>
      <c r="BD11" s="90">
        <v>7727</v>
      </c>
      <c r="BE11" s="90">
        <v>16465</v>
      </c>
      <c r="BF11" s="90">
        <v>25538</v>
      </c>
      <c r="BG11" s="90">
        <v>34949</v>
      </c>
      <c r="BH11" s="90">
        <v>9858</v>
      </c>
      <c r="BI11" s="90">
        <v>19756</v>
      </c>
      <c r="BJ11" s="90">
        <v>29579</v>
      </c>
      <c r="BK11" s="90"/>
      <c r="BL11" s="90">
        <v>14317</v>
      </c>
      <c r="BM11" s="90">
        <v>13328</v>
      </c>
      <c r="BN11" s="90">
        <v>14769</v>
      </c>
      <c r="BO11" s="90">
        <v>14179</v>
      </c>
      <c r="BP11" s="90">
        <v>17530</v>
      </c>
      <c r="BQ11" s="90">
        <v>25117</v>
      </c>
      <c r="BR11" s="90">
        <v>25312</v>
      </c>
      <c r="BS11" s="90">
        <v>26655</v>
      </c>
      <c r="BT11" s="90">
        <v>27423</v>
      </c>
      <c r="BU11" s="90">
        <v>30888</v>
      </c>
      <c r="BV11" s="90">
        <v>28329</v>
      </c>
      <c r="BW11" s="90">
        <v>28296</v>
      </c>
      <c r="BX11" s="90">
        <v>30110</v>
      </c>
      <c r="BY11" s="90">
        <f t="shared" ref="BY11:BY29" si="0">+BG11</f>
        <v>34949</v>
      </c>
      <c r="BZ11" s="90">
        <f t="shared" ref="BZ11:BZ29" si="1">+BJ11</f>
        <v>29579</v>
      </c>
      <c r="CA11" s="88"/>
      <c r="CB11" s="88"/>
    </row>
    <row r="12" spans="2:80">
      <c r="B12" s="179" t="s">
        <v>422</v>
      </c>
      <c r="C12" s="172" t="s">
        <v>188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0</v>
      </c>
      <c r="AG12" s="90">
        <v>0</v>
      </c>
      <c r="AH12" s="90">
        <v>0</v>
      </c>
      <c r="AI12" s="90">
        <v>0</v>
      </c>
      <c r="AJ12" s="90">
        <v>0</v>
      </c>
      <c r="AK12" s="90">
        <v>0</v>
      </c>
      <c r="AL12" s="90">
        <v>0</v>
      </c>
      <c r="AM12" s="90">
        <v>0</v>
      </c>
      <c r="AN12" s="90">
        <v>0</v>
      </c>
      <c r="AO12" s="90">
        <v>-9868</v>
      </c>
      <c r="AP12" s="90">
        <v>-9868</v>
      </c>
      <c r="AQ12" s="90">
        <v>-9580</v>
      </c>
      <c r="AR12" s="90">
        <v>-366</v>
      </c>
      <c r="AS12" s="90">
        <v>3551</v>
      </c>
      <c r="AT12" s="90">
        <v>3258</v>
      </c>
      <c r="AU12" s="90">
        <v>4671</v>
      </c>
      <c r="AV12" s="90">
        <v>882</v>
      </c>
      <c r="AW12" s="90">
        <v>1430</v>
      </c>
      <c r="AX12" s="90">
        <v>280</v>
      </c>
      <c r="AY12" s="90">
        <v>-81</v>
      </c>
      <c r="AZ12" s="90">
        <v>1515</v>
      </c>
      <c r="BA12" s="90">
        <v>2241</v>
      </c>
      <c r="BB12" s="90">
        <v>447</v>
      </c>
      <c r="BC12" s="90">
        <v>-3144</v>
      </c>
      <c r="BD12" s="90">
        <v>-955</v>
      </c>
      <c r="BE12" s="90">
        <v>164</v>
      </c>
      <c r="BF12" s="90">
        <v>-562</v>
      </c>
      <c r="BG12" s="90">
        <v>-1350</v>
      </c>
      <c r="BH12" s="90">
        <v>492</v>
      </c>
      <c r="BI12" s="90">
        <v>577</v>
      </c>
      <c r="BJ12" s="90">
        <v>174</v>
      </c>
      <c r="BK12" s="90"/>
      <c r="BL12" s="90">
        <v>0</v>
      </c>
      <c r="BM12" s="90">
        <v>0</v>
      </c>
      <c r="BN12" s="90">
        <v>0</v>
      </c>
      <c r="BO12" s="90">
        <v>0</v>
      </c>
      <c r="BP12" s="90">
        <v>0</v>
      </c>
      <c r="BQ12" s="90">
        <v>0</v>
      </c>
      <c r="BR12" s="90">
        <v>0</v>
      </c>
      <c r="BS12" s="90">
        <v>0</v>
      </c>
      <c r="BT12" s="90">
        <v>0</v>
      </c>
      <c r="BU12" s="90">
        <v>-9580</v>
      </c>
      <c r="BV12" s="90">
        <v>4671</v>
      </c>
      <c r="BW12" s="90">
        <v>-81</v>
      </c>
      <c r="BX12" s="90">
        <v>-3144</v>
      </c>
      <c r="BY12" s="90">
        <f t="shared" si="0"/>
        <v>-1350</v>
      </c>
      <c r="BZ12" s="90">
        <f t="shared" si="1"/>
        <v>174</v>
      </c>
    </row>
    <row r="13" spans="2:80">
      <c r="B13" s="180" t="s">
        <v>423</v>
      </c>
      <c r="C13" s="173" t="s">
        <v>189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90">
        <v>0</v>
      </c>
      <c r="AI13" s="90">
        <v>0</v>
      </c>
      <c r="AJ13" s="90">
        <v>0</v>
      </c>
      <c r="AK13" s="90">
        <v>0</v>
      </c>
      <c r="AL13" s="90">
        <v>0</v>
      </c>
      <c r="AM13" s="90">
        <v>0</v>
      </c>
      <c r="AN13" s="90">
        <v>0</v>
      </c>
      <c r="AO13" s="90">
        <v>-2251</v>
      </c>
      <c r="AP13" s="90">
        <v>-2251</v>
      </c>
      <c r="AQ13" s="90">
        <v>-1753</v>
      </c>
      <c r="AR13" s="90">
        <v>61</v>
      </c>
      <c r="AS13" s="90">
        <v>79</v>
      </c>
      <c r="AT13" s="90">
        <v>1155</v>
      </c>
      <c r="AU13" s="90">
        <v>-265</v>
      </c>
      <c r="AV13" s="90">
        <v>1942</v>
      </c>
      <c r="AW13" s="90">
        <v>2318</v>
      </c>
      <c r="AX13" s="90">
        <v>6005</v>
      </c>
      <c r="AY13" s="90">
        <v>291</v>
      </c>
      <c r="AZ13" s="90">
        <v>571.69200000000001</v>
      </c>
      <c r="BA13" s="90">
        <v>1124</v>
      </c>
      <c r="BB13" s="90">
        <v>2748</v>
      </c>
      <c r="BC13" s="90">
        <v>2253</v>
      </c>
      <c r="BD13" s="90">
        <v>204</v>
      </c>
      <c r="BE13" s="90">
        <v>417</v>
      </c>
      <c r="BF13" s="90">
        <v>1886</v>
      </c>
      <c r="BG13" s="90">
        <v>1825</v>
      </c>
      <c r="BH13" s="90">
        <v>386</v>
      </c>
      <c r="BI13" s="90">
        <v>891</v>
      </c>
      <c r="BJ13" s="90">
        <v>1467</v>
      </c>
      <c r="BK13" s="90"/>
      <c r="BL13" s="90">
        <v>0</v>
      </c>
      <c r="BM13" s="90">
        <v>0</v>
      </c>
      <c r="BN13" s="90">
        <v>0</v>
      </c>
      <c r="BO13" s="90">
        <v>0</v>
      </c>
      <c r="BP13" s="90">
        <v>0</v>
      </c>
      <c r="BQ13" s="90">
        <v>0</v>
      </c>
      <c r="BR13" s="90">
        <v>0</v>
      </c>
      <c r="BS13" s="90">
        <v>0</v>
      </c>
      <c r="BT13" s="90">
        <v>0</v>
      </c>
      <c r="BU13" s="90">
        <v>-1753</v>
      </c>
      <c r="BV13" s="90">
        <v>-265</v>
      </c>
      <c r="BW13" s="90">
        <v>291</v>
      </c>
      <c r="BX13" s="90">
        <v>2253</v>
      </c>
      <c r="BY13" s="90">
        <f t="shared" si="0"/>
        <v>1825</v>
      </c>
      <c r="BZ13" s="90">
        <f t="shared" si="1"/>
        <v>1467</v>
      </c>
    </row>
    <row r="14" spans="2:80">
      <c r="B14" s="180" t="s">
        <v>424</v>
      </c>
      <c r="C14" s="173" t="s">
        <v>190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90">
        <v>0</v>
      </c>
      <c r="AF14" s="90">
        <v>0</v>
      </c>
      <c r="AG14" s="90">
        <v>0</v>
      </c>
      <c r="AH14" s="90">
        <v>0</v>
      </c>
      <c r="AI14" s="90">
        <v>0</v>
      </c>
      <c r="AJ14" s="90">
        <v>0</v>
      </c>
      <c r="AK14" s="90">
        <v>0</v>
      </c>
      <c r="AL14" s="90">
        <v>0</v>
      </c>
      <c r="AM14" s="90">
        <v>0</v>
      </c>
      <c r="AN14" s="90">
        <v>0</v>
      </c>
      <c r="AO14" s="90">
        <v>-1911</v>
      </c>
      <c r="AP14" s="90">
        <v>-1911</v>
      </c>
      <c r="AQ14" s="90">
        <v>-2174</v>
      </c>
      <c r="AR14" s="90">
        <v>-58</v>
      </c>
      <c r="AS14" s="90">
        <v>-989</v>
      </c>
      <c r="AT14" s="90">
        <v>-332</v>
      </c>
      <c r="AU14" s="90">
        <v>1903</v>
      </c>
      <c r="AV14" s="90">
        <v>686</v>
      </c>
      <c r="AW14" s="90">
        <v>1328</v>
      </c>
      <c r="AX14" s="90">
        <v>2984</v>
      </c>
      <c r="AY14" s="90">
        <v>4372</v>
      </c>
      <c r="AZ14" s="90">
        <v>537</v>
      </c>
      <c r="BA14" s="90">
        <v>292</v>
      </c>
      <c r="BB14" s="90">
        <v>1662</v>
      </c>
      <c r="BC14" s="90">
        <v>6972</v>
      </c>
      <c r="BD14" s="90">
        <v>-527</v>
      </c>
      <c r="BE14" s="90">
        <v>-2659</v>
      </c>
      <c r="BF14" s="90">
        <v>4171</v>
      </c>
      <c r="BG14" s="90">
        <v>7793</v>
      </c>
      <c r="BH14" s="90">
        <v>4652</v>
      </c>
      <c r="BI14" s="90">
        <v>2419</v>
      </c>
      <c r="BJ14" s="90">
        <v>7243</v>
      </c>
      <c r="BK14" s="90"/>
      <c r="BL14" s="90">
        <v>0</v>
      </c>
      <c r="BM14" s="90">
        <v>0</v>
      </c>
      <c r="BN14" s="90">
        <v>0</v>
      </c>
      <c r="BO14" s="90">
        <v>0</v>
      </c>
      <c r="BP14" s="90">
        <v>0</v>
      </c>
      <c r="BQ14" s="90">
        <v>0</v>
      </c>
      <c r="BR14" s="90">
        <v>0</v>
      </c>
      <c r="BS14" s="90">
        <v>0</v>
      </c>
      <c r="BT14" s="90">
        <v>0</v>
      </c>
      <c r="BU14" s="90">
        <v>-2174</v>
      </c>
      <c r="BV14" s="90">
        <v>1903</v>
      </c>
      <c r="BW14" s="90">
        <v>4372</v>
      </c>
      <c r="BX14" s="90">
        <v>6972</v>
      </c>
      <c r="BY14" s="90">
        <f t="shared" si="0"/>
        <v>7793</v>
      </c>
      <c r="BZ14" s="90">
        <f t="shared" si="1"/>
        <v>7243</v>
      </c>
    </row>
    <row r="15" spans="2:80">
      <c r="B15" s="180" t="s">
        <v>425</v>
      </c>
      <c r="C15" s="173" t="s">
        <v>268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0</v>
      </c>
      <c r="AD15" s="90">
        <v>0</v>
      </c>
      <c r="AE15" s="90">
        <v>0</v>
      </c>
      <c r="AF15" s="90">
        <v>0</v>
      </c>
      <c r="AG15" s="90">
        <v>0</v>
      </c>
      <c r="AH15" s="90">
        <v>0</v>
      </c>
      <c r="AI15" s="90">
        <v>0</v>
      </c>
      <c r="AJ15" s="90">
        <v>0</v>
      </c>
      <c r="AK15" s="90">
        <v>0</v>
      </c>
      <c r="AL15" s="90">
        <v>0</v>
      </c>
      <c r="AM15" s="90">
        <v>0</v>
      </c>
      <c r="AN15" s="90">
        <v>0</v>
      </c>
      <c r="AO15" s="90">
        <v>-516</v>
      </c>
      <c r="AP15" s="90">
        <v>-517</v>
      </c>
      <c r="AQ15" s="90">
        <v>353</v>
      </c>
      <c r="AR15" s="90">
        <v>268</v>
      </c>
      <c r="AS15" s="90">
        <v>212</v>
      </c>
      <c r="AT15" s="90">
        <v>-148</v>
      </c>
      <c r="AU15" s="90">
        <v>-1128</v>
      </c>
      <c r="AV15" s="90">
        <v>204</v>
      </c>
      <c r="AW15" s="90">
        <v>195</v>
      </c>
      <c r="AX15" s="90">
        <v>293</v>
      </c>
      <c r="AY15" s="90">
        <v>349</v>
      </c>
      <c r="AZ15" s="90">
        <v>444</v>
      </c>
      <c r="BA15" s="90">
        <v>267</v>
      </c>
      <c r="BB15" s="90">
        <v>452</v>
      </c>
      <c r="BC15" s="90">
        <v>198</v>
      </c>
      <c r="BD15" s="90">
        <v>59</v>
      </c>
      <c r="BE15" s="90">
        <v>74</v>
      </c>
      <c r="BF15" s="90">
        <v>1106</v>
      </c>
      <c r="BG15" s="90">
        <v>1710</v>
      </c>
      <c r="BH15" s="90">
        <v>-161</v>
      </c>
      <c r="BI15" s="90">
        <v>-257</v>
      </c>
      <c r="BJ15" s="90">
        <v>-153</v>
      </c>
      <c r="BK15" s="90"/>
      <c r="BL15" s="90">
        <v>0</v>
      </c>
      <c r="BM15" s="90">
        <v>0</v>
      </c>
      <c r="BN15" s="90">
        <v>0</v>
      </c>
      <c r="BO15" s="90">
        <v>0</v>
      </c>
      <c r="BP15" s="90">
        <v>0</v>
      </c>
      <c r="BQ15" s="90">
        <v>0</v>
      </c>
      <c r="BR15" s="90">
        <v>0</v>
      </c>
      <c r="BS15" s="90">
        <v>0</v>
      </c>
      <c r="BT15" s="90">
        <v>0</v>
      </c>
      <c r="BU15" s="90">
        <v>353</v>
      </c>
      <c r="BV15" s="90">
        <v>-1128</v>
      </c>
      <c r="BW15" s="90">
        <v>349</v>
      </c>
      <c r="BX15" s="90">
        <v>198</v>
      </c>
      <c r="BY15" s="90">
        <f t="shared" si="0"/>
        <v>1710</v>
      </c>
      <c r="BZ15" s="90">
        <f t="shared" si="1"/>
        <v>-153</v>
      </c>
    </row>
    <row r="16" spans="2:80" hidden="1" outlineLevel="1">
      <c r="B16" s="179" t="s">
        <v>426</v>
      </c>
      <c r="C16" s="172" t="s">
        <v>191</v>
      </c>
      <c r="D16" s="90">
        <v>704</v>
      </c>
      <c r="E16" s="90">
        <v>674</v>
      </c>
      <c r="F16" s="90">
        <v>648</v>
      </c>
      <c r="G16" s="90">
        <v>-64</v>
      </c>
      <c r="H16" s="90">
        <v>-126</v>
      </c>
      <c r="I16" s="90">
        <v>-446</v>
      </c>
      <c r="J16" s="90">
        <v>1446</v>
      </c>
      <c r="K16" s="90">
        <v>240</v>
      </c>
      <c r="L16" s="90">
        <v>-441</v>
      </c>
      <c r="M16" s="90">
        <v>1177</v>
      </c>
      <c r="N16" s="90">
        <v>1135</v>
      </c>
      <c r="O16" s="90">
        <v>1315</v>
      </c>
      <c r="P16" s="90">
        <v>-255</v>
      </c>
      <c r="Q16" s="90">
        <v>-384</v>
      </c>
      <c r="R16" s="90">
        <v>-1331</v>
      </c>
      <c r="S16" s="90">
        <v>-831</v>
      </c>
      <c r="T16" s="90">
        <v>88</v>
      </c>
      <c r="U16" s="90">
        <v>-480</v>
      </c>
      <c r="V16" s="90">
        <v>1300</v>
      </c>
      <c r="W16" s="90">
        <v>822</v>
      </c>
      <c r="X16" s="90">
        <v>-694</v>
      </c>
      <c r="Y16" s="90">
        <v>-975</v>
      </c>
      <c r="Z16" s="90">
        <v>-640</v>
      </c>
      <c r="AA16" s="90">
        <v>-226</v>
      </c>
      <c r="AB16" s="90">
        <v>389</v>
      </c>
      <c r="AC16" s="90">
        <v>-310</v>
      </c>
      <c r="AD16" s="90">
        <v>-433</v>
      </c>
      <c r="AE16" s="90">
        <v>-475</v>
      </c>
      <c r="AF16" s="90">
        <v>-446</v>
      </c>
      <c r="AG16" s="90">
        <v>-430</v>
      </c>
      <c r="AH16" s="90">
        <v>-416</v>
      </c>
      <c r="AI16" s="90">
        <v>-290</v>
      </c>
      <c r="AJ16" s="90">
        <v>-63</v>
      </c>
      <c r="AK16" s="90">
        <v>-1385</v>
      </c>
      <c r="AL16" s="90">
        <v>-1422</v>
      </c>
      <c r="AM16" s="90">
        <v>-1422</v>
      </c>
      <c r="AN16" s="90">
        <v>0</v>
      </c>
      <c r="AO16" s="90">
        <v>0</v>
      </c>
      <c r="AP16" s="90">
        <v>0</v>
      </c>
      <c r="AQ16" s="90">
        <v>0</v>
      </c>
      <c r="AR16" s="90">
        <v>0</v>
      </c>
      <c r="AS16" s="90">
        <v>0</v>
      </c>
      <c r="AT16" s="90">
        <v>0</v>
      </c>
      <c r="AU16" s="90">
        <v>0</v>
      </c>
      <c r="AV16" s="90">
        <v>0</v>
      </c>
      <c r="AW16" s="90">
        <v>0</v>
      </c>
      <c r="AX16" s="90">
        <v>0</v>
      </c>
      <c r="AY16" s="90">
        <v>0</v>
      </c>
      <c r="AZ16" s="90">
        <v>0</v>
      </c>
      <c r="BA16" s="90">
        <v>0</v>
      </c>
      <c r="BB16" s="90">
        <v>0</v>
      </c>
      <c r="BC16" s="90">
        <v>0</v>
      </c>
      <c r="BD16" s="90">
        <v>0</v>
      </c>
      <c r="BE16" s="90">
        <v>0</v>
      </c>
      <c r="BF16" s="90">
        <v>0</v>
      </c>
      <c r="BG16" s="90">
        <v>0</v>
      </c>
      <c r="BH16" s="90">
        <v>0</v>
      </c>
      <c r="BI16" s="90"/>
      <c r="BJ16" s="90"/>
      <c r="BK16" s="90"/>
      <c r="BL16" s="90">
        <v>-64</v>
      </c>
      <c r="BM16" s="90">
        <v>240</v>
      </c>
      <c r="BN16" s="90">
        <v>1315</v>
      </c>
      <c r="BO16" s="90">
        <v>-831</v>
      </c>
      <c r="BP16" s="90">
        <v>822</v>
      </c>
      <c r="BQ16" s="90">
        <v>-226</v>
      </c>
      <c r="BR16" s="90">
        <v>-475</v>
      </c>
      <c r="BS16" s="90">
        <v>-290</v>
      </c>
      <c r="BT16" s="90">
        <v>-1422</v>
      </c>
      <c r="BU16" s="90">
        <v>0</v>
      </c>
      <c r="BV16" s="90">
        <v>0</v>
      </c>
      <c r="BW16" s="90">
        <v>0</v>
      </c>
      <c r="BX16" s="90">
        <v>0</v>
      </c>
      <c r="BY16" s="90">
        <f t="shared" si="0"/>
        <v>0</v>
      </c>
      <c r="BZ16" s="90">
        <f t="shared" si="1"/>
        <v>0</v>
      </c>
    </row>
    <row r="17" spans="2:78" collapsed="1">
      <c r="B17" s="179" t="s">
        <v>389</v>
      </c>
      <c r="C17" s="172" t="s">
        <v>186</v>
      </c>
      <c r="D17" s="90">
        <v>333</v>
      </c>
      <c r="E17" s="90">
        <v>-2706</v>
      </c>
      <c r="F17" s="90">
        <v>-5424</v>
      </c>
      <c r="G17" s="90">
        <v>-8400</v>
      </c>
      <c r="H17" s="90">
        <v>-264</v>
      </c>
      <c r="I17" s="90">
        <v>6238</v>
      </c>
      <c r="J17" s="90">
        <v>5244</v>
      </c>
      <c r="K17" s="90">
        <v>671</v>
      </c>
      <c r="L17" s="90">
        <v>-3659</v>
      </c>
      <c r="M17" s="90">
        <v>-101</v>
      </c>
      <c r="N17" s="90">
        <v>478</v>
      </c>
      <c r="O17" s="90">
        <v>-1774</v>
      </c>
      <c r="P17" s="90">
        <v>-121</v>
      </c>
      <c r="Q17" s="90">
        <v>-790</v>
      </c>
      <c r="R17" s="90">
        <v>4801</v>
      </c>
      <c r="S17" s="90">
        <v>10006</v>
      </c>
      <c r="T17" s="90">
        <v>-3894</v>
      </c>
      <c r="U17" s="90">
        <v>-2118</v>
      </c>
      <c r="V17" s="90">
        <v>-1909</v>
      </c>
      <c r="W17" s="90">
        <v>-3440</v>
      </c>
      <c r="X17" s="90">
        <v>-947</v>
      </c>
      <c r="Y17" s="90">
        <v>-2916</v>
      </c>
      <c r="Z17" s="90">
        <v>2803</v>
      </c>
      <c r="AA17" s="90">
        <v>12127</v>
      </c>
      <c r="AB17" s="90">
        <v>-7874</v>
      </c>
      <c r="AC17" s="90">
        <v>-8091</v>
      </c>
      <c r="AD17" s="90">
        <v>-10684</v>
      </c>
      <c r="AE17" s="90">
        <v>10087</v>
      </c>
      <c r="AF17" s="90">
        <v>-8052</v>
      </c>
      <c r="AG17" s="90">
        <v>-13542</v>
      </c>
      <c r="AH17" s="90">
        <v>-7520</v>
      </c>
      <c r="AI17" s="90">
        <v>179</v>
      </c>
      <c r="AJ17" s="90">
        <v>-5377</v>
      </c>
      <c r="AK17" s="90">
        <v>-5703</v>
      </c>
      <c r="AL17" s="90">
        <v>-86</v>
      </c>
      <c r="AM17" s="90">
        <v>1263</v>
      </c>
      <c r="AN17" s="90">
        <v>-5358</v>
      </c>
      <c r="AO17" s="90">
        <v>-3290</v>
      </c>
      <c r="AP17" s="90">
        <v>-3055</v>
      </c>
      <c r="AQ17" s="90">
        <v>6644</v>
      </c>
      <c r="AR17" s="90">
        <v>-2415</v>
      </c>
      <c r="AS17" s="90">
        <v>-2915</v>
      </c>
      <c r="AT17" s="90">
        <v>-2828</v>
      </c>
      <c r="AU17" s="90">
        <v>-3130</v>
      </c>
      <c r="AV17" s="90">
        <v>-812</v>
      </c>
      <c r="AW17" s="90">
        <v>-1234</v>
      </c>
      <c r="AX17" s="90">
        <v>2498</v>
      </c>
      <c r="AY17" s="90">
        <v>11637</v>
      </c>
      <c r="AZ17" s="90">
        <v>418</v>
      </c>
      <c r="BA17" s="90"/>
      <c r="BB17" s="90">
        <v>0</v>
      </c>
      <c r="BC17" s="90">
        <v>9429</v>
      </c>
      <c r="BD17" s="90">
        <v>-3411</v>
      </c>
      <c r="BE17" s="90">
        <v>-10076</v>
      </c>
      <c r="BF17" s="90">
        <v>-12149</v>
      </c>
      <c r="BG17" s="90">
        <v>-10521</v>
      </c>
      <c r="BH17" s="90">
        <v>392</v>
      </c>
      <c r="BI17" s="90">
        <v>352</v>
      </c>
      <c r="BJ17" s="90">
        <v>-497</v>
      </c>
      <c r="BK17" s="90"/>
      <c r="BL17" s="90">
        <v>-8400</v>
      </c>
      <c r="BM17" s="90">
        <v>671</v>
      </c>
      <c r="BN17" s="90">
        <v>-1774</v>
      </c>
      <c r="BO17" s="90">
        <v>10006</v>
      </c>
      <c r="BP17" s="90">
        <v>-3440</v>
      </c>
      <c r="BQ17" s="90">
        <v>12127</v>
      </c>
      <c r="BR17" s="90">
        <v>10087</v>
      </c>
      <c r="BS17" s="90">
        <v>179</v>
      </c>
      <c r="BT17" s="90">
        <v>1263</v>
      </c>
      <c r="BU17" s="90">
        <v>6644</v>
      </c>
      <c r="BV17" s="90">
        <v>-3130</v>
      </c>
      <c r="BW17" s="90">
        <v>11637</v>
      </c>
      <c r="BX17" s="90">
        <v>9429</v>
      </c>
      <c r="BY17" s="90">
        <f t="shared" si="0"/>
        <v>-10521</v>
      </c>
      <c r="BZ17" s="90">
        <f t="shared" si="1"/>
        <v>-497</v>
      </c>
    </row>
    <row r="18" spans="2:78">
      <c r="B18" s="179" t="s">
        <v>427</v>
      </c>
      <c r="C18" s="172" t="s">
        <v>187</v>
      </c>
      <c r="D18" s="90">
        <v>0</v>
      </c>
      <c r="E18" s="90">
        <v>3</v>
      </c>
      <c r="F18" s="90">
        <v>2145</v>
      </c>
      <c r="G18" s="90">
        <v>2145</v>
      </c>
      <c r="H18" s="90">
        <v>0</v>
      </c>
      <c r="I18" s="90">
        <v>1</v>
      </c>
      <c r="J18" s="90">
        <v>421</v>
      </c>
      <c r="K18" s="90">
        <v>410</v>
      </c>
      <c r="L18" s="90">
        <v>272</v>
      </c>
      <c r="M18" s="90">
        <v>1755</v>
      </c>
      <c r="N18" s="90">
        <v>2136</v>
      </c>
      <c r="O18" s="90">
        <v>1316</v>
      </c>
      <c r="P18" s="90">
        <v>0</v>
      </c>
      <c r="Q18" s="90">
        <v>0</v>
      </c>
      <c r="R18" s="90">
        <v>44</v>
      </c>
      <c r="S18" s="90">
        <v>934</v>
      </c>
      <c r="T18" s="90">
        <v>5</v>
      </c>
      <c r="U18" s="90">
        <v>4</v>
      </c>
      <c r="V18" s="90">
        <v>157</v>
      </c>
      <c r="W18" s="90">
        <v>3718</v>
      </c>
      <c r="X18" s="90">
        <v>0</v>
      </c>
      <c r="Y18" s="90">
        <v>557</v>
      </c>
      <c r="Z18" s="90">
        <v>842</v>
      </c>
      <c r="AA18" s="90">
        <v>874</v>
      </c>
      <c r="AB18" s="90">
        <v>385</v>
      </c>
      <c r="AC18" s="90">
        <v>423</v>
      </c>
      <c r="AD18" s="90">
        <v>509</v>
      </c>
      <c r="AE18" s="90">
        <v>509</v>
      </c>
      <c r="AF18" s="90">
        <v>128</v>
      </c>
      <c r="AG18" s="90">
        <v>700</v>
      </c>
      <c r="AH18" s="90">
        <v>816</v>
      </c>
      <c r="AI18" s="90">
        <v>940</v>
      </c>
      <c r="AJ18" s="90">
        <v>0</v>
      </c>
      <c r="AK18" s="90">
        <v>35</v>
      </c>
      <c r="AL18" s="90">
        <v>35</v>
      </c>
      <c r="AM18" s="90">
        <v>39</v>
      </c>
      <c r="AN18" s="90">
        <v>4509</v>
      </c>
      <c r="AO18" s="90">
        <v>4683</v>
      </c>
      <c r="AP18" s="90">
        <v>4508</v>
      </c>
      <c r="AQ18" s="90">
        <v>6286</v>
      </c>
      <c r="AR18" s="90">
        <v>59</v>
      </c>
      <c r="AS18" s="90">
        <v>0</v>
      </c>
      <c r="AT18" s="90">
        <v>0</v>
      </c>
      <c r="AU18" s="90">
        <v>864</v>
      </c>
      <c r="AV18" s="90">
        <v>1332</v>
      </c>
      <c r="AW18" s="90">
        <v>0</v>
      </c>
      <c r="AX18" s="90">
        <v>0</v>
      </c>
      <c r="AY18" s="90">
        <v>3020</v>
      </c>
      <c r="AZ18" s="90">
        <v>0</v>
      </c>
      <c r="BA18" s="90">
        <v>1092</v>
      </c>
      <c r="BB18" s="90">
        <v>1832</v>
      </c>
      <c r="BC18" s="90">
        <v>1663</v>
      </c>
      <c r="BD18" s="90">
        <v>2</v>
      </c>
      <c r="BE18" s="90">
        <v>2</v>
      </c>
      <c r="BF18" s="90">
        <v>-61</v>
      </c>
      <c r="BG18" s="90">
        <v>-895</v>
      </c>
      <c r="BH18" s="90">
        <v>151</v>
      </c>
      <c r="BI18" s="90">
        <v>1432</v>
      </c>
      <c r="BJ18" s="90">
        <v>3788</v>
      </c>
      <c r="BK18" s="90"/>
      <c r="BL18" s="90">
        <v>2145</v>
      </c>
      <c r="BM18" s="90">
        <v>410</v>
      </c>
      <c r="BN18" s="90">
        <v>1316</v>
      </c>
      <c r="BO18" s="90">
        <v>934</v>
      </c>
      <c r="BP18" s="90">
        <v>3718</v>
      </c>
      <c r="BQ18" s="90">
        <v>874</v>
      </c>
      <c r="BR18" s="90">
        <v>509</v>
      </c>
      <c r="BS18" s="90">
        <v>940</v>
      </c>
      <c r="BT18" s="90">
        <v>39</v>
      </c>
      <c r="BU18" s="90">
        <v>6286</v>
      </c>
      <c r="BV18" s="90">
        <v>864</v>
      </c>
      <c r="BW18" s="90">
        <v>3020</v>
      </c>
      <c r="BX18" s="90">
        <v>1663</v>
      </c>
      <c r="BY18" s="90">
        <f t="shared" si="0"/>
        <v>-895</v>
      </c>
      <c r="BZ18" s="90">
        <f t="shared" si="1"/>
        <v>3788</v>
      </c>
    </row>
    <row r="19" spans="2:78" hidden="1" outlineLevel="1">
      <c r="B19" s="179" t="s">
        <v>428</v>
      </c>
      <c r="C19" s="172" t="s">
        <v>64</v>
      </c>
      <c r="D19" s="90">
        <v>0</v>
      </c>
      <c r="E19" s="90">
        <v>-7</v>
      </c>
      <c r="F19" s="90">
        <v>-7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-13</v>
      </c>
      <c r="O19" s="90">
        <v>-13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90">
        <v>0</v>
      </c>
      <c r="AN19" s="90">
        <v>0</v>
      </c>
      <c r="AO19" s="90">
        <v>0</v>
      </c>
      <c r="AP19" s="90">
        <v>0</v>
      </c>
      <c r="AQ19" s="90">
        <v>0</v>
      </c>
      <c r="AR19" s="90">
        <v>0</v>
      </c>
      <c r="AS19" s="90">
        <v>0</v>
      </c>
      <c r="AT19" s="90">
        <v>0</v>
      </c>
      <c r="AU19" s="90">
        <v>0</v>
      </c>
      <c r="AV19" s="90">
        <v>0</v>
      </c>
      <c r="AW19" s="90">
        <v>0</v>
      </c>
      <c r="AX19" s="90">
        <v>0</v>
      </c>
      <c r="AY19" s="90">
        <v>0</v>
      </c>
      <c r="AZ19" s="90">
        <v>0</v>
      </c>
      <c r="BA19" s="90"/>
      <c r="BB19" s="90">
        <v>0</v>
      </c>
      <c r="BC19" s="90">
        <v>0</v>
      </c>
      <c r="BD19" s="90">
        <v>0</v>
      </c>
      <c r="BE19" s="90">
        <v>0</v>
      </c>
      <c r="BF19" s="90">
        <v>0</v>
      </c>
      <c r="BG19" s="90">
        <v>0</v>
      </c>
      <c r="BH19" s="90">
        <v>0</v>
      </c>
      <c r="BI19" s="90"/>
      <c r="BJ19" s="90"/>
      <c r="BK19" s="90"/>
      <c r="BL19" s="90">
        <v>0</v>
      </c>
      <c r="BM19" s="90">
        <v>0</v>
      </c>
      <c r="BN19" s="90">
        <v>-13</v>
      </c>
      <c r="BO19" s="90"/>
      <c r="BP19" s="90"/>
      <c r="BQ19" s="90"/>
      <c r="BR19" s="90"/>
      <c r="BS19" s="90"/>
      <c r="BT19" s="90"/>
      <c r="BU19" s="90"/>
      <c r="BV19" s="90"/>
      <c r="BW19" s="90">
        <v>0</v>
      </c>
      <c r="BX19" s="90">
        <v>0</v>
      </c>
      <c r="BY19" s="90">
        <f t="shared" si="0"/>
        <v>0</v>
      </c>
      <c r="BZ19" s="90">
        <f t="shared" si="1"/>
        <v>0</v>
      </c>
    </row>
    <row r="20" spans="2:78" collapsed="1">
      <c r="B20" s="180" t="s">
        <v>429</v>
      </c>
      <c r="C20" s="173" t="s">
        <v>195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0">
        <v>0</v>
      </c>
      <c r="AN20" s="90">
        <v>0</v>
      </c>
      <c r="AO20" s="90">
        <v>0</v>
      </c>
      <c r="AP20" s="90">
        <v>2184</v>
      </c>
      <c r="AQ20" s="90">
        <v>310</v>
      </c>
      <c r="AR20" s="90">
        <v>235</v>
      </c>
      <c r="AS20" s="90">
        <v>-8356</v>
      </c>
      <c r="AT20" s="90">
        <v>-7126</v>
      </c>
      <c r="AU20" s="90">
        <v>73</v>
      </c>
      <c r="AV20" s="90">
        <v>48</v>
      </c>
      <c r="AW20" s="90">
        <v>-2176</v>
      </c>
      <c r="AX20" s="90">
        <v>-1172</v>
      </c>
      <c r="AY20" s="90">
        <v>-283</v>
      </c>
      <c r="AZ20" s="90">
        <v>1195</v>
      </c>
      <c r="BA20" s="90">
        <v>1849</v>
      </c>
      <c r="BB20" s="90">
        <v>6211</v>
      </c>
      <c r="BC20" s="90">
        <v>4905</v>
      </c>
      <c r="BD20" s="90">
        <v>2802</v>
      </c>
      <c r="BE20" s="90">
        <v>4556</v>
      </c>
      <c r="BF20" s="90">
        <v>4425</v>
      </c>
      <c r="BG20" s="90">
        <v>6321</v>
      </c>
      <c r="BH20" s="90">
        <v>-872</v>
      </c>
      <c r="BI20" s="90">
        <v>1586</v>
      </c>
      <c r="BJ20" s="90">
        <v>7401</v>
      </c>
      <c r="BK20" s="90"/>
      <c r="BL20" s="90">
        <v>0</v>
      </c>
      <c r="BM20" s="90">
        <v>0</v>
      </c>
      <c r="BN20" s="90">
        <v>0</v>
      </c>
      <c r="BO20" s="90">
        <v>0</v>
      </c>
      <c r="BP20" s="90">
        <v>0</v>
      </c>
      <c r="BQ20" s="90">
        <v>0</v>
      </c>
      <c r="BR20" s="90">
        <v>0</v>
      </c>
      <c r="BS20" s="90">
        <v>0</v>
      </c>
      <c r="BT20" s="90">
        <v>0</v>
      </c>
      <c r="BU20" s="90">
        <v>310</v>
      </c>
      <c r="BV20" s="90">
        <v>73</v>
      </c>
      <c r="BW20" s="90">
        <v>-283</v>
      </c>
      <c r="BX20" s="90">
        <v>4905</v>
      </c>
      <c r="BY20" s="90">
        <f t="shared" si="0"/>
        <v>6321</v>
      </c>
      <c r="BZ20" s="90">
        <f t="shared" si="1"/>
        <v>7401</v>
      </c>
    </row>
    <row r="21" spans="2:78" hidden="1" outlineLevel="1">
      <c r="B21" s="179" t="s">
        <v>430</v>
      </c>
      <c r="C21" s="172" t="s">
        <v>192</v>
      </c>
      <c r="D21" s="90">
        <v>4009</v>
      </c>
      <c r="E21" s="90">
        <v>8044</v>
      </c>
      <c r="F21" s="90">
        <v>11491</v>
      </c>
      <c r="G21" s="90">
        <v>15348</v>
      </c>
      <c r="H21" s="90">
        <v>3552</v>
      </c>
      <c r="I21" s="90">
        <v>6655</v>
      </c>
      <c r="J21" s="90">
        <v>11863</v>
      </c>
      <c r="K21" s="90">
        <v>16524</v>
      </c>
      <c r="L21" s="90">
        <v>4384</v>
      </c>
      <c r="M21" s="90">
        <v>9073</v>
      </c>
      <c r="N21" s="90">
        <v>12855</v>
      </c>
      <c r="O21" s="90">
        <v>16484</v>
      </c>
      <c r="P21" s="90">
        <v>2339</v>
      </c>
      <c r="Q21" s="90">
        <v>5075</v>
      </c>
      <c r="R21" s="90">
        <v>7446</v>
      </c>
      <c r="S21" s="90">
        <v>9529</v>
      </c>
      <c r="T21" s="90">
        <v>2750</v>
      </c>
      <c r="U21" s="90">
        <v>4420</v>
      </c>
      <c r="V21" s="90">
        <v>5228</v>
      </c>
      <c r="W21" s="90">
        <v>8934</v>
      </c>
      <c r="X21" s="90">
        <v>1561</v>
      </c>
      <c r="Y21" s="90">
        <v>989</v>
      </c>
      <c r="Z21" s="90">
        <v>2476</v>
      </c>
      <c r="AA21" s="90">
        <v>9561</v>
      </c>
      <c r="AB21" s="90">
        <v>1831</v>
      </c>
      <c r="AC21" s="90">
        <v>3653</v>
      </c>
      <c r="AD21" s="90">
        <v>5913</v>
      </c>
      <c r="AE21" s="90">
        <v>8264</v>
      </c>
      <c r="AF21" s="90">
        <v>2431</v>
      </c>
      <c r="AG21" s="90">
        <v>4424</v>
      </c>
      <c r="AH21" s="90">
        <v>6436</v>
      </c>
      <c r="AI21" s="90">
        <v>8381</v>
      </c>
      <c r="AJ21" s="90">
        <v>1235</v>
      </c>
      <c r="AK21" s="90">
        <v>4322</v>
      </c>
      <c r="AL21" s="90">
        <v>5316</v>
      </c>
      <c r="AM21" s="90">
        <v>6261</v>
      </c>
      <c r="AN21" s="90">
        <v>906</v>
      </c>
      <c r="AO21" s="90">
        <v>0</v>
      </c>
      <c r="AP21" s="90">
        <v>0</v>
      </c>
      <c r="AQ21" s="90">
        <v>0</v>
      </c>
      <c r="AR21" s="90">
        <v>0</v>
      </c>
      <c r="AS21" s="90">
        <v>0</v>
      </c>
      <c r="AT21" s="90">
        <v>0</v>
      </c>
      <c r="AU21" s="90">
        <v>0</v>
      </c>
      <c r="AV21" s="90">
        <v>0</v>
      </c>
      <c r="AW21" s="90">
        <v>0</v>
      </c>
      <c r="AX21" s="90">
        <v>0</v>
      </c>
      <c r="AY21" s="90">
        <v>0</v>
      </c>
      <c r="AZ21" s="90">
        <v>0</v>
      </c>
      <c r="BA21" s="90">
        <v>0</v>
      </c>
      <c r="BB21" s="90">
        <v>0</v>
      </c>
      <c r="BC21" s="90">
        <v>0</v>
      </c>
      <c r="BD21" s="90">
        <v>0</v>
      </c>
      <c r="BE21" s="90">
        <v>0</v>
      </c>
      <c r="BF21" s="90">
        <v>0</v>
      </c>
      <c r="BG21" s="90">
        <v>0</v>
      </c>
      <c r="BH21" s="90">
        <v>0</v>
      </c>
      <c r="BI21" s="90"/>
      <c r="BJ21" s="90"/>
      <c r="BK21" s="90"/>
      <c r="BL21" s="90">
        <v>15348</v>
      </c>
      <c r="BM21" s="90">
        <v>16524</v>
      </c>
      <c r="BN21" s="90">
        <v>16484</v>
      </c>
      <c r="BO21" s="90">
        <v>9529</v>
      </c>
      <c r="BP21" s="90">
        <v>8934</v>
      </c>
      <c r="BQ21" s="90">
        <v>9561</v>
      </c>
      <c r="BR21" s="90">
        <v>8264</v>
      </c>
      <c r="BS21" s="90">
        <v>8381</v>
      </c>
      <c r="BT21" s="90">
        <v>6261</v>
      </c>
      <c r="BU21" s="90">
        <v>0</v>
      </c>
      <c r="BV21" s="90">
        <v>0</v>
      </c>
      <c r="BW21" s="90">
        <v>0</v>
      </c>
      <c r="BX21" s="90">
        <v>0</v>
      </c>
      <c r="BY21" s="90">
        <f t="shared" si="0"/>
        <v>0</v>
      </c>
      <c r="BZ21" s="90">
        <f t="shared" si="1"/>
        <v>0</v>
      </c>
    </row>
    <row r="22" spans="2:78" hidden="1" outlineLevel="1">
      <c r="B22" s="179" t="s">
        <v>431</v>
      </c>
      <c r="C22" s="172" t="s">
        <v>193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0">
        <v>0</v>
      </c>
      <c r="AM22" s="90">
        <v>0</v>
      </c>
      <c r="AN22" s="90">
        <v>0</v>
      </c>
      <c r="AO22" s="90">
        <v>0</v>
      </c>
      <c r="AP22" s="90">
        <v>0</v>
      </c>
      <c r="AQ22" s="90">
        <v>0</v>
      </c>
      <c r="AR22" s="90">
        <v>0</v>
      </c>
      <c r="AS22" s="90">
        <v>-22651</v>
      </c>
      <c r="AT22" s="90">
        <v>-22651</v>
      </c>
      <c r="AU22" s="90">
        <v>-33033</v>
      </c>
      <c r="AV22" s="90">
        <v>0</v>
      </c>
      <c r="AW22" s="90">
        <v>0</v>
      </c>
      <c r="AX22" s="90">
        <v>0</v>
      </c>
      <c r="AY22" s="90">
        <v>0</v>
      </c>
      <c r="AZ22" s="90">
        <v>0</v>
      </c>
      <c r="BA22" s="90">
        <v>0</v>
      </c>
      <c r="BB22" s="90">
        <v>0</v>
      </c>
      <c r="BC22" s="90">
        <v>0</v>
      </c>
      <c r="BD22" s="90">
        <v>0</v>
      </c>
      <c r="BE22" s="90">
        <v>0</v>
      </c>
      <c r="BF22" s="90">
        <v>0</v>
      </c>
      <c r="BG22" s="90">
        <v>0</v>
      </c>
      <c r="BH22" s="90">
        <v>0</v>
      </c>
      <c r="BI22" s="90"/>
      <c r="BJ22" s="90"/>
      <c r="BK22" s="90"/>
      <c r="BL22" s="90">
        <v>0</v>
      </c>
      <c r="BM22" s="90">
        <v>0</v>
      </c>
      <c r="BN22" s="90">
        <v>0</v>
      </c>
      <c r="BO22" s="90">
        <v>0</v>
      </c>
      <c r="BP22" s="90">
        <v>0</v>
      </c>
      <c r="BQ22" s="90">
        <v>0</v>
      </c>
      <c r="BR22" s="90">
        <v>0</v>
      </c>
      <c r="BS22" s="90">
        <v>0</v>
      </c>
      <c r="BT22" s="90">
        <v>0</v>
      </c>
      <c r="BU22" s="90">
        <v>0</v>
      </c>
      <c r="BV22" s="90">
        <v>-33033</v>
      </c>
      <c r="BW22" s="90">
        <v>0</v>
      </c>
      <c r="BX22" s="90">
        <v>0</v>
      </c>
      <c r="BY22" s="90">
        <f t="shared" si="0"/>
        <v>0</v>
      </c>
      <c r="BZ22" s="90">
        <f t="shared" si="1"/>
        <v>0</v>
      </c>
    </row>
    <row r="23" spans="2:78" hidden="1" outlineLevel="1">
      <c r="B23" s="179" t="s">
        <v>432</v>
      </c>
      <c r="C23" s="172" t="s">
        <v>44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0</v>
      </c>
      <c r="AG23" s="90">
        <v>0</v>
      </c>
      <c r="AH23" s="90">
        <v>0</v>
      </c>
      <c r="AI23" s="90">
        <v>0</v>
      </c>
      <c r="AJ23" s="90">
        <v>0</v>
      </c>
      <c r="AK23" s="90">
        <v>0</v>
      </c>
      <c r="AL23" s="90">
        <v>0</v>
      </c>
      <c r="AM23" s="90">
        <v>0</v>
      </c>
      <c r="AN23" s="90">
        <v>0</v>
      </c>
      <c r="AO23" s="90">
        <v>0</v>
      </c>
      <c r="AP23" s="90">
        <v>0</v>
      </c>
      <c r="AQ23" s="90">
        <v>0</v>
      </c>
      <c r="AR23" s="90">
        <v>0</v>
      </c>
      <c r="AS23" s="90">
        <v>0</v>
      </c>
      <c r="AT23" s="90">
        <v>0</v>
      </c>
      <c r="AU23" s="90">
        <v>0</v>
      </c>
      <c r="AV23" s="90">
        <v>0</v>
      </c>
      <c r="AW23" s="90">
        <v>0</v>
      </c>
      <c r="AX23" s="90">
        <v>1292</v>
      </c>
      <c r="AY23" s="90">
        <v>0</v>
      </c>
      <c r="AZ23" s="90">
        <v>0</v>
      </c>
      <c r="BA23" s="90">
        <v>0</v>
      </c>
      <c r="BB23" s="90">
        <v>0</v>
      </c>
      <c r="BC23" s="90">
        <v>0</v>
      </c>
      <c r="BD23" s="90">
        <v>0</v>
      </c>
      <c r="BE23" s="90">
        <v>0</v>
      </c>
      <c r="BF23" s="90">
        <v>0</v>
      </c>
      <c r="BG23" s="90">
        <v>0</v>
      </c>
      <c r="BH23" s="90">
        <v>0</v>
      </c>
      <c r="BI23" s="90"/>
      <c r="BJ23" s="90"/>
      <c r="BK23" s="90"/>
      <c r="BL23" s="90">
        <v>0</v>
      </c>
      <c r="BM23" s="90">
        <v>0</v>
      </c>
      <c r="BN23" s="90">
        <v>0</v>
      </c>
      <c r="BO23" s="90">
        <v>0</v>
      </c>
      <c r="BP23" s="90">
        <v>0</v>
      </c>
      <c r="BQ23" s="90">
        <v>0</v>
      </c>
      <c r="BR23" s="90">
        <v>0</v>
      </c>
      <c r="BS23" s="90">
        <v>0</v>
      </c>
      <c r="BT23" s="90">
        <v>0</v>
      </c>
      <c r="BU23" s="90">
        <v>0</v>
      </c>
      <c r="BV23" s="90">
        <v>0</v>
      </c>
      <c r="BW23" s="90">
        <v>0</v>
      </c>
      <c r="BX23" s="90">
        <v>0</v>
      </c>
      <c r="BY23" s="90">
        <f t="shared" si="0"/>
        <v>0</v>
      </c>
      <c r="BZ23" s="90">
        <f t="shared" si="1"/>
        <v>0</v>
      </c>
    </row>
    <row r="24" spans="2:78" hidden="1" outlineLevel="1">
      <c r="B24" s="179" t="s">
        <v>433</v>
      </c>
      <c r="C24" s="172" t="s">
        <v>194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-5153</v>
      </c>
      <c r="V24" s="90">
        <v>-9272</v>
      </c>
      <c r="W24" s="90">
        <v>-15212</v>
      </c>
      <c r="X24" s="90">
        <v>-3966</v>
      </c>
      <c r="Y24" s="90">
        <v>-6230</v>
      </c>
      <c r="Z24" s="90">
        <v>-8718</v>
      </c>
      <c r="AA24" s="90">
        <v>-12425</v>
      </c>
      <c r="AB24" s="90">
        <v>-3691</v>
      </c>
      <c r="AC24" s="90">
        <v>-7394</v>
      </c>
      <c r="AD24" s="90">
        <v>-12265</v>
      </c>
      <c r="AE24" s="90">
        <v>-17744</v>
      </c>
      <c r="AF24" s="90">
        <v>-4505</v>
      </c>
      <c r="AG24" s="90">
        <v>-7256</v>
      </c>
      <c r="AH24" s="90">
        <v>-9160</v>
      </c>
      <c r="AI24" s="90">
        <v>-12090</v>
      </c>
      <c r="AJ24" s="90">
        <v>-1370</v>
      </c>
      <c r="AK24" s="90">
        <v>-2946</v>
      </c>
      <c r="AL24" s="90">
        <v>-4241</v>
      </c>
      <c r="AM24" s="90">
        <v>-5228</v>
      </c>
      <c r="AN24" s="90">
        <v>-800</v>
      </c>
      <c r="AO24" s="90">
        <v>-546</v>
      </c>
      <c r="AP24" s="90">
        <v>0</v>
      </c>
      <c r="AQ24" s="90">
        <v>0</v>
      </c>
      <c r="AR24" s="90">
        <v>0</v>
      </c>
      <c r="AS24" s="90">
        <v>0</v>
      </c>
      <c r="AT24" s="90">
        <v>0</v>
      </c>
      <c r="AU24" s="90">
        <v>0</v>
      </c>
      <c r="AV24" s="90">
        <v>0</v>
      </c>
      <c r="AW24" s="90">
        <v>0</v>
      </c>
      <c r="AX24" s="90">
        <v>0</v>
      </c>
      <c r="AY24" s="90">
        <v>0</v>
      </c>
      <c r="AZ24" s="90">
        <v>0</v>
      </c>
      <c r="BA24" s="90">
        <v>0</v>
      </c>
      <c r="BB24" s="90">
        <v>0</v>
      </c>
      <c r="BC24" s="90">
        <v>0</v>
      </c>
      <c r="BD24" s="90">
        <v>0</v>
      </c>
      <c r="BE24" s="90">
        <v>0</v>
      </c>
      <c r="BF24" s="90">
        <v>0</v>
      </c>
      <c r="BG24" s="90">
        <v>0</v>
      </c>
      <c r="BH24" s="90">
        <v>0</v>
      </c>
      <c r="BI24" s="90"/>
      <c r="BJ24" s="90"/>
      <c r="BK24" s="90"/>
      <c r="BL24" s="90">
        <v>0</v>
      </c>
      <c r="BM24" s="90">
        <v>0</v>
      </c>
      <c r="BN24" s="90">
        <v>0</v>
      </c>
      <c r="BO24" s="90">
        <v>0</v>
      </c>
      <c r="BP24" s="90">
        <v>-15212</v>
      </c>
      <c r="BQ24" s="90">
        <v>-12425</v>
      </c>
      <c r="BR24" s="90">
        <v>-17744</v>
      </c>
      <c r="BS24" s="90">
        <v>-12090</v>
      </c>
      <c r="BT24" s="90">
        <v>-5228</v>
      </c>
      <c r="BU24" s="90">
        <v>0</v>
      </c>
      <c r="BV24" s="90">
        <v>0</v>
      </c>
      <c r="BW24" s="90">
        <v>0</v>
      </c>
      <c r="BX24" s="90">
        <v>0</v>
      </c>
      <c r="BY24" s="90">
        <f t="shared" si="0"/>
        <v>0</v>
      </c>
      <c r="BZ24" s="90">
        <f t="shared" si="1"/>
        <v>0</v>
      </c>
    </row>
    <row r="25" spans="2:78" hidden="1" outlineLevel="1">
      <c r="B25" s="180" t="s">
        <v>434</v>
      </c>
      <c r="C25" s="173" t="s">
        <v>62</v>
      </c>
      <c r="D25" s="90">
        <v>-252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0">
        <v>0</v>
      </c>
      <c r="AM25" s="90">
        <v>0</v>
      </c>
      <c r="AN25" s="90">
        <v>0</v>
      </c>
      <c r="AO25" s="90">
        <v>0</v>
      </c>
      <c r="AP25" s="90">
        <v>0</v>
      </c>
      <c r="AQ25" s="90">
        <v>0</v>
      </c>
      <c r="AR25" s="90">
        <v>0</v>
      </c>
      <c r="AS25" s="90">
        <v>0</v>
      </c>
      <c r="AT25" s="90">
        <v>0</v>
      </c>
      <c r="AU25" s="90"/>
      <c r="AV25" s="90"/>
      <c r="AW25" s="90"/>
      <c r="AX25" s="90"/>
      <c r="AY25" s="90"/>
      <c r="AZ25" s="90">
        <v>0</v>
      </c>
      <c r="BA25" s="90">
        <v>0</v>
      </c>
      <c r="BB25" s="90">
        <v>0</v>
      </c>
      <c r="BC25" s="90"/>
      <c r="BD25" s="90">
        <v>0</v>
      </c>
      <c r="BE25" s="90">
        <v>0</v>
      </c>
      <c r="BF25" s="90">
        <v>0</v>
      </c>
      <c r="BG25" s="90">
        <v>0</v>
      </c>
      <c r="BH25" s="90">
        <v>0</v>
      </c>
      <c r="BI25" s="90"/>
      <c r="BJ25" s="90"/>
      <c r="BK25" s="90"/>
      <c r="BL25" s="90">
        <v>0</v>
      </c>
      <c r="BM25" s="90">
        <v>0</v>
      </c>
      <c r="BN25" s="90">
        <v>0</v>
      </c>
      <c r="BO25" s="90">
        <v>0</v>
      </c>
      <c r="BP25" s="90">
        <v>0</v>
      </c>
      <c r="BQ25" s="90">
        <v>0</v>
      </c>
      <c r="BR25" s="90">
        <v>0</v>
      </c>
      <c r="BS25" s="90">
        <v>0</v>
      </c>
      <c r="BT25" s="90">
        <v>0</v>
      </c>
      <c r="BU25" s="90">
        <v>0</v>
      </c>
      <c r="BV25" s="90">
        <v>0</v>
      </c>
      <c r="BW25" s="90">
        <v>0</v>
      </c>
      <c r="BX25" s="90">
        <v>0</v>
      </c>
      <c r="BY25" s="90">
        <f t="shared" si="0"/>
        <v>0</v>
      </c>
      <c r="BZ25" s="90">
        <f t="shared" si="1"/>
        <v>0</v>
      </c>
    </row>
    <row r="26" spans="2:78" hidden="1" outlineLevel="1">
      <c r="B26" s="179" t="s">
        <v>435</v>
      </c>
      <c r="C26" s="172" t="s">
        <v>196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150</v>
      </c>
      <c r="W26" s="90">
        <v>305</v>
      </c>
      <c r="X26" s="90">
        <v>156</v>
      </c>
      <c r="Y26" s="90">
        <v>311</v>
      </c>
      <c r="Z26" s="90">
        <v>629</v>
      </c>
      <c r="AA26" s="90">
        <v>868</v>
      </c>
      <c r="AB26" s="90">
        <v>240</v>
      </c>
      <c r="AC26" s="90">
        <v>478</v>
      </c>
      <c r="AD26" s="90">
        <v>718</v>
      </c>
      <c r="AE26" s="90">
        <v>959</v>
      </c>
      <c r="AF26" s="90">
        <v>239</v>
      </c>
      <c r="AG26" s="90">
        <v>476</v>
      </c>
      <c r="AH26" s="90">
        <v>613</v>
      </c>
      <c r="AI26" s="90">
        <v>754</v>
      </c>
      <c r="AJ26" s="90">
        <v>-552</v>
      </c>
      <c r="AK26" s="90">
        <v>0</v>
      </c>
      <c r="AL26" s="90">
        <v>0</v>
      </c>
      <c r="AM26" s="90">
        <v>0</v>
      </c>
      <c r="AN26" s="90">
        <v>0</v>
      </c>
      <c r="AO26" s="90">
        <v>0</v>
      </c>
      <c r="AP26" s="90">
        <v>0</v>
      </c>
      <c r="AQ26" s="90">
        <v>0</v>
      </c>
      <c r="AR26" s="90">
        <v>0</v>
      </c>
      <c r="AS26" s="90">
        <v>0</v>
      </c>
      <c r="AT26" s="90">
        <v>0</v>
      </c>
      <c r="AU26" s="90">
        <v>0</v>
      </c>
      <c r="AV26" s="90">
        <v>0</v>
      </c>
      <c r="AW26" s="90">
        <v>0</v>
      </c>
      <c r="AX26" s="90">
        <v>0</v>
      </c>
      <c r="AY26" s="90">
        <v>0</v>
      </c>
      <c r="AZ26" s="90">
        <v>0</v>
      </c>
      <c r="BA26" s="90">
        <v>0</v>
      </c>
      <c r="BB26" s="90">
        <v>0</v>
      </c>
      <c r="BC26" s="90"/>
      <c r="BD26" s="90">
        <v>0</v>
      </c>
      <c r="BE26" s="90">
        <v>0</v>
      </c>
      <c r="BF26" s="90">
        <v>0</v>
      </c>
      <c r="BG26" s="90">
        <v>0</v>
      </c>
      <c r="BH26" s="90">
        <v>0</v>
      </c>
      <c r="BI26" s="90"/>
      <c r="BJ26" s="90"/>
      <c r="BK26" s="90"/>
      <c r="BL26" s="90">
        <v>0</v>
      </c>
      <c r="BM26" s="90">
        <v>0</v>
      </c>
      <c r="BN26" s="90">
        <v>0</v>
      </c>
      <c r="BO26" s="90">
        <v>0</v>
      </c>
      <c r="BP26" s="90">
        <v>305</v>
      </c>
      <c r="BQ26" s="90">
        <v>868</v>
      </c>
      <c r="BR26" s="90">
        <v>959</v>
      </c>
      <c r="BS26" s="90">
        <v>754</v>
      </c>
      <c r="BT26" s="90">
        <v>0</v>
      </c>
      <c r="BU26" s="90">
        <v>0</v>
      </c>
      <c r="BV26" s="90">
        <v>0</v>
      </c>
      <c r="BW26" s="90">
        <v>0</v>
      </c>
      <c r="BX26" s="90">
        <v>0</v>
      </c>
      <c r="BY26" s="90">
        <f t="shared" si="0"/>
        <v>0</v>
      </c>
      <c r="BZ26" s="90">
        <f t="shared" si="1"/>
        <v>0</v>
      </c>
    </row>
    <row r="27" spans="2:78" hidden="1" outlineLevel="1">
      <c r="B27" s="179" t="s">
        <v>436</v>
      </c>
      <c r="C27" s="172" t="s">
        <v>63</v>
      </c>
      <c r="D27" s="90">
        <v>-828</v>
      </c>
      <c r="E27" s="90">
        <v>-849</v>
      </c>
      <c r="F27" s="90">
        <v>-1308</v>
      </c>
      <c r="G27" s="90">
        <v>-2232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0</v>
      </c>
      <c r="AG27" s="90">
        <v>0</v>
      </c>
      <c r="AH27" s="90">
        <v>0</v>
      </c>
      <c r="AI27" s="90">
        <v>0</v>
      </c>
      <c r="AJ27" s="90">
        <v>0</v>
      </c>
      <c r="AK27" s="90">
        <v>0</v>
      </c>
      <c r="AL27" s="90">
        <v>0</v>
      </c>
      <c r="AM27" s="90">
        <v>0</v>
      </c>
      <c r="AN27" s="90">
        <v>0</v>
      </c>
      <c r="AO27" s="90">
        <v>0</v>
      </c>
      <c r="AP27" s="90">
        <v>0</v>
      </c>
      <c r="AQ27" s="90">
        <v>0</v>
      </c>
      <c r="AR27" s="90">
        <v>0</v>
      </c>
      <c r="AS27" s="90">
        <v>0</v>
      </c>
      <c r="AT27" s="90">
        <v>0</v>
      </c>
      <c r="AU27" s="90"/>
      <c r="AV27" s="90"/>
      <c r="AW27" s="90"/>
      <c r="AX27" s="90"/>
      <c r="AY27" s="90"/>
      <c r="AZ27" s="90">
        <v>0</v>
      </c>
      <c r="BA27" s="90">
        <v>0</v>
      </c>
      <c r="BB27" s="90">
        <v>0</v>
      </c>
      <c r="BC27" s="90"/>
      <c r="BD27" s="90">
        <v>0</v>
      </c>
      <c r="BE27" s="90">
        <v>0</v>
      </c>
      <c r="BF27" s="90">
        <v>0</v>
      </c>
      <c r="BG27" s="90">
        <v>0</v>
      </c>
      <c r="BH27" s="90">
        <v>0</v>
      </c>
      <c r="BI27" s="90"/>
      <c r="BJ27" s="90"/>
      <c r="BK27" s="90"/>
      <c r="BL27" s="90">
        <v>-2232</v>
      </c>
      <c r="BM27" s="90">
        <v>0</v>
      </c>
      <c r="BN27" s="90">
        <v>0</v>
      </c>
      <c r="BO27" s="90">
        <v>0</v>
      </c>
      <c r="BP27" s="90">
        <v>0</v>
      </c>
      <c r="BQ27" s="90">
        <v>0</v>
      </c>
      <c r="BR27" s="90">
        <v>0</v>
      </c>
      <c r="BS27" s="90">
        <v>0</v>
      </c>
      <c r="BT27" s="90">
        <v>0</v>
      </c>
      <c r="BU27" s="90">
        <v>0</v>
      </c>
      <c r="BV27" s="90">
        <v>0</v>
      </c>
      <c r="BW27" s="90">
        <v>0</v>
      </c>
      <c r="BX27" s="90">
        <v>0</v>
      </c>
      <c r="BY27" s="90">
        <f t="shared" si="0"/>
        <v>0</v>
      </c>
      <c r="BZ27" s="90">
        <f t="shared" si="1"/>
        <v>0</v>
      </c>
    </row>
    <row r="28" spans="2:78" collapsed="1">
      <c r="B28" s="180" t="s">
        <v>437</v>
      </c>
      <c r="C28" s="173" t="s">
        <v>197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0">
        <v>0</v>
      </c>
      <c r="AN28" s="90">
        <v>0</v>
      </c>
      <c r="AO28" s="90">
        <v>385</v>
      </c>
      <c r="AP28" s="90">
        <v>737</v>
      </c>
      <c r="AQ28" s="90">
        <v>4208</v>
      </c>
      <c r="AR28" s="90">
        <v>232</v>
      </c>
      <c r="AS28" s="90">
        <v>6733</v>
      </c>
      <c r="AT28" s="90">
        <v>11866</v>
      </c>
      <c r="AU28" s="90">
        <v>16355</v>
      </c>
      <c r="AV28" s="90">
        <v>3411</v>
      </c>
      <c r="AW28" s="90">
        <v>5124</v>
      </c>
      <c r="AX28" s="90">
        <v>20686</v>
      </c>
      <c r="AY28" s="90">
        <v>41421</v>
      </c>
      <c r="AZ28" s="90">
        <v>28940</v>
      </c>
      <c r="BA28" s="90">
        <v>49765</v>
      </c>
      <c r="BB28" s="90">
        <v>78822</v>
      </c>
      <c r="BC28" s="90">
        <v>112342</v>
      </c>
      <c r="BD28" s="90">
        <v>9497</v>
      </c>
      <c r="BE28" s="90">
        <v>18618</v>
      </c>
      <c r="BF28" s="90">
        <v>35331</v>
      </c>
      <c r="BG28" s="90">
        <v>54595</v>
      </c>
      <c r="BH28" s="90">
        <v>16316</v>
      </c>
      <c r="BI28" s="90">
        <v>28936</v>
      </c>
      <c r="BJ28" s="90">
        <v>52061</v>
      </c>
      <c r="BK28" s="90"/>
      <c r="BL28" s="90">
        <v>0</v>
      </c>
      <c r="BM28" s="90">
        <v>0</v>
      </c>
      <c r="BN28" s="90">
        <v>0</v>
      </c>
      <c r="BO28" s="90">
        <v>0</v>
      </c>
      <c r="BP28" s="90">
        <v>0</v>
      </c>
      <c r="BQ28" s="90">
        <v>0</v>
      </c>
      <c r="BR28" s="90">
        <v>0</v>
      </c>
      <c r="BS28" s="90">
        <v>0</v>
      </c>
      <c r="BT28" s="90">
        <v>0</v>
      </c>
      <c r="BU28" s="90">
        <v>4208</v>
      </c>
      <c r="BV28" s="90">
        <v>16355</v>
      </c>
      <c r="BW28" s="90">
        <v>41421</v>
      </c>
      <c r="BX28" s="90">
        <v>112342</v>
      </c>
      <c r="BY28" s="90">
        <f t="shared" si="0"/>
        <v>54595</v>
      </c>
      <c r="BZ28" s="90">
        <f t="shared" si="1"/>
        <v>52061</v>
      </c>
    </row>
    <row r="29" spans="2:78">
      <c r="B29" s="180" t="s">
        <v>438</v>
      </c>
      <c r="C29" s="173" t="s">
        <v>198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8358</v>
      </c>
      <c r="AP29" s="90">
        <v>8355</v>
      </c>
      <c r="AQ29" s="90">
        <v>6582</v>
      </c>
      <c r="AR29" s="90">
        <v>3990</v>
      </c>
      <c r="AS29" s="90">
        <v>5057</v>
      </c>
      <c r="AT29" s="90">
        <v>6842</v>
      </c>
      <c r="AU29" s="90">
        <v>5158</v>
      </c>
      <c r="AV29" s="90">
        <v>5159</v>
      </c>
      <c r="AW29" s="90">
        <v>5491</v>
      </c>
      <c r="AX29" s="90">
        <v>5685</v>
      </c>
      <c r="AY29" s="90">
        <v>10905</v>
      </c>
      <c r="AZ29" s="90">
        <v>11603</v>
      </c>
      <c r="BA29" s="90">
        <v>17604</v>
      </c>
      <c r="BB29" s="90">
        <v>26258</v>
      </c>
      <c r="BC29" s="90">
        <v>24922</v>
      </c>
      <c r="BD29" s="90">
        <v>11039</v>
      </c>
      <c r="BE29" s="90">
        <v>13194</v>
      </c>
      <c r="BF29" s="90">
        <v>12101</v>
      </c>
      <c r="BG29" s="90">
        <v>5907</v>
      </c>
      <c r="BH29" s="90">
        <v>11550</v>
      </c>
      <c r="BI29" s="90">
        <v>16556</v>
      </c>
      <c r="BJ29" s="90">
        <v>16651</v>
      </c>
      <c r="BK29" s="90"/>
      <c r="BL29" s="90">
        <v>0</v>
      </c>
      <c r="BM29" s="90">
        <v>0</v>
      </c>
      <c r="BN29" s="90">
        <v>0</v>
      </c>
      <c r="BO29" s="90">
        <v>0</v>
      </c>
      <c r="BP29" s="90">
        <v>0</v>
      </c>
      <c r="BQ29" s="90">
        <v>0</v>
      </c>
      <c r="BR29" s="90">
        <v>0</v>
      </c>
      <c r="BS29" s="90">
        <v>0</v>
      </c>
      <c r="BT29" s="90">
        <v>0</v>
      </c>
      <c r="BU29" s="90">
        <v>6582</v>
      </c>
      <c r="BV29" s="90">
        <v>5158</v>
      </c>
      <c r="BW29" s="90">
        <v>10905</v>
      </c>
      <c r="BX29" s="90">
        <v>24922</v>
      </c>
      <c r="BY29" s="90">
        <f t="shared" si="0"/>
        <v>5907</v>
      </c>
      <c r="BZ29" s="90">
        <f t="shared" si="1"/>
        <v>16651</v>
      </c>
    </row>
    <row r="30" spans="2:78" s="47" customFormat="1">
      <c r="B30" s="178" t="s">
        <v>439</v>
      </c>
      <c r="C30" s="51" t="s">
        <v>199</v>
      </c>
      <c r="D30" s="118">
        <v>-4915</v>
      </c>
      <c r="E30" s="118">
        <v>-19319</v>
      </c>
      <c r="F30" s="118">
        <v>-15335</v>
      </c>
      <c r="G30" s="118">
        <v>19751</v>
      </c>
      <c r="H30" s="118">
        <v>5198</v>
      </c>
      <c r="I30" s="118">
        <v>-3226</v>
      </c>
      <c r="J30" s="118">
        <v>-31505</v>
      </c>
      <c r="K30" s="118">
        <v>-30680</v>
      </c>
      <c r="L30" s="118">
        <v>15708</v>
      </c>
      <c r="M30" s="118">
        <v>291</v>
      </c>
      <c r="N30" s="118">
        <v>486</v>
      </c>
      <c r="O30" s="118">
        <v>4904</v>
      </c>
      <c r="P30" s="118">
        <v>-7975</v>
      </c>
      <c r="Q30" s="118">
        <v>-27482</v>
      </c>
      <c r="R30" s="118">
        <v>-38203</v>
      </c>
      <c r="S30" s="118">
        <v>-76727</v>
      </c>
      <c r="T30" s="118">
        <v>-37465</v>
      </c>
      <c r="U30" s="118">
        <v>-28075</v>
      </c>
      <c r="V30" s="118">
        <v>-79612</v>
      </c>
      <c r="W30" s="118">
        <v>-62629</v>
      </c>
      <c r="X30" s="118">
        <v>-18951</v>
      </c>
      <c r="Y30" s="118">
        <v>-16821</v>
      </c>
      <c r="Z30" s="118">
        <v>-3655</v>
      </c>
      <c r="AA30" s="118">
        <v>8692</v>
      </c>
      <c r="AB30" s="118">
        <v>55136</v>
      </c>
      <c r="AC30" s="118">
        <v>86511</v>
      </c>
      <c r="AD30" s="118">
        <v>105590</v>
      </c>
      <c r="AE30" s="118">
        <v>102164</v>
      </c>
      <c r="AF30" s="118">
        <v>4167</v>
      </c>
      <c r="AG30" s="118">
        <v>-28949</v>
      </c>
      <c r="AH30" s="118">
        <v>-44966</v>
      </c>
      <c r="AI30" s="118">
        <v>-17946</v>
      </c>
      <c r="AJ30" s="118">
        <v>32078</v>
      </c>
      <c r="AK30" s="118">
        <v>20744</v>
      </c>
      <c r="AL30" s="118">
        <v>-16209</v>
      </c>
      <c r="AM30" s="118">
        <v>-49295</v>
      </c>
      <c r="AN30" s="118">
        <v>15893</v>
      </c>
      <c r="AO30" s="118">
        <v>15482</v>
      </c>
      <c r="AP30" s="118">
        <v>7318</v>
      </c>
      <c r="AQ30" s="118">
        <v>18598</v>
      </c>
      <c r="AR30" s="118">
        <v>7113</v>
      </c>
      <c r="AS30" s="118">
        <v>30551</v>
      </c>
      <c r="AT30" s="118">
        <v>-10654</v>
      </c>
      <c r="AU30" s="118">
        <v>-46430</v>
      </c>
      <c r="AV30" s="118">
        <v>-40833</v>
      </c>
      <c r="AW30" s="118">
        <v>-83562</v>
      </c>
      <c r="AX30" s="118">
        <v>-242540</v>
      </c>
      <c r="AY30" s="118">
        <v>-234577</v>
      </c>
      <c r="AZ30" s="118">
        <v>-5088.6919999999991</v>
      </c>
      <c r="BA30" s="118">
        <v>-104095</v>
      </c>
      <c r="BB30" s="118">
        <v>-151275</v>
      </c>
      <c r="BC30" s="118">
        <v>-48153</v>
      </c>
      <c r="BD30" s="118">
        <v>54759</v>
      </c>
      <c r="BE30" s="118">
        <v>110163</v>
      </c>
      <c r="BF30" s="118">
        <f>+SUM(BF31:BF35)</f>
        <v>15983</v>
      </c>
      <c r="BG30" s="118">
        <f>+SUM(BG31:BG35)</f>
        <v>-15034</v>
      </c>
      <c r="BH30" s="118">
        <f>+SUM(BH31:BH35)</f>
        <v>39939</v>
      </c>
      <c r="BI30" s="118">
        <f>+SUM(BI31:BI35)</f>
        <v>123392</v>
      </c>
      <c r="BJ30" s="118">
        <f>+SUM(BJ31:BJ35)</f>
        <v>35648</v>
      </c>
      <c r="BK30" s="118"/>
      <c r="BL30" s="118">
        <v>19751</v>
      </c>
      <c r="BM30" s="118">
        <v>-30680</v>
      </c>
      <c r="BN30" s="118">
        <v>4904</v>
      </c>
      <c r="BO30" s="118">
        <v>-76727</v>
      </c>
      <c r="BP30" s="118">
        <v>-62629</v>
      </c>
      <c r="BQ30" s="118">
        <v>8692</v>
      </c>
      <c r="BR30" s="118">
        <v>102164</v>
      </c>
      <c r="BS30" s="118">
        <v>-17946</v>
      </c>
      <c r="BT30" s="118">
        <v>-49295</v>
      </c>
      <c r="BU30" s="118">
        <v>18598</v>
      </c>
      <c r="BV30" s="118">
        <v>-46430</v>
      </c>
      <c r="BW30" s="118">
        <v>-234577</v>
      </c>
      <c r="BX30" s="118">
        <v>-48153</v>
      </c>
      <c r="BY30" s="118">
        <f>+SUM(BY31:BY35)</f>
        <v>-15034</v>
      </c>
      <c r="BZ30" s="118">
        <f>+SUM(BZ31:BZ35)</f>
        <v>35648</v>
      </c>
    </row>
    <row r="31" spans="2:78">
      <c r="B31" s="179" t="s">
        <v>357</v>
      </c>
      <c r="C31" s="172" t="s">
        <v>132</v>
      </c>
      <c r="D31" s="90">
        <v>7932</v>
      </c>
      <c r="E31" s="90">
        <v>-2450</v>
      </c>
      <c r="F31" s="90">
        <v>9678</v>
      </c>
      <c r="G31" s="90">
        <v>21213</v>
      </c>
      <c r="H31" s="90">
        <v>16819</v>
      </c>
      <c r="I31" s="90">
        <v>3720</v>
      </c>
      <c r="J31" s="90">
        <v>-22625</v>
      </c>
      <c r="K31" s="90">
        <v>-17948</v>
      </c>
      <c r="L31" s="90">
        <v>6151</v>
      </c>
      <c r="M31" s="90">
        <v>5061</v>
      </c>
      <c r="N31" s="90">
        <v>20172</v>
      </c>
      <c r="O31" s="90">
        <v>1376</v>
      </c>
      <c r="P31" s="90">
        <v>-12553</v>
      </c>
      <c r="Q31" s="90">
        <v>-2551</v>
      </c>
      <c r="R31" s="90">
        <v>-9080</v>
      </c>
      <c r="S31" s="90">
        <v>4779</v>
      </c>
      <c r="T31" s="90">
        <v>5305</v>
      </c>
      <c r="U31" s="90">
        <v>16088</v>
      </c>
      <c r="V31" s="90">
        <v>-41663</v>
      </c>
      <c r="W31" s="90">
        <v>-45465</v>
      </c>
      <c r="X31" s="90">
        <v>16292</v>
      </c>
      <c r="Y31" s="90">
        <v>19221</v>
      </c>
      <c r="Z31" s="90">
        <v>2520</v>
      </c>
      <c r="AA31" s="90">
        <v>-35129</v>
      </c>
      <c r="AB31" s="90">
        <v>39074</v>
      </c>
      <c r="AC31" s="90">
        <v>66359</v>
      </c>
      <c r="AD31" s="90">
        <v>74673</v>
      </c>
      <c r="AE31" s="90">
        <v>56533</v>
      </c>
      <c r="AF31" s="90">
        <v>29933</v>
      </c>
      <c r="AG31" s="90">
        <v>17830</v>
      </c>
      <c r="AH31" s="90">
        <v>8815</v>
      </c>
      <c r="AI31" s="90">
        <v>14145</v>
      </c>
      <c r="AJ31" s="90">
        <v>25903</v>
      </c>
      <c r="AK31" s="90">
        <v>37124</v>
      </c>
      <c r="AL31" s="90">
        <v>26311</v>
      </c>
      <c r="AM31" s="90">
        <v>-1966</v>
      </c>
      <c r="AN31" s="90">
        <v>16132</v>
      </c>
      <c r="AO31" s="90">
        <v>4918</v>
      </c>
      <c r="AP31" s="90">
        <v>-8215</v>
      </c>
      <c r="AQ31" s="90">
        <v>-12018</v>
      </c>
      <c r="AR31" s="90">
        <v>746</v>
      </c>
      <c r="AS31" s="90">
        <v>27192</v>
      </c>
      <c r="AT31" s="90">
        <v>9449</v>
      </c>
      <c r="AU31" s="90">
        <v>-17801</v>
      </c>
      <c r="AV31" s="90">
        <v>-5593</v>
      </c>
      <c r="AW31" s="90">
        <v>-1887</v>
      </c>
      <c r="AX31" s="90">
        <v>-20073</v>
      </c>
      <c r="AY31" s="90">
        <v>-31387</v>
      </c>
      <c r="AZ31" s="90">
        <v>-4427</v>
      </c>
      <c r="BA31" s="90">
        <v>-44893</v>
      </c>
      <c r="BB31" s="90">
        <v>-90085</v>
      </c>
      <c r="BC31" s="90">
        <v>-73726</v>
      </c>
      <c r="BD31" s="90">
        <v>22882</v>
      </c>
      <c r="BE31" s="90">
        <v>43141</v>
      </c>
      <c r="BF31" s="90">
        <v>-33827</v>
      </c>
      <c r="BG31" s="90">
        <v>-121730</v>
      </c>
      <c r="BH31" s="90">
        <v>49983</v>
      </c>
      <c r="BI31" s="90">
        <v>131172</v>
      </c>
      <c r="BJ31" s="90">
        <v>65010</v>
      </c>
      <c r="BK31" s="90"/>
      <c r="BL31" s="90">
        <v>21213</v>
      </c>
      <c r="BM31" s="90">
        <v>-17948</v>
      </c>
      <c r="BN31" s="90">
        <v>1376</v>
      </c>
      <c r="BO31" s="90">
        <v>4779</v>
      </c>
      <c r="BP31" s="90">
        <v>-45465</v>
      </c>
      <c r="BQ31" s="90">
        <v>-35129</v>
      </c>
      <c r="BR31" s="90">
        <v>56533</v>
      </c>
      <c r="BS31" s="90">
        <v>14145</v>
      </c>
      <c r="BT31" s="90">
        <v>-1966</v>
      </c>
      <c r="BU31" s="90">
        <v>-12018</v>
      </c>
      <c r="BV31" s="90">
        <v>-17801</v>
      </c>
      <c r="BW31" s="90">
        <v>-31387</v>
      </c>
      <c r="BX31" s="90">
        <v>-73726</v>
      </c>
      <c r="BY31" s="90">
        <f t="shared" ref="BY31:BY35" si="2">+BG31</f>
        <v>-121730</v>
      </c>
      <c r="BZ31" s="90">
        <f>+BJ31</f>
        <v>65010</v>
      </c>
    </row>
    <row r="32" spans="2:78">
      <c r="B32" s="179" t="s">
        <v>358</v>
      </c>
      <c r="C32" s="172" t="s">
        <v>133</v>
      </c>
      <c r="D32" s="90">
        <v>-7687</v>
      </c>
      <c r="E32" s="90">
        <v>-13349</v>
      </c>
      <c r="F32" s="90">
        <v>-27106</v>
      </c>
      <c r="G32" s="90">
        <v>-6878</v>
      </c>
      <c r="H32" s="90">
        <v>-11887</v>
      </c>
      <c r="I32" s="90">
        <v>-7527</v>
      </c>
      <c r="J32" s="90">
        <v>-8803</v>
      </c>
      <c r="K32" s="90">
        <v>-14938</v>
      </c>
      <c r="L32" s="90">
        <v>5607</v>
      </c>
      <c r="M32" s="90">
        <v>-8917</v>
      </c>
      <c r="N32" s="90">
        <v>-23313</v>
      </c>
      <c r="O32" s="90">
        <v>-10174</v>
      </c>
      <c r="P32" s="90">
        <v>3046</v>
      </c>
      <c r="Q32" s="90">
        <v>-15009</v>
      </c>
      <c r="R32" s="90">
        <v>-26872</v>
      </c>
      <c r="S32" s="90">
        <v>-65583</v>
      </c>
      <c r="T32" s="90">
        <v>-37616</v>
      </c>
      <c r="U32" s="90">
        <v>-45028</v>
      </c>
      <c r="V32" s="90">
        <v>-29160</v>
      </c>
      <c r="W32" s="90">
        <v>1515</v>
      </c>
      <c r="X32" s="90">
        <v>-28583</v>
      </c>
      <c r="Y32" s="90">
        <v>-24054</v>
      </c>
      <c r="Z32" s="90">
        <v>1222</v>
      </c>
      <c r="AA32" s="90">
        <v>44866</v>
      </c>
      <c r="AB32" s="90">
        <v>10483</v>
      </c>
      <c r="AC32" s="90">
        <v>14583</v>
      </c>
      <c r="AD32" s="90">
        <v>28500</v>
      </c>
      <c r="AE32" s="90">
        <v>47698</v>
      </c>
      <c r="AF32" s="90">
        <v>-24434</v>
      </c>
      <c r="AG32" s="90">
        <v>-39125</v>
      </c>
      <c r="AH32" s="90">
        <v>-35597</v>
      </c>
      <c r="AI32" s="90">
        <v>-11409</v>
      </c>
      <c r="AJ32" s="90">
        <v>3399</v>
      </c>
      <c r="AK32" s="90">
        <v>-18487</v>
      </c>
      <c r="AL32" s="90">
        <v>-39077</v>
      </c>
      <c r="AM32" s="90">
        <v>-32924</v>
      </c>
      <c r="AN32" s="90">
        <v>-4139</v>
      </c>
      <c r="AO32" s="90">
        <v>-8687</v>
      </c>
      <c r="AP32" s="90">
        <v>-13721</v>
      </c>
      <c r="AQ32" s="90">
        <v>-7459</v>
      </c>
      <c r="AR32" s="90">
        <v>3318</v>
      </c>
      <c r="AS32" s="90">
        <v>-2989</v>
      </c>
      <c r="AT32" s="90">
        <v>-19984</v>
      </c>
      <c r="AU32" s="90">
        <v>-27340</v>
      </c>
      <c r="AV32" s="90">
        <v>-24940</v>
      </c>
      <c r="AW32" s="90">
        <v>-66516</v>
      </c>
      <c r="AX32" s="90">
        <v>-189594</v>
      </c>
      <c r="AY32" s="90">
        <v>-178272</v>
      </c>
      <c r="AZ32" s="90">
        <v>-4139.692</v>
      </c>
      <c r="BA32" s="90">
        <v>-57141</v>
      </c>
      <c r="BB32" s="90">
        <v>-51884</v>
      </c>
      <c r="BC32" s="90">
        <v>8593</v>
      </c>
      <c r="BD32" s="90">
        <v>24124</v>
      </c>
      <c r="BE32" s="90">
        <v>36735</v>
      </c>
      <c r="BF32" s="90">
        <v>16476</v>
      </c>
      <c r="BG32" s="90">
        <v>61952</v>
      </c>
      <c r="BH32" s="90">
        <v>-6475</v>
      </c>
      <c r="BI32" s="90">
        <v>-14950</v>
      </c>
      <c r="BJ32" s="90">
        <v>-35085</v>
      </c>
      <c r="BK32" s="90"/>
      <c r="BL32" s="90">
        <v>-6878</v>
      </c>
      <c r="BM32" s="90">
        <v>-14938</v>
      </c>
      <c r="BN32" s="90">
        <v>-10174</v>
      </c>
      <c r="BO32" s="90">
        <v>-65583</v>
      </c>
      <c r="BP32" s="90">
        <v>1515</v>
      </c>
      <c r="BQ32" s="90">
        <v>44866</v>
      </c>
      <c r="BR32" s="90">
        <v>47698</v>
      </c>
      <c r="BS32" s="90">
        <v>-11409</v>
      </c>
      <c r="BT32" s="90">
        <v>-32924</v>
      </c>
      <c r="BU32" s="90">
        <v>-7459</v>
      </c>
      <c r="BV32" s="90">
        <v>-27340</v>
      </c>
      <c r="BW32" s="90">
        <v>-178272</v>
      </c>
      <c r="BX32" s="90">
        <v>8593</v>
      </c>
      <c r="BY32" s="90">
        <f t="shared" si="2"/>
        <v>61952</v>
      </c>
      <c r="BZ32" s="90">
        <f>+BJ32</f>
        <v>-35085</v>
      </c>
    </row>
    <row r="33" spans="2:78">
      <c r="B33" s="179" t="s">
        <v>360</v>
      </c>
      <c r="C33" s="172" t="s">
        <v>135</v>
      </c>
      <c r="D33" s="90">
        <v>704</v>
      </c>
      <c r="E33" s="90">
        <v>2368</v>
      </c>
      <c r="F33" s="90">
        <v>5014</v>
      </c>
      <c r="G33" s="90">
        <v>6857</v>
      </c>
      <c r="H33" s="90">
        <v>490</v>
      </c>
      <c r="I33" s="90">
        <v>-473</v>
      </c>
      <c r="J33" s="90">
        <v>1691</v>
      </c>
      <c r="K33" s="90">
        <v>-1849</v>
      </c>
      <c r="L33" s="90">
        <v>4154</v>
      </c>
      <c r="M33" s="90">
        <v>4180</v>
      </c>
      <c r="N33" s="90">
        <v>6894</v>
      </c>
      <c r="O33" s="90">
        <v>11231</v>
      </c>
      <c r="P33" s="90">
        <v>3549</v>
      </c>
      <c r="Q33" s="90">
        <v>2911</v>
      </c>
      <c r="R33" s="90">
        <v>5854</v>
      </c>
      <c r="S33" s="90">
        <v>-327</v>
      </c>
      <c r="T33" s="90">
        <v>-8518</v>
      </c>
      <c r="U33" s="90">
        <v>-1672</v>
      </c>
      <c r="V33" s="90">
        <v>-2959</v>
      </c>
      <c r="W33" s="90">
        <v>-20487</v>
      </c>
      <c r="X33" s="90">
        <v>-5420</v>
      </c>
      <c r="Y33" s="90">
        <v>-10738</v>
      </c>
      <c r="Z33" s="90">
        <v>-6535</v>
      </c>
      <c r="AA33" s="90">
        <v>1629</v>
      </c>
      <c r="AB33" s="90">
        <v>713</v>
      </c>
      <c r="AC33" s="90">
        <v>1328</v>
      </c>
      <c r="AD33" s="90">
        <v>-444</v>
      </c>
      <c r="AE33" s="90">
        <v>-4528</v>
      </c>
      <c r="AF33" s="90">
        <v>-2079</v>
      </c>
      <c r="AG33" s="90">
        <v>-8044</v>
      </c>
      <c r="AH33" s="90">
        <v>-18650</v>
      </c>
      <c r="AI33" s="90">
        <v>-18938</v>
      </c>
      <c r="AJ33" s="90">
        <v>1755</v>
      </c>
      <c r="AK33" s="90">
        <v>4787</v>
      </c>
      <c r="AL33" s="90">
        <v>-3524</v>
      </c>
      <c r="AM33" s="90">
        <v>-13074</v>
      </c>
      <c r="AN33" s="90">
        <v>4026</v>
      </c>
      <c r="AO33" s="90">
        <v>18368</v>
      </c>
      <c r="AP33" s="90">
        <v>26659</v>
      </c>
      <c r="AQ33" s="90">
        <v>36720</v>
      </c>
      <c r="AR33" s="90">
        <v>4079</v>
      </c>
      <c r="AS33" s="90">
        <v>4974</v>
      </c>
      <c r="AT33" s="90">
        <v>-927</v>
      </c>
      <c r="AU33" s="90">
        <v>-1290</v>
      </c>
      <c r="AV33" s="90">
        <v>-4214</v>
      </c>
      <c r="AW33" s="90">
        <v>-13146</v>
      </c>
      <c r="AX33" s="90">
        <v>-33149</v>
      </c>
      <c r="AY33" s="90">
        <v>-25196</v>
      </c>
      <c r="AZ33" s="90">
        <v>494</v>
      </c>
      <c r="BA33" s="90">
        <v>-4354</v>
      </c>
      <c r="BB33" s="90">
        <v>-10696</v>
      </c>
      <c r="BC33" s="90">
        <v>14764</v>
      </c>
      <c r="BD33" s="90">
        <v>13788</v>
      </c>
      <c r="BE33" s="90">
        <v>7646</v>
      </c>
      <c r="BF33" s="90">
        <v>1892</v>
      </c>
      <c r="BG33" s="90">
        <v>7452</v>
      </c>
      <c r="BH33" s="90">
        <v>-984</v>
      </c>
      <c r="BI33" s="90">
        <v>4366</v>
      </c>
      <c r="BJ33" s="90">
        <v>-1809</v>
      </c>
      <c r="BK33" s="90"/>
      <c r="BL33" s="90">
        <v>6857</v>
      </c>
      <c r="BM33" s="90">
        <v>-1849</v>
      </c>
      <c r="BN33" s="90">
        <v>11231</v>
      </c>
      <c r="BO33" s="90">
        <v>-327</v>
      </c>
      <c r="BP33" s="90">
        <v>-20487</v>
      </c>
      <c r="BQ33" s="90">
        <v>1629</v>
      </c>
      <c r="BR33" s="90">
        <v>-4528</v>
      </c>
      <c r="BS33" s="90">
        <v>-18938</v>
      </c>
      <c r="BT33" s="90">
        <v>-13074</v>
      </c>
      <c r="BU33" s="90">
        <v>36720</v>
      </c>
      <c r="BV33" s="90">
        <v>-1290</v>
      </c>
      <c r="BW33" s="90">
        <v>-25196</v>
      </c>
      <c r="BX33" s="90">
        <v>14764</v>
      </c>
      <c r="BY33" s="90">
        <f t="shared" si="2"/>
        <v>7452</v>
      </c>
      <c r="BZ33" s="90">
        <f>+BJ33</f>
        <v>-1809</v>
      </c>
    </row>
    <row r="34" spans="2:78" hidden="1" outlineLevel="1">
      <c r="B34" s="179" t="s">
        <v>440</v>
      </c>
      <c r="C34" s="172" t="s">
        <v>200</v>
      </c>
      <c r="D34" s="90">
        <v>-5864</v>
      </c>
      <c r="E34" s="90">
        <v>-5888</v>
      </c>
      <c r="F34" s="90">
        <v>0</v>
      </c>
      <c r="G34" s="90">
        <v>-1441</v>
      </c>
      <c r="H34" s="90">
        <v>-224</v>
      </c>
      <c r="I34" s="90">
        <v>1054</v>
      </c>
      <c r="J34" s="90">
        <v>0</v>
      </c>
      <c r="K34" s="90">
        <v>4055</v>
      </c>
      <c r="L34" s="90">
        <v>-204</v>
      </c>
      <c r="M34" s="90">
        <v>-33</v>
      </c>
      <c r="N34" s="90">
        <v>-3267</v>
      </c>
      <c r="O34" s="90">
        <v>2471</v>
      </c>
      <c r="P34" s="90">
        <v>0</v>
      </c>
      <c r="Q34" s="90">
        <v>0</v>
      </c>
      <c r="R34" s="90">
        <v>0</v>
      </c>
      <c r="S34" s="90">
        <v>-15596</v>
      </c>
      <c r="T34" s="90">
        <v>0</v>
      </c>
      <c r="U34" s="90">
        <v>0</v>
      </c>
      <c r="V34" s="90">
        <v>0</v>
      </c>
      <c r="W34" s="90">
        <v>1808</v>
      </c>
      <c r="X34" s="90">
        <v>0</v>
      </c>
      <c r="Y34" s="90">
        <v>0</v>
      </c>
      <c r="Z34" s="90">
        <v>0</v>
      </c>
      <c r="AA34" s="90">
        <v>-2674</v>
      </c>
      <c r="AB34" s="90">
        <v>0</v>
      </c>
      <c r="AC34" s="90">
        <v>0</v>
      </c>
      <c r="AD34" s="90">
        <v>0</v>
      </c>
      <c r="AE34" s="90">
        <v>2461</v>
      </c>
      <c r="AF34" s="90">
        <v>0</v>
      </c>
      <c r="AG34" s="90">
        <v>0</v>
      </c>
      <c r="AH34" s="90">
        <v>0</v>
      </c>
      <c r="AI34" s="90">
        <v>-1744</v>
      </c>
      <c r="AJ34" s="90">
        <v>0</v>
      </c>
      <c r="AK34" s="90">
        <v>-2680</v>
      </c>
      <c r="AL34" s="90">
        <v>0</v>
      </c>
      <c r="AM34" s="90">
        <v>-1331</v>
      </c>
      <c r="AN34" s="90">
        <v>0</v>
      </c>
      <c r="AO34" s="90">
        <v>883</v>
      </c>
      <c r="AP34" s="90">
        <v>2595</v>
      </c>
      <c r="AQ34" s="90">
        <v>0</v>
      </c>
      <c r="AR34" s="90">
        <v>0</v>
      </c>
      <c r="AS34" s="90">
        <v>0</v>
      </c>
      <c r="AT34" s="90">
        <v>0</v>
      </c>
      <c r="AU34" s="90">
        <v>0</v>
      </c>
      <c r="AV34" s="90">
        <v>0</v>
      </c>
      <c r="AW34" s="90">
        <v>0</v>
      </c>
      <c r="AX34" s="90">
        <v>0</v>
      </c>
      <c r="AY34" s="90"/>
      <c r="AZ34" s="90">
        <v>0</v>
      </c>
      <c r="BA34" s="90">
        <v>0</v>
      </c>
      <c r="BB34" s="90">
        <v>0</v>
      </c>
      <c r="BC34" s="90">
        <v>0</v>
      </c>
      <c r="BD34" s="90">
        <v>0</v>
      </c>
      <c r="BE34" s="90">
        <v>0</v>
      </c>
      <c r="BF34" s="90">
        <v>0</v>
      </c>
      <c r="BG34" s="90">
        <v>0</v>
      </c>
      <c r="BH34" s="90"/>
      <c r="BI34" s="90"/>
      <c r="BJ34" s="90"/>
      <c r="BK34" s="90"/>
      <c r="BL34" s="90">
        <v>-1441</v>
      </c>
      <c r="BM34" s="90">
        <v>4055</v>
      </c>
      <c r="BN34" s="90">
        <v>2471</v>
      </c>
      <c r="BO34" s="90">
        <v>-15596</v>
      </c>
      <c r="BP34" s="90">
        <v>1808</v>
      </c>
      <c r="BQ34" s="90">
        <v>-2674</v>
      </c>
      <c r="BR34" s="90">
        <v>2461</v>
      </c>
      <c r="BS34" s="90">
        <v>-1744</v>
      </c>
      <c r="BT34" s="90">
        <v>-1331</v>
      </c>
      <c r="BU34" s="90">
        <v>0</v>
      </c>
      <c r="BV34" s="90">
        <v>0</v>
      </c>
      <c r="BW34" s="90">
        <v>0</v>
      </c>
      <c r="BX34" s="90">
        <v>0</v>
      </c>
      <c r="BY34" s="90">
        <f t="shared" si="2"/>
        <v>0</v>
      </c>
      <c r="BZ34" s="90">
        <f>+BJ34</f>
        <v>0</v>
      </c>
    </row>
    <row r="35" spans="2:78" collapsed="1">
      <c r="B35" s="179" t="s">
        <v>363</v>
      </c>
      <c r="C35" s="172" t="s">
        <v>246</v>
      </c>
      <c r="D35" s="90">
        <v>0</v>
      </c>
      <c r="E35" s="90">
        <v>0</v>
      </c>
      <c r="F35" s="90">
        <v>-2921</v>
      </c>
      <c r="G35" s="90">
        <v>0</v>
      </c>
      <c r="H35" s="90">
        <v>0</v>
      </c>
      <c r="I35" s="90">
        <v>0</v>
      </c>
      <c r="J35" s="90">
        <v>-1768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-2017</v>
      </c>
      <c r="Q35" s="90">
        <v>-12833</v>
      </c>
      <c r="R35" s="90">
        <v>-8105</v>
      </c>
      <c r="S35" s="90">
        <v>0</v>
      </c>
      <c r="T35" s="90">
        <v>3364</v>
      </c>
      <c r="U35" s="90">
        <v>2537</v>
      </c>
      <c r="V35" s="90">
        <v>-5830</v>
      </c>
      <c r="W35" s="90">
        <v>0</v>
      </c>
      <c r="X35" s="90">
        <v>-1240</v>
      </c>
      <c r="Y35" s="90">
        <v>-1250</v>
      </c>
      <c r="Z35" s="90">
        <v>-862</v>
      </c>
      <c r="AA35" s="90">
        <v>0</v>
      </c>
      <c r="AB35" s="90">
        <v>4866</v>
      </c>
      <c r="AC35" s="90">
        <v>4241</v>
      </c>
      <c r="AD35" s="90">
        <v>2861</v>
      </c>
      <c r="AE35" s="90">
        <v>0</v>
      </c>
      <c r="AF35" s="90">
        <v>747</v>
      </c>
      <c r="AG35" s="90">
        <v>390</v>
      </c>
      <c r="AH35" s="90">
        <v>466</v>
      </c>
      <c r="AI35" s="90">
        <v>0</v>
      </c>
      <c r="AJ35" s="90">
        <v>1021</v>
      </c>
      <c r="AK35" s="90">
        <v>0</v>
      </c>
      <c r="AL35" s="90">
        <v>81</v>
      </c>
      <c r="AM35" s="90">
        <v>0</v>
      </c>
      <c r="AN35" s="90">
        <v>-126</v>
      </c>
      <c r="AO35" s="90">
        <v>0</v>
      </c>
      <c r="AP35" s="90">
        <v>0</v>
      </c>
      <c r="AQ35" s="90">
        <v>1355</v>
      </c>
      <c r="AR35" s="90">
        <v>-1030</v>
      </c>
      <c r="AS35" s="90">
        <v>1374</v>
      </c>
      <c r="AT35" s="90">
        <v>808</v>
      </c>
      <c r="AU35" s="90">
        <v>1</v>
      </c>
      <c r="AV35" s="90">
        <v>-6086</v>
      </c>
      <c r="AW35" s="90">
        <v>-2013</v>
      </c>
      <c r="AX35" s="90">
        <v>276</v>
      </c>
      <c r="AY35" s="90">
        <v>278</v>
      </c>
      <c r="AZ35" s="90">
        <v>2984</v>
      </c>
      <c r="BA35" s="90">
        <v>2293</v>
      </c>
      <c r="BB35" s="90">
        <v>1390</v>
      </c>
      <c r="BC35" s="90">
        <v>2216</v>
      </c>
      <c r="BD35" s="90">
        <v>-6035</v>
      </c>
      <c r="BE35" s="90">
        <v>22641</v>
      </c>
      <c r="BF35" s="90">
        <v>31442</v>
      </c>
      <c r="BG35" s="90">
        <v>37292</v>
      </c>
      <c r="BH35" s="90">
        <v>-2585</v>
      </c>
      <c r="BI35" s="90">
        <v>2804</v>
      </c>
      <c r="BJ35" s="90">
        <v>7532</v>
      </c>
      <c r="BK35" s="90"/>
      <c r="BL35" s="90">
        <v>0</v>
      </c>
      <c r="BM35" s="90">
        <v>0</v>
      </c>
      <c r="BN35" s="90">
        <v>0</v>
      </c>
      <c r="BO35" s="90">
        <v>0</v>
      </c>
      <c r="BP35" s="90">
        <v>0</v>
      </c>
      <c r="BQ35" s="90">
        <v>0</v>
      </c>
      <c r="BR35" s="90">
        <v>0</v>
      </c>
      <c r="BS35" s="90">
        <v>0</v>
      </c>
      <c r="BT35" s="90">
        <v>0</v>
      </c>
      <c r="BU35" s="90">
        <v>1355</v>
      </c>
      <c r="BV35" s="90">
        <v>1</v>
      </c>
      <c r="BW35" s="90">
        <v>278</v>
      </c>
      <c r="BX35" s="90">
        <v>2216</v>
      </c>
      <c r="BY35" s="90">
        <f t="shared" si="2"/>
        <v>37292</v>
      </c>
      <c r="BZ35" s="90">
        <f>+BJ35</f>
        <v>7532</v>
      </c>
    </row>
    <row r="36" spans="2:78" s="47" customFormat="1">
      <c r="B36" s="178" t="s">
        <v>441</v>
      </c>
      <c r="C36" s="51" t="s">
        <v>201</v>
      </c>
      <c r="D36" s="118">
        <v>-7109</v>
      </c>
      <c r="E36" s="118">
        <v>7608</v>
      </c>
      <c r="F36" s="118">
        <v>11955</v>
      </c>
      <c r="G36" s="118">
        <v>-17898</v>
      </c>
      <c r="H36" s="118">
        <v>-7168</v>
      </c>
      <c r="I36" s="118">
        <v>-14142</v>
      </c>
      <c r="J36" s="118">
        <v>11050</v>
      </c>
      <c r="K36" s="118">
        <v>9409</v>
      </c>
      <c r="L36" s="118">
        <v>-35098</v>
      </c>
      <c r="M36" s="118">
        <v>-36831</v>
      </c>
      <c r="N36" s="118">
        <v>-16058</v>
      </c>
      <c r="O36" s="118">
        <v>-11093</v>
      </c>
      <c r="P36" s="118">
        <v>-1678</v>
      </c>
      <c r="Q36" s="118">
        <v>20290</v>
      </c>
      <c r="R36" s="118">
        <v>53938</v>
      </c>
      <c r="S36" s="118">
        <v>30530</v>
      </c>
      <c r="T36" s="118">
        <v>36755</v>
      </c>
      <c r="U36" s="118">
        <v>9647</v>
      </c>
      <c r="V36" s="118">
        <v>72949</v>
      </c>
      <c r="W36" s="118">
        <v>10997</v>
      </c>
      <c r="X36" s="118">
        <v>12649</v>
      </c>
      <c r="Y36" s="118">
        <v>882</v>
      </c>
      <c r="Z36" s="118">
        <v>2167</v>
      </c>
      <c r="AA36" s="118">
        <v>-31712</v>
      </c>
      <c r="AB36" s="118">
        <v>-41369</v>
      </c>
      <c r="AC36" s="118">
        <v>-53973</v>
      </c>
      <c r="AD36" s="118">
        <v>-26255</v>
      </c>
      <c r="AE36" s="118">
        <v>-37323</v>
      </c>
      <c r="AF36" s="118">
        <v>-20187</v>
      </c>
      <c r="AG36" s="118">
        <v>-9014</v>
      </c>
      <c r="AH36" s="118">
        <v>25548</v>
      </c>
      <c r="AI36" s="118">
        <v>12007</v>
      </c>
      <c r="AJ36" s="118">
        <v>-30584</v>
      </c>
      <c r="AK36" s="118">
        <v>-10664</v>
      </c>
      <c r="AL36" s="118">
        <v>-11282</v>
      </c>
      <c r="AM36" s="118">
        <v>-14790</v>
      </c>
      <c r="AN36" s="118">
        <v>-41716</v>
      </c>
      <c r="AO36" s="118">
        <v>-27257</v>
      </c>
      <c r="AP36" s="118">
        <v>-20280</v>
      </c>
      <c r="AQ36" s="118">
        <v>-36437</v>
      </c>
      <c r="AR36" s="118">
        <v>-38042</v>
      </c>
      <c r="AS36" s="118">
        <v>4747</v>
      </c>
      <c r="AT36" s="118">
        <v>97253</v>
      </c>
      <c r="AU36" s="118">
        <v>212945</v>
      </c>
      <c r="AV36" s="118">
        <v>-17602</v>
      </c>
      <c r="AW36" s="118">
        <v>47811</v>
      </c>
      <c r="AX36" s="118">
        <v>157008</v>
      </c>
      <c r="AY36" s="118">
        <v>22051</v>
      </c>
      <c r="AZ36" s="118">
        <v>-98214</v>
      </c>
      <c r="BA36" s="118">
        <v>-26</v>
      </c>
      <c r="BB36" s="118">
        <v>-29444</v>
      </c>
      <c r="BC36" s="118">
        <v>-175813</v>
      </c>
      <c r="BD36" s="118">
        <v>-98455</v>
      </c>
      <c r="BE36" s="118">
        <v>-119855</v>
      </c>
      <c r="BF36" s="118">
        <f>+SUM(BF37:BF48)</f>
        <v>-45968</v>
      </c>
      <c r="BG36" s="118">
        <f>+SUM(BG37:BG48)</f>
        <v>-48485</v>
      </c>
      <c r="BH36" s="118">
        <f>+SUM(BH37:BH48)</f>
        <v>-114482</v>
      </c>
      <c r="BI36" s="118">
        <f>+SUM(BI37:BI48)</f>
        <v>-127405</v>
      </c>
      <c r="BJ36" s="118">
        <f>+SUM(BJ37:BJ48)</f>
        <v>-113295</v>
      </c>
      <c r="BK36" s="118"/>
      <c r="BL36" s="118">
        <v>-17898</v>
      </c>
      <c r="BM36" s="118">
        <v>9409</v>
      </c>
      <c r="BN36" s="118">
        <v>-11093</v>
      </c>
      <c r="BO36" s="118">
        <v>30530</v>
      </c>
      <c r="BP36" s="118">
        <v>10997</v>
      </c>
      <c r="BQ36" s="118">
        <v>-31712</v>
      </c>
      <c r="BR36" s="118">
        <v>-37323</v>
      </c>
      <c r="BS36" s="118">
        <v>12007</v>
      </c>
      <c r="BT36" s="118">
        <v>-14790</v>
      </c>
      <c r="BU36" s="118">
        <v>-36437</v>
      </c>
      <c r="BV36" s="118">
        <v>212945</v>
      </c>
      <c r="BW36" s="118">
        <v>22051</v>
      </c>
      <c r="BX36" s="118">
        <v>-175813</v>
      </c>
      <c r="BY36" s="118">
        <f>+SUM(BY37:BY48)</f>
        <v>-48485</v>
      </c>
      <c r="BZ36" s="118">
        <f>+SUM(BZ37:BZ48)</f>
        <v>-113295</v>
      </c>
    </row>
    <row r="37" spans="2:78">
      <c r="B37" s="179" t="s">
        <v>442</v>
      </c>
      <c r="C37" s="172" t="s">
        <v>202</v>
      </c>
      <c r="D37" s="71">
        <v>2446</v>
      </c>
      <c r="E37" s="71">
        <v>2927</v>
      </c>
      <c r="F37" s="71">
        <v>7876</v>
      </c>
      <c r="G37" s="71">
        <v>1991</v>
      </c>
      <c r="H37" s="71">
        <v>1398</v>
      </c>
      <c r="I37" s="71">
        <v>-1660</v>
      </c>
      <c r="J37" s="71">
        <v>12616</v>
      </c>
      <c r="K37" s="71">
        <v>10452</v>
      </c>
      <c r="L37" s="71">
        <v>-12420</v>
      </c>
      <c r="M37" s="71">
        <v>-12604</v>
      </c>
      <c r="N37" s="71">
        <v>464</v>
      </c>
      <c r="O37" s="71">
        <v>-2829</v>
      </c>
      <c r="P37" s="71">
        <v>1928</v>
      </c>
      <c r="Q37" s="71">
        <v>423</v>
      </c>
      <c r="R37" s="71">
        <v>10775</v>
      </c>
      <c r="S37" s="71">
        <v>15728</v>
      </c>
      <c r="T37" s="71">
        <v>2045</v>
      </c>
      <c r="U37" s="71">
        <v>-6364</v>
      </c>
      <c r="V37" s="71">
        <v>19776</v>
      </c>
      <c r="W37" s="71">
        <v>-13843</v>
      </c>
      <c r="X37" s="71">
        <v>621</v>
      </c>
      <c r="Y37" s="71">
        <v>10924</v>
      </c>
      <c r="Z37" s="71">
        <v>28534</v>
      </c>
      <c r="AA37" s="71">
        <v>20476</v>
      </c>
      <c r="AB37" s="71">
        <v>-13694</v>
      </c>
      <c r="AC37" s="71">
        <v>-22127</v>
      </c>
      <c r="AD37" s="71">
        <v>-5197</v>
      </c>
      <c r="AE37" s="71">
        <v>-3903</v>
      </c>
      <c r="AF37" s="71">
        <v>8540</v>
      </c>
      <c r="AG37" s="71">
        <v>2190</v>
      </c>
      <c r="AH37" s="71">
        <v>18842</v>
      </c>
      <c r="AI37" s="71">
        <v>5812</v>
      </c>
      <c r="AJ37" s="71">
        <v>-14416</v>
      </c>
      <c r="AK37" s="71">
        <v>39</v>
      </c>
      <c r="AL37" s="71">
        <v>640</v>
      </c>
      <c r="AM37" s="71">
        <v>-6649</v>
      </c>
      <c r="AN37" s="71">
        <v>787</v>
      </c>
      <c r="AO37" s="71">
        <v>979</v>
      </c>
      <c r="AP37" s="71">
        <v>-3344</v>
      </c>
      <c r="AQ37" s="71">
        <v>7916</v>
      </c>
      <c r="AR37" s="71">
        <v>-22456</v>
      </c>
      <c r="AS37" s="71">
        <v>-18693</v>
      </c>
      <c r="AT37" s="71">
        <v>16262</v>
      </c>
      <c r="AU37" s="71">
        <v>21191</v>
      </c>
      <c r="AV37" s="71">
        <v>16909</v>
      </c>
      <c r="AW37" s="71">
        <v>20531</v>
      </c>
      <c r="AX37" s="71">
        <v>47628</v>
      </c>
      <c r="AY37" s="71">
        <v>-8207</v>
      </c>
      <c r="AZ37" s="71">
        <v>47778</v>
      </c>
      <c r="BA37" s="71">
        <v>36524</v>
      </c>
      <c r="BB37" s="71">
        <v>37345</v>
      </c>
      <c r="BC37" s="71">
        <v>3567</v>
      </c>
      <c r="BD37" s="71">
        <v>-4825</v>
      </c>
      <c r="BE37" s="71">
        <v>2482</v>
      </c>
      <c r="BF37" s="71">
        <v>64320</v>
      </c>
      <c r="BG37" s="71">
        <v>46817</v>
      </c>
      <c r="BH37" s="71">
        <v>-17797</v>
      </c>
      <c r="BI37" s="71">
        <v>-25695</v>
      </c>
      <c r="BJ37" s="71">
        <v>-6230</v>
      </c>
      <c r="BK37" s="71"/>
      <c r="BL37" s="71">
        <v>1991</v>
      </c>
      <c r="BM37" s="71">
        <v>10452</v>
      </c>
      <c r="BN37" s="71">
        <v>-2829</v>
      </c>
      <c r="BO37" s="71">
        <v>15728</v>
      </c>
      <c r="BP37" s="71">
        <v>-13843</v>
      </c>
      <c r="BQ37" s="71">
        <v>20476</v>
      </c>
      <c r="BR37" s="71">
        <v>-3903</v>
      </c>
      <c r="BS37" s="71">
        <v>5812</v>
      </c>
      <c r="BT37" s="71">
        <v>-6649</v>
      </c>
      <c r="BU37" s="71">
        <v>7916</v>
      </c>
      <c r="BV37" s="71">
        <v>21191</v>
      </c>
      <c r="BW37" s="71">
        <v>-8207</v>
      </c>
      <c r="BX37" s="71">
        <v>3567</v>
      </c>
      <c r="BY37" s="90">
        <f t="shared" ref="BY37:BY48" si="3">+BG37</f>
        <v>46817</v>
      </c>
      <c r="BZ37" s="90">
        <f t="shared" ref="BZ37:BZ48" si="4">+BJ37</f>
        <v>-6230</v>
      </c>
    </row>
    <row r="38" spans="2:78">
      <c r="B38" s="179" t="s">
        <v>443</v>
      </c>
      <c r="C38" s="172" t="s">
        <v>247</v>
      </c>
      <c r="D38" s="71">
        <v>-228</v>
      </c>
      <c r="E38" s="71">
        <v>2107</v>
      </c>
      <c r="F38" s="71">
        <v>3323</v>
      </c>
      <c r="G38" s="71">
        <v>5738</v>
      </c>
      <c r="H38" s="71">
        <v>-3761</v>
      </c>
      <c r="I38" s="71">
        <v>-2402</v>
      </c>
      <c r="J38" s="71">
        <v>123</v>
      </c>
      <c r="K38" s="71">
        <v>3514</v>
      </c>
      <c r="L38" s="71">
        <v>-2807</v>
      </c>
      <c r="M38" s="71">
        <v>-4072</v>
      </c>
      <c r="N38" s="71">
        <v>-3894</v>
      </c>
      <c r="O38" s="71">
        <v>-361</v>
      </c>
      <c r="P38" s="71">
        <v>-1581</v>
      </c>
      <c r="Q38" s="71">
        <v>-1407</v>
      </c>
      <c r="R38" s="71">
        <v>1160</v>
      </c>
      <c r="S38" s="71">
        <v>4690</v>
      </c>
      <c r="T38" s="71">
        <v>352</v>
      </c>
      <c r="U38" s="71">
        <v>-995</v>
      </c>
      <c r="V38" s="71">
        <v>1804</v>
      </c>
      <c r="W38" s="71">
        <v>5512</v>
      </c>
      <c r="X38" s="71">
        <v>-3351</v>
      </c>
      <c r="Y38" s="71">
        <v>-5942</v>
      </c>
      <c r="Z38" s="71">
        <v>-5050</v>
      </c>
      <c r="AA38" s="71">
        <v>-11402</v>
      </c>
      <c r="AB38" s="71">
        <v>-3016</v>
      </c>
      <c r="AC38" s="71">
        <v>256</v>
      </c>
      <c r="AD38" s="71">
        <v>10</v>
      </c>
      <c r="AE38" s="71">
        <v>539</v>
      </c>
      <c r="AF38" s="71">
        <v>-511</v>
      </c>
      <c r="AG38" s="71">
        <v>2685</v>
      </c>
      <c r="AH38" s="71">
        <v>5672</v>
      </c>
      <c r="AI38" s="71">
        <v>-3434</v>
      </c>
      <c r="AJ38" s="71">
        <v>-832</v>
      </c>
      <c r="AK38" s="71">
        <v>687</v>
      </c>
      <c r="AL38" s="71">
        <v>2875</v>
      </c>
      <c r="AM38" s="71">
        <v>114</v>
      </c>
      <c r="AN38" s="71">
        <v>-1898</v>
      </c>
      <c r="AO38" s="71">
        <v>2002</v>
      </c>
      <c r="AP38" s="71">
        <v>7376</v>
      </c>
      <c r="AQ38" s="71">
        <v>-924</v>
      </c>
      <c r="AR38" s="71">
        <v>-4142</v>
      </c>
      <c r="AS38" s="71">
        <v>1670</v>
      </c>
      <c r="AT38" s="71">
        <v>6472</v>
      </c>
      <c r="AU38" s="71">
        <v>4748</v>
      </c>
      <c r="AV38" s="71">
        <v>-6039</v>
      </c>
      <c r="AW38" s="71">
        <v>-2845</v>
      </c>
      <c r="AX38" s="71">
        <v>4566</v>
      </c>
      <c r="AY38" s="71">
        <v>3360</v>
      </c>
      <c r="AZ38" s="71">
        <v>-1042</v>
      </c>
      <c r="BA38" s="71">
        <v>8346</v>
      </c>
      <c r="BB38" s="71">
        <v>20723</v>
      </c>
      <c r="BC38" s="71">
        <v>16521</v>
      </c>
      <c r="BD38" s="71">
        <v>-20177</v>
      </c>
      <c r="BE38" s="71">
        <v>-11965</v>
      </c>
      <c r="BF38" s="71">
        <v>-1699</v>
      </c>
      <c r="BG38" s="71">
        <v>-4697</v>
      </c>
      <c r="BH38" s="71">
        <v>-12813</v>
      </c>
      <c r="BI38" s="71">
        <v>-4263</v>
      </c>
      <c r="BJ38" s="71">
        <v>7410</v>
      </c>
      <c r="BK38" s="71"/>
      <c r="BL38" s="71">
        <v>5738</v>
      </c>
      <c r="BM38" s="71">
        <v>3514</v>
      </c>
      <c r="BN38" s="71">
        <v>-361</v>
      </c>
      <c r="BO38" s="71">
        <v>4690</v>
      </c>
      <c r="BP38" s="71">
        <v>5512</v>
      </c>
      <c r="BQ38" s="71">
        <v>-11402</v>
      </c>
      <c r="BR38" s="71">
        <v>539</v>
      </c>
      <c r="BS38" s="71">
        <v>-3434</v>
      </c>
      <c r="BT38" s="71">
        <v>114</v>
      </c>
      <c r="BU38" s="71">
        <v>-924</v>
      </c>
      <c r="BV38" s="71">
        <v>4748</v>
      </c>
      <c r="BW38" s="71">
        <v>3360</v>
      </c>
      <c r="BX38" s="71">
        <v>16521</v>
      </c>
      <c r="BY38" s="90">
        <f t="shared" si="3"/>
        <v>-4697</v>
      </c>
      <c r="BZ38" s="90">
        <f t="shared" si="4"/>
        <v>7410</v>
      </c>
    </row>
    <row r="39" spans="2:78">
      <c r="B39" s="179" t="s">
        <v>360</v>
      </c>
      <c r="C39" s="172" t="s">
        <v>156</v>
      </c>
      <c r="D39" s="71">
        <v>-2966</v>
      </c>
      <c r="E39" s="71">
        <v>-3774</v>
      </c>
      <c r="F39" s="71">
        <v>-5069</v>
      </c>
      <c r="G39" s="71">
        <v>-1920</v>
      </c>
      <c r="H39" s="71">
        <v>-1461</v>
      </c>
      <c r="I39" s="71">
        <v>-1157</v>
      </c>
      <c r="J39" s="71">
        <v>-1316</v>
      </c>
      <c r="K39" s="71">
        <v>3791</v>
      </c>
      <c r="L39" s="71">
        <v>-1413</v>
      </c>
      <c r="M39" s="71">
        <v>-1524</v>
      </c>
      <c r="N39" s="71">
        <v>-1472</v>
      </c>
      <c r="O39" s="71">
        <v>1732</v>
      </c>
      <c r="P39" s="71">
        <v>-1444</v>
      </c>
      <c r="Q39" s="71">
        <v>-1097</v>
      </c>
      <c r="R39" s="71">
        <v>-4824</v>
      </c>
      <c r="S39" s="71">
        <v>-7609</v>
      </c>
      <c r="T39" s="71">
        <v>-1086</v>
      </c>
      <c r="U39" s="71">
        <v>-3317</v>
      </c>
      <c r="V39" s="71">
        <v>-5513</v>
      </c>
      <c r="W39" s="71">
        <v>-3424</v>
      </c>
      <c r="X39" s="71">
        <v>-1064</v>
      </c>
      <c r="Y39" s="71">
        <v>-333</v>
      </c>
      <c r="Z39" s="71">
        <v>-901</v>
      </c>
      <c r="AA39" s="71">
        <v>63</v>
      </c>
      <c r="AB39" s="71">
        <v>-1573</v>
      </c>
      <c r="AC39" s="71">
        <v>-3364</v>
      </c>
      <c r="AD39" s="71">
        <v>-2742</v>
      </c>
      <c r="AE39" s="71">
        <v>-4108</v>
      </c>
      <c r="AF39" s="71">
        <v>-2797</v>
      </c>
      <c r="AG39" s="71">
        <v>-3273</v>
      </c>
      <c r="AH39" s="71">
        <v>-4052</v>
      </c>
      <c r="AI39" s="71">
        <v>-5426</v>
      </c>
      <c r="AJ39" s="71">
        <v>-3496</v>
      </c>
      <c r="AK39" s="71">
        <v>-4211</v>
      </c>
      <c r="AL39" s="71">
        <v>-4625</v>
      </c>
      <c r="AM39" s="71">
        <v>-3403</v>
      </c>
      <c r="AN39" s="71">
        <v>140</v>
      </c>
      <c r="AO39" s="71">
        <v>111</v>
      </c>
      <c r="AP39" s="71">
        <v>-500</v>
      </c>
      <c r="AQ39" s="71">
        <v>-941</v>
      </c>
      <c r="AR39" s="71">
        <v>455</v>
      </c>
      <c r="AS39" s="71">
        <v>-52</v>
      </c>
      <c r="AT39" s="71">
        <v>-1127</v>
      </c>
      <c r="AU39" s="71">
        <v>-1246</v>
      </c>
      <c r="AV39" s="71">
        <v>-437</v>
      </c>
      <c r="AW39" s="71">
        <v>-228</v>
      </c>
      <c r="AX39" s="71">
        <v>-206</v>
      </c>
      <c r="AY39" s="71">
        <v>3636</v>
      </c>
      <c r="AZ39" s="71">
        <v>-2324</v>
      </c>
      <c r="BA39" s="71">
        <v>-2269</v>
      </c>
      <c r="BB39" s="71">
        <v>4577</v>
      </c>
      <c r="BC39" s="71">
        <v>-1804</v>
      </c>
      <c r="BD39" s="71">
        <v>694</v>
      </c>
      <c r="BE39" s="71">
        <v>52</v>
      </c>
      <c r="BF39" s="71">
        <v>-860</v>
      </c>
      <c r="BG39" s="71">
        <v>3097</v>
      </c>
      <c r="BH39" s="71">
        <v>-2591</v>
      </c>
      <c r="BI39" s="71">
        <v>-2196</v>
      </c>
      <c r="BJ39" s="71">
        <v>-3825</v>
      </c>
      <c r="BK39" s="71"/>
      <c r="BL39" s="71">
        <v>-1920</v>
      </c>
      <c r="BM39" s="71">
        <v>3791</v>
      </c>
      <c r="BN39" s="71">
        <v>1732</v>
      </c>
      <c r="BO39" s="71">
        <v>-7609</v>
      </c>
      <c r="BP39" s="71">
        <v>-3424</v>
      </c>
      <c r="BQ39" s="71">
        <v>63</v>
      </c>
      <c r="BR39" s="71">
        <v>-4108</v>
      </c>
      <c r="BS39" s="71">
        <v>-5426</v>
      </c>
      <c r="BT39" s="71">
        <v>-3403</v>
      </c>
      <c r="BU39" s="71">
        <v>-941</v>
      </c>
      <c r="BV39" s="71">
        <v>-1246</v>
      </c>
      <c r="BW39" s="71">
        <v>3636</v>
      </c>
      <c r="BX39" s="71">
        <v>-1804</v>
      </c>
      <c r="BY39" s="90">
        <f t="shared" si="3"/>
        <v>3097</v>
      </c>
      <c r="BZ39" s="90">
        <f t="shared" si="4"/>
        <v>-3825</v>
      </c>
    </row>
    <row r="40" spans="2:78">
      <c r="B40" s="179" t="s">
        <v>382</v>
      </c>
      <c r="C40" s="172" t="s">
        <v>155</v>
      </c>
      <c r="D40" s="71">
        <v>-2595</v>
      </c>
      <c r="E40" s="71">
        <v>15716</v>
      </c>
      <c r="F40" s="71">
        <v>18827</v>
      </c>
      <c r="G40" s="71"/>
      <c r="H40" s="71">
        <v>-385</v>
      </c>
      <c r="I40" s="71">
        <v>4599</v>
      </c>
      <c r="J40" s="71">
        <v>12379</v>
      </c>
      <c r="K40" s="71">
        <v>3266</v>
      </c>
      <c r="L40" s="71">
        <v>-9341</v>
      </c>
      <c r="M40" s="71">
        <v>-4387</v>
      </c>
      <c r="N40" s="71">
        <v>6077</v>
      </c>
      <c r="O40" s="71">
        <v>4466</v>
      </c>
      <c r="P40" s="71">
        <v>5631</v>
      </c>
      <c r="Q40" s="71">
        <v>11412</v>
      </c>
      <c r="R40" s="71">
        <v>38418</v>
      </c>
      <c r="S40" s="71">
        <v>31706</v>
      </c>
      <c r="T40" s="71">
        <v>38480</v>
      </c>
      <c r="U40" s="71">
        <v>27082</v>
      </c>
      <c r="V40" s="71">
        <v>74604</v>
      </c>
      <c r="W40" s="71">
        <v>46142</v>
      </c>
      <c r="X40" s="71">
        <v>20973</v>
      </c>
      <c r="Y40" s="71">
        <v>2604</v>
      </c>
      <c r="Z40" s="71">
        <v>-16831</v>
      </c>
      <c r="AA40" s="71">
        <v>-31473</v>
      </c>
      <c r="AB40" s="71">
        <v>-18363</v>
      </c>
      <c r="AC40" s="71">
        <v>-23290</v>
      </c>
      <c r="AD40" s="71">
        <v>-12577</v>
      </c>
      <c r="AE40" s="71">
        <v>-21330</v>
      </c>
      <c r="AF40" s="71">
        <v>-19985</v>
      </c>
      <c r="AG40" s="71">
        <v>-4423</v>
      </c>
      <c r="AH40" s="71">
        <v>11886</v>
      </c>
      <c r="AI40" s="71">
        <v>19131</v>
      </c>
      <c r="AJ40" s="71">
        <v>-7151</v>
      </c>
      <c r="AK40" s="71">
        <v>-2156</v>
      </c>
      <c r="AL40" s="71">
        <v>-3265</v>
      </c>
      <c r="AM40" s="71">
        <v>4139</v>
      </c>
      <c r="AN40" s="71">
        <v>-32040</v>
      </c>
      <c r="AO40" s="71">
        <v>-16944</v>
      </c>
      <c r="AP40" s="71">
        <v>-9994</v>
      </c>
      <c r="AQ40" s="71">
        <v>-33739</v>
      </c>
      <c r="AR40" s="71">
        <v>-7908</v>
      </c>
      <c r="AS40" s="71">
        <v>24399</v>
      </c>
      <c r="AT40" s="71">
        <v>87830</v>
      </c>
      <c r="AU40" s="71">
        <v>204530</v>
      </c>
      <c r="AV40" s="71">
        <v>-22336</v>
      </c>
      <c r="AW40" s="71">
        <v>35022</v>
      </c>
      <c r="AX40" s="71">
        <v>113998</v>
      </c>
      <c r="AY40" s="71">
        <v>55986</v>
      </c>
      <c r="AZ40" s="71">
        <v>-118399</v>
      </c>
      <c r="BA40" s="71">
        <v>-507</v>
      </c>
      <c r="BB40" s="71">
        <v>-20304</v>
      </c>
      <c r="BC40" s="71">
        <v>-90294</v>
      </c>
      <c r="BD40" s="71">
        <v>-55175</v>
      </c>
      <c r="BE40" s="71">
        <v>-70336</v>
      </c>
      <c r="BF40" s="71">
        <v>-57874</v>
      </c>
      <c r="BG40" s="71">
        <v>-24790</v>
      </c>
      <c r="BH40" s="71">
        <v>-57749</v>
      </c>
      <c r="BI40" s="71">
        <v>-44236</v>
      </c>
      <c r="BJ40" s="71">
        <v>-41249</v>
      </c>
      <c r="BK40" s="71"/>
      <c r="BL40" s="71">
        <v>0</v>
      </c>
      <c r="BM40" s="71">
        <v>3266</v>
      </c>
      <c r="BN40" s="71">
        <v>4466</v>
      </c>
      <c r="BO40" s="71">
        <v>31706</v>
      </c>
      <c r="BP40" s="71">
        <v>46142</v>
      </c>
      <c r="BQ40" s="71">
        <v>-31473</v>
      </c>
      <c r="BR40" s="71">
        <v>-21330</v>
      </c>
      <c r="BS40" s="71">
        <v>19131</v>
      </c>
      <c r="BT40" s="71">
        <v>4139</v>
      </c>
      <c r="BU40" s="71">
        <v>-33739</v>
      </c>
      <c r="BV40" s="71">
        <v>204530</v>
      </c>
      <c r="BW40" s="71">
        <v>55986</v>
      </c>
      <c r="BX40" s="71">
        <v>-90294</v>
      </c>
      <c r="BY40" s="90">
        <f t="shared" si="3"/>
        <v>-24790</v>
      </c>
      <c r="BZ40" s="90">
        <f t="shared" si="4"/>
        <v>-41249</v>
      </c>
    </row>
    <row r="41" spans="2:78" s="46" customFormat="1">
      <c r="B41" s="179" t="s">
        <v>387</v>
      </c>
      <c r="C41" s="172" t="s">
        <v>249</v>
      </c>
      <c r="D41" s="71">
        <v>696</v>
      </c>
      <c r="E41" s="71">
        <v>-1003</v>
      </c>
      <c r="F41" s="71">
        <v>-742</v>
      </c>
      <c r="G41" s="71">
        <v>-3223</v>
      </c>
      <c r="H41" s="71">
        <v>343</v>
      </c>
      <c r="I41" s="71">
        <v>-6339</v>
      </c>
      <c r="J41" s="71">
        <v>1050</v>
      </c>
      <c r="K41" s="71">
        <v>7544</v>
      </c>
      <c r="L41" s="71">
        <v>-2807</v>
      </c>
      <c r="M41" s="71">
        <v>-3115</v>
      </c>
      <c r="N41" s="71">
        <v>-1519</v>
      </c>
      <c r="O41" s="71">
        <v>4704</v>
      </c>
      <c r="P41" s="71">
        <v>-1148</v>
      </c>
      <c r="Q41" s="71">
        <v>456</v>
      </c>
      <c r="R41" s="71">
        <v>-917</v>
      </c>
      <c r="S41" s="71">
        <v>1934</v>
      </c>
      <c r="T41" s="71">
        <v>-1202</v>
      </c>
      <c r="U41" s="71">
        <v>1085</v>
      </c>
      <c r="V41" s="71">
        <v>-1177</v>
      </c>
      <c r="W41" s="71">
        <v>-823</v>
      </c>
      <c r="X41" s="71">
        <v>-2124</v>
      </c>
      <c r="Y41" s="71">
        <v>-2071</v>
      </c>
      <c r="Z41" s="71">
        <v>2898</v>
      </c>
      <c r="AA41" s="71">
        <v>-251</v>
      </c>
      <c r="AB41" s="71">
        <v>-2774</v>
      </c>
      <c r="AC41" s="71">
        <v>-1455</v>
      </c>
      <c r="AD41" s="71">
        <v>-162</v>
      </c>
      <c r="AE41" s="71">
        <v>-538</v>
      </c>
      <c r="AF41" s="71">
        <v>-3062</v>
      </c>
      <c r="AG41" s="71">
        <v>-1858</v>
      </c>
      <c r="AH41" s="71">
        <v>-260</v>
      </c>
      <c r="AI41" s="71">
        <v>4016</v>
      </c>
      <c r="AJ41" s="71">
        <v>-3171</v>
      </c>
      <c r="AK41" s="71">
        <v>-2455</v>
      </c>
      <c r="AL41" s="71">
        <v>-2710</v>
      </c>
      <c r="AM41" s="71">
        <v>-3828</v>
      </c>
      <c r="AN41" s="71">
        <v>-1179</v>
      </c>
      <c r="AO41" s="71">
        <v>-5455</v>
      </c>
      <c r="AP41" s="71">
        <v>-1872</v>
      </c>
      <c r="AQ41" s="71">
        <v>5308</v>
      </c>
      <c r="AR41" s="71">
        <v>-1489</v>
      </c>
      <c r="AS41" s="71">
        <v>-327</v>
      </c>
      <c r="AT41" s="71">
        <v>-1252</v>
      </c>
      <c r="AU41" s="71">
        <v>3081</v>
      </c>
      <c r="AV41" s="71">
        <v>-2519</v>
      </c>
      <c r="AW41" s="71">
        <v>652</v>
      </c>
      <c r="AX41" s="71">
        <v>4858</v>
      </c>
      <c r="AY41" s="71">
        <v>8045</v>
      </c>
      <c r="AZ41" s="71">
        <v>-1837</v>
      </c>
      <c r="BA41" s="71">
        <v>1908</v>
      </c>
      <c r="BB41" s="71">
        <v>5098</v>
      </c>
      <c r="BC41" s="71">
        <v>18562</v>
      </c>
      <c r="BD41" s="71">
        <v>-5432</v>
      </c>
      <c r="BE41" s="71">
        <v>-5855</v>
      </c>
      <c r="BF41" s="71">
        <v>3580</v>
      </c>
      <c r="BG41" s="71">
        <v>10946</v>
      </c>
      <c r="BH41" s="71">
        <v>-2072</v>
      </c>
      <c r="BI41" s="71">
        <v>-7802</v>
      </c>
      <c r="BJ41" s="71">
        <v>-2792</v>
      </c>
      <c r="BK41" s="71"/>
      <c r="BL41" s="71">
        <v>-3223</v>
      </c>
      <c r="BM41" s="71">
        <v>7544</v>
      </c>
      <c r="BN41" s="71">
        <v>4704</v>
      </c>
      <c r="BO41" s="71">
        <v>1934</v>
      </c>
      <c r="BP41" s="71">
        <v>-823</v>
      </c>
      <c r="BQ41" s="71">
        <v>-251</v>
      </c>
      <c r="BR41" s="71">
        <v>-538</v>
      </c>
      <c r="BS41" s="71">
        <v>4016</v>
      </c>
      <c r="BT41" s="71">
        <v>-3828</v>
      </c>
      <c r="BU41" s="71">
        <v>5308</v>
      </c>
      <c r="BV41" s="71">
        <v>3081</v>
      </c>
      <c r="BW41" s="71">
        <v>8045</v>
      </c>
      <c r="BX41" s="71">
        <v>18562</v>
      </c>
      <c r="BY41" s="90">
        <f t="shared" si="3"/>
        <v>10946</v>
      </c>
      <c r="BZ41" s="90">
        <f t="shared" si="4"/>
        <v>-2792</v>
      </c>
    </row>
    <row r="42" spans="2:78">
      <c r="B42" s="179" t="s">
        <v>444</v>
      </c>
      <c r="C42" s="172" t="s">
        <v>251</v>
      </c>
      <c r="D42" s="71">
        <v>-4022</v>
      </c>
      <c r="E42" s="71">
        <v>-7827</v>
      </c>
      <c r="F42" s="71">
        <v>-11473</v>
      </c>
      <c r="G42" s="71">
        <v>-17021</v>
      </c>
      <c r="H42" s="71">
        <v>-3737</v>
      </c>
      <c r="I42" s="71">
        <v>-7347</v>
      </c>
      <c r="J42" s="71">
        <v>-11550</v>
      </c>
      <c r="K42" s="71">
        <v>-15325</v>
      </c>
      <c r="L42" s="71">
        <v>-4069</v>
      </c>
      <c r="M42" s="71">
        <v>-8141</v>
      </c>
      <c r="N42" s="71">
        <v>-12315</v>
      </c>
      <c r="O42" s="71">
        <v>-10755</v>
      </c>
      <c r="P42" s="71">
        <v>-3772</v>
      </c>
      <c r="Q42" s="71">
        <v>-3382</v>
      </c>
      <c r="R42" s="71">
        <v>-4968</v>
      </c>
      <c r="S42" s="71">
        <v>-6329</v>
      </c>
      <c r="T42" s="71">
        <v>-1573</v>
      </c>
      <c r="U42" s="71">
        <v>-3992</v>
      </c>
      <c r="V42" s="71">
        <v>-5426</v>
      </c>
      <c r="W42" s="71">
        <v>-6841</v>
      </c>
      <c r="X42" s="71">
        <v>-1191</v>
      </c>
      <c r="Y42" s="71">
        <v>-2558</v>
      </c>
      <c r="Z42" s="71">
        <v>-4680</v>
      </c>
      <c r="AA42" s="71">
        <v>-6227</v>
      </c>
      <c r="AB42" s="71">
        <v>-1914</v>
      </c>
      <c r="AC42" s="71">
        <v>-3958</v>
      </c>
      <c r="AD42" s="71">
        <v>-5552</v>
      </c>
      <c r="AE42" s="71">
        <v>-7948</v>
      </c>
      <c r="AF42" s="71">
        <v>-2372</v>
      </c>
      <c r="AG42" s="71">
        <v>-4335</v>
      </c>
      <c r="AH42" s="71">
        <v>-6540</v>
      </c>
      <c r="AI42" s="71">
        <v>-8092</v>
      </c>
      <c r="AJ42" s="71">
        <v>-1231</v>
      </c>
      <c r="AK42" s="71">
        <v>-2163</v>
      </c>
      <c r="AL42" s="71">
        <v>-3792</v>
      </c>
      <c r="AM42" s="71">
        <v>-4205</v>
      </c>
      <c r="AN42" s="71">
        <v>-1517</v>
      </c>
      <c r="AO42" s="71">
        <v>-1279</v>
      </c>
      <c r="AP42" s="71">
        <v>-5207</v>
      </c>
      <c r="AQ42" s="71">
        <v>-4516</v>
      </c>
      <c r="AR42" s="71">
        <v>-435</v>
      </c>
      <c r="AS42" s="71">
        <v>-671</v>
      </c>
      <c r="AT42" s="71">
        <v>-872</v>
      </c>
      <c r="AU42" s="71">
        <v>-2059</v>
      </c>
      <c r="AV42" s="71">
        <v>-51</v>
      </c>
      <c r="AW42" s="71">
        <v>-142</v>
      </c>
      <c r="AX42" s="71">
        <v>-269</v>
      </c>
      <c r="AY42" s="71">
        <v>-327</v>
      </c>
      <c r="AZ42" s="71">
        <v>-44</v>
      </c>
      <c r="BA42" s="71">
        <v>-64</v>
      </c>
      <c r="BB42" s="71">
        <v>-7492</v>
      </c>
      <c r="BC42" s="71">
        <v>-12140</v>
      </c>
      <c r="BD42" s="71">
        <v>-1712</v>
      </c>
      <c r="BE42" s="71">
        <v>-16144</v>
      </c>
      <c r="BF42" s="71">
        <v>-17948</v>
      </c>
      <c r="BG42" s="71">
        <v>-24717</v>
      </c>
      <c r="BH42" s="71">
        <v>-4321</v>
      </c>
      <c r="BI42" s="71">
        <v>-16929</v>
      </c>
      <c r="BJ42" s="71">
        <v>-16141</v>
      </c>
      <c r="BK42" s="71"/>
      <c r="BL42" s="71">
        <v>-17021</v>
      </c>
      <c r="BM42" s="71">
        <v>-15325</v>
      </c>
      <c r="BN42" s="71">
        <v>-10755</v>
      </c>
      <c r="BO42" s="71">
        <v>-6329</v>
      </c>
      <c r="BP42" s="71">
        <v>-6841</v>
      </c>
      <c r="BQ42" s="71">
        <v>-6227</v>
      </c>
      <c r="BR42" s="71">
        <v>-7948</v>
      </c>
      <c r="BS42" s="71">
        <v>-8092</v>
      </c>
      <c r="BT42" s="71">
        <v>-4205</v>
      </c>
      <c r="BU42" s="71">
        <v>-4516</v>
      </c>
      <c r="BV42" s="71">
        <v>-2059</v>
      </c>
      <c r="BW42" s="71">
        <v>-327</v>
      </c>
      <c r="BX42" s="71">
        <v>-12140</v>
      </c>
      <c r="BY42" s="90">
        <f t="shared" si="3"/>
        <v>-24717</v>
      </c>
      <c r="BZ42" s="90">
        <f t="shared" si="4"/>
        <v>-16141</v>
      </c>
    </row>
    <row r="43" spans="2:78" hidden="1" outlineLevel="1">
      <c r="B43" s="179" t="s">
        <v>445</v>
      </c>
      <c r="C43" s="172" t="s">
        <v>203</v>
      </c>
      <c r="D43" s="71">
        <v>73</v>
      </c>
      <c r="E43" s="71">
        <v>73</v>
      </c>
      <c r="F43" s="71">
        <v>115</v>
      </c>
      <c r="G43" s="71">
        <v>847</v>
      </c>
      <c r="H43" s="71">
        <v>535</v>
      </c>
      <c r="I43" s="71">
        <v>1059</v>
      </c>
      <c r="J43" s="71">
        <v>1493</v>
      </c>
      <c r="K43" s="71">
        <v>2543</v>
      </c>
      <c r="L43" s="71">
        <v>475</v>
      </c>
      <c r="M43" s="71">
        <v>475</v>
      </c>
      <c r="N43" s="71">
        <v>727</v>
      </c>
      <c r="O43" s="71">
        <v>727</v>
      </c>
      <c r="P43" s="71">
        <v>228</v>
      </c>
      <c r="Q43" s="71">
        <v>381</v>
      </c>
      <c r="R43" s="71">
        <v>1205</v>
      </c>
      <c r="S43" s="71">
        <v>1807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0</v>
      </c>
      <c r="AH43" s="71">
        <v>0</v>
      </c>
      <c r="AI43" s="71">
        <v>0</v>
      </c>
      <c r="AJ43" s="71">
        <v>0</v>
      </c>
      <c r="AK43" s="71">
        <v>0</v>
      </c>
      <c r="AL43" s="71">
        <v>0</v>
      </c>
      <c r="AM43" s="71">
        <v>0</v>
      </c>
      <c r="AN43" s="71">
        <v>0</v>
      </c>
      <c r="AO43" s="71">
        <v>0</v>
      </c>
      <c r="AP43" s="71">
        <v>0</v>
      </c>
      <c r="AQ43" s="71">
        <v>0</v>
      </c>
      <c r="AR43" s="71">
        <v>0</v>
      </c>
      <c r="AS43" s="71">
        <v>0</v>
      </c>
      <c r="AT43" s="71">
        <v>0</v>
      </c>
      <c r="AU43" s="71">
        <v>0</v>
      </c>
      <c r="AV43" s="71">
        <v>0</v>
      </c>
      <c r="AW43" s="71">
        <v>0</v>
      </c>
      <c r="AX43" s="71">
        <v>0</v>
      </c>
      <c r="AY43" s="71"/>
      <c r="AZ43" s="71">
        <v>0</v>
      </c>
      <c r="BA43" s="71">
        <v>0</v>
      </c>
      <c r="BB43" s="71">
        <v>0</v>
      </c>
      <c r="BC43" s="71">
        <v>0</v>
      </c>
      <c r="BD43" s="71">
        <v>0</v>
      </c>
      <c r="BE43" s="71">
        <v>0</v>
      </c>
      <c r="BF43" s="71">
        <v>0</v>
      </c>
      <c r="BG43" s="71">
        <v>0</v>
      </c>
      <c r="BH43" s="71">
        <v>0</v>
      </c>
      <c r="BI43" s="71"/>
      <c r="BJ43" s="71"/>
      <c r="BK43" s="71"/>
      <c r="BL43" s="71">
        <v>847</v>
      </c>
      <c r="BM43" s="71">
        <v>2543</v>
      </c>
      <c r="BN43" s="71">
        <v>727</v>
      </c>
      <c r="BO43" s="71">
        <v>1807</v>
      </c>
      <c r="BP43" s="71">
        <v>0</v>
      </c>
      <c r="BQ43" s="71">
        <v>0</v>
      </c>
      <c r="BR43" s="71">
        <v>0</v>
      </c>
      <c r="BS43" s="71">
        <v>0</v>
      </c>
      <c r="BT43" s="71">
        <v>0</v>
      </c>
      <c r="BU43" s="71">
        <v>0</v>
      </c>
      <c r="BV43" s="71">
        <v>0</v>
      </c>
      <c r="BW43" s="71">
        <v>0</v>
      </c>
      <c r="BX43" s="71">
        <v>0</v>
      </c>
      <c r="BY43" s="90">
        <f t="shared" si="3"/>
        <v>0</v>
      </c>
      <c r="BZ43" s="90">
        <f t="shared" si="4"/>
        <v>0</v>
      </c>
    </row>
    <row r="44" spans="2:78" hidden="1" outlineLevel="1">
      <c r="B44" s="179" t="s">
        <v>446</v>
      </c>
      <c r="C44" s="172" t="s">
        <v>204</v>
      </c>
      <c r="D44" s="71">
        <v>-513</v>
      </c>
      <c r="E44" s="71">
        <v>-611</v>
      </c>
      <c r="F44" s="71">
        <v>-902</v>
      </c>
      <c r="G44" s="71">
        <v>-1099</v>
      </c>
      <c r="H44" s="71">
        <v>-100</v>
      </c>
      <c r="I44" s="71">
        <v>-316</v>
      </c>
      <c r="J44" s="71">
        <v>-1610</v>
      </c>
      <c r="K44" s="71">
        <v>-2208</v>
      </c>
      <c r="L44" s="71">
        <v>-670</v>
      </c>
      <c r="M44" s="71">
        <v>-1764</v>
      </c>
      <c r="N44" s="71">
        <v>-2111</v>
      </c>
      <c r="O44" s="71">
        <v>-2411</v>
      </c>
      <c r="P44" s="71">
        <v>-4</v>
      </c>
      <c r="Q44" s="71">
        <v>-249</v>
      </c>
      <c r="R44" s="71">
        <v>-659</v>
      </c>
      <c r="S44" s="71">
        <v>-659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71">
        <v>0</v>
      </c>
      <c r="AH44" s="71">
        <v>0</v>
      </c>
      <c r="AI44" s="71">
        <v>0</v>
      </c>
      <c r="AJ44" s="71">
        <v>0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0</v>
      </c>
      <c r="AQ44" s="71">
        <v>0</v>
      </c>
      <c r="AR44" s="71">
        <v>0</v>
      </c>
      <c r="AS44" s="71">
        <v>0</v>
      </c>
      <c r="AT44" s="71">
        <v>0</v>
      </c>
      <c r="AU44" s="71">
        <v>0</v>
      </c>
      <c r="AV44" s="71">
        <v>0</v>
      </c>
      <c r="AW44" s="71">
        <v>0</v>
      </c>
      <c r="AX44" s="71">
        <v>0</v>
      </c>
      <c r="AY44" s="71"/>
      <c r="AZ44" s="71">
        <v>0</v>
      </c>
      <c r="BA44" s="71">
        <v>0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/>
      <c r="BJ44" s="71"/>
      <c r="BK44" s="71"/>
      <c r="BL44" s="71">
        <v>-1099</v>
      </c>
      <c r="BM44" s="71">
        <v>-2208</v>
      </c>
      <c r="BN44" s="71">
        <v>-2411</v>
      </c>
      <c r="BO44" s="71">
        <v>-659</v>
      </c>
      <c r="BP44" s="71">
        <v>0</v>
      </c>
      <c r="BQ44" s="71">
        <v>0</v>
      </c>
      <c r="BR44" s="71">
        <v>0</v>
      </c>
      <c r="BS44" s="71">
        <v>0</v>
      </c>
      <c r="BT44" s="71">
        <v>0</v>
      </c>
      <c r="BU44" s="71">
        <v>0</v>
      </c>
      <c r="BV44" s="71">
        <v>0</v>
      </c>
      <c r="BW44" s="71">
        <v>0</v>
      </c>
      <c r="BX44" s="71">
        <v>0</v>
      </c>
      <c r="BY44" s="90">
        <f t="shared" si="3"/>
        <v>0</v>
      </c>
      <c r="BZ44" s="90">
        <f t="shared" si="4"/>
        <v>0</v>
      </c>
    </row>
    <row r="45" spans="2:78" collapsed="1">
      <c r="B45" s="179" t="s">
        <v>447</v>
      </c>
      <c r="C45" s="172" t="s">
        <v>205</v>
      </c>
      <c r="D45" s="71">
        <v>0</v>
      </c>
      <c r="E45" s="71">
        <v>0</v>
      </c>
      <c r="F45" s="71">
        <v>0</v>
      </c>
      <c r="G45" s="71">
        <v>-4854</v>
      </c>
      <c r="H45" s="71">
        <v>0</v>
      </c>
      <c r="I45" s="71">
        <v>-579</v>
      </c>
      <c r="J45" s="71">
        <v>-2135</v>
      </c>
      <c r="K45" s="71">
        <v>-4168</v>
      </c>
      <c r="L45" s="71">
        <v>-2046</v>
      </c>
      <c r="M45" s="71">
        <v>-1699</v>
      </c>
      <c r="N45" s="71">
        <v>-2015</v>
      </c>
      <c r="O45" s="71">
        <v>-6366</v>
      </c>
      <c r="P45" s="71">
        <v>-1516</v>
      </c>
      <c r="Q45" s="71">
        <v>-2252</v>
      </c>
      <c r="R45" s="71">
        <v>-2252</v>
      </c>
      <c r="S45" s="71">
        <v>-10738</v>
      </c>
      <c r="T45" s="71">
        <v>-261</v>
      </c>
      <c r="U45" s="71">
        <v>-3852</v>
      </c>
      <c r="V45" s="71">
        <v>-11119</v>
      </c>
      <c r="W45" s="71">
        <v>-15726</v>
      </c>
      <c r="X45" s="71">
        <v>-1215</v>
      </c>
      <c r="Y45" s="71">
        <v>-1742</v>
      </c>
      <c r="Z45" s="71">
        <v>-1803</v>
      </c>
      <c r="AA45" s="71">
        <v>-2898</v>
      </c>
      <c r="AB45" s="71">
        <v>-35</v>
      </c>
      <c r="AC45" s="71">
        <v>-35</v>
      </c>
      <c r="AD45" s="71">
        <v>-35</v>
      </c>
      <c r="AE45" s="71">
        <v>-35</v>
      </c>
      <c r="AF45" s="71">
        <v>0</v>
      </c>
      <c r="AG45" s="71">
        <v>0</v>
      </c>
      <c r="AH45" s="71">
        <v>0</v>
      </c>
      <c r="AI45" s="71">
        <v>0</v>
      </c>
      <c r="AJ45" s="71">
        <v>-287</v>
      </c>
      <c r="AK45" s="71">
        <v>-405</v>
      </c>
      <c r="AL45" s="71">
        <v>-405</v>
      </c>
      <c r="AM45" s="71">
        <v>-958</v>
      </c>
      <c r="AN45" s="71">
        <v>-6009</v>
      </c>
      <c r="AO45" s="71">
        <v>-6671</v>
      </c>
      <c r="AP45" s="71">
        <v>-6739</v>
      </c>
      <c r="AQ45" s="71">
        <v>-9541</v>
      </c>
      <c r="AR45" s="71">
        <v>-2067</v>
      </c>
      <c r="AS45" s="71">
        <v>-1579</v>
      </c>
      <c r="AT45" s="71">
        <v>-10060</v>
      </c>
      <c r="AU45" s="71">
        <v>-17300</v>
      </c>
      <c r="AV45" s="71">
        <v>-3129</v>
      </c>
      <c r="AW45" s="71">
        <v>-5179</v>
      </c>
      <c r="AX45" s="71">
        <v>-13567</v>
      </c>
      <c r="AY45" s="71">
        <v>-40442</v>
      </c>
      <c r="AZ45" s="71">
        <v>-22346</v>
      </c>
      <c r="BA45" s="71">
        <v>-43964</v>
      </c>
      <c r="BB45" s="71">
        <v>-69391</v>
      </c>
      <c r="BC45" s="71">
        <v>-110225</v>
      </c>
      <c r="BD45" s="71">
        <v>-11828</v>
      </c>
      <c r="BE45" s="71">
        <v>-18089</v>
      </c>
      <c r="BF45" s="71">
        <v>-35487</v>
      </c>
      <c r="BG45" s="71">
        <v>-55141</v>
      </c>
      <c r="BH45" s="71">
        <v>-17139</v>
      </c>
      <c r="BI45" s="71">
        <v>-26284</v>
      </c>
      <c r="BJ45" s="71">
        <v>-50468</v>
      </c>
      <c r="BK45" s="71"/>
      <c r="BL45" s="71">
        <v>-4854</v>
      </c>
      <c r="BM45" s="71">
        <v>-4168</v>
      </c>
      <c r="BN45" s="71">
        <v>-6366</v>
      </c>
      <c r="BO45" s="71">
        <v>-10738</v>
      </c>
      <c r="BP45" s="71">
        <v>-15726</v>
      </c>
      <c r="BQ45" s="71">
        <v>-2898</v>
      </c>
      <c r="BR45" s="71">
        <v>-35</v>
      </c>
      <c r="BS45" s="71">
        <v>0</v>
      </c>
      <c r="BT45" s="71">
        <v>-958</v>
      </c>
      <c r="BU45" s="71">
        <v>-9541</v>
      </c>
      <c r="BV45" s="71">
        <v>-17300</v>
      </c>
      <c r="BW45" s="71">
        <v>-40442</v>
      </c>
      <c r="BX45" s="71">
        <v>-110225</v>
      </c>
      <c r="BY45" s="90">
        <f t="shared" si="3"/>
        <v>-55141</v>
      </c>
      <c r="BZ45" s="90">
        <f t="shared" si="4"/>
        <v>-50468</v>
      </c>
    </row>
    <row r="46" spans="2:78" hidden="1" outlineLevel="1">
      <c r="B46" s="179" t="s">
        <v>411</v>
      </c>
      <c r="C46" s="172" t="s">
        <v>46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5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0</v>
      </c>
      <c r="AN46" s="71">
        <v>0</v>
      </c>
      <c r="AO46" s="71">
        <v>0</v>
      </c>
      <c r="AP46" s="71">
        <v>0</v>
      </c>
      <c r="AQ46" s="71">
        <v>0</v>
      </c>
      <c r="AR46" s="71">
        <v>0</v>
      </c>
      <c r="AS46" s="71">
        <v>0</v>
      </c>
      <c r="AT46" s="71">
        <v>0</v>
      </c>
      <c r="AU46" s="71">
        <v>0</v>
      </c>
      <c r="AV46" s="71">
        <v>0</v>
      </c>
      <c r="AW46" s="71">
        <v>0</v>
      </c>
      <c r="AX46" s="71">
        <v>0</v>
      </c>
      <c r="AY46" s="71"/>
      <c r="AZ46" s="71">
        <v>0</v>
      </c>
      <c r="BA46" s="71">
        <v>0</v>
      </c>
      <c r="BB46" s="71">
        <v>0</v>
      </c>
      <c r="BC46" s="71">
        <v>0</v>
      </c>
      <c r="BD46" s="71">
        <v>0</v>
      </c>
      <c r="BE46" s="71">
        <v>0</v>
      </c>
      <c r="BF46" s="71">
        <v>0</v>
      </c>
      <c r="BG46" s="71">
        <v>0</v>
      </c>
      <c r="BH46" s="71"/>
      <c r="BI46" s="71"/>
      <c r="BJ46" s="71"/>
      <c r="BK46" s="71"/>
      <c r="BL46" s="71">
        <v>0</v>
      </c>
      <c r="BM46" s="71">
        <v>0</v>
      </c>
      <c r="BN46" s="71">
        <v>0</v>
      </c>
      <c r="BO46" s="71">
        <v>0</v>
      </c>
      <c r="BP46" s="71">
        <v>0</v>
      </c>
      <c r="BQ46" s="71">
        <v>0</v>
      </c>
      <c r="BR46" s="71">
        <v>0</v>
      </c>
      <c r="BS46" s="71">
        <v>0</v>
      </c>
      <c r="BT46" s="71">
        <v>0</v>
      </c>
      <c r="BU46" s="71">
        <v>0</v>
      </c>
      <c r="BV46" s="71">
        <v>0</v>
      </c>
      <c r="BW46" s="71">
        <v>0</v>
      </c>
      <c r="BX46" s="71">
        <v>0</v>
      </c>
      <c r="BY46" s="90">
        <f t="shared" si="3"/>
        <v>0</v>
      </c>
      <c r="BZ46" s="90">
        <f t="shared" si="4"/>
        <v>0</v>
      </c>
    </row>
    <row r="47" spans="2:78" hidden="1" outlineLevel="1">
      <c r="B47" s="179" t="s">
        <v>448</v>
      </c>
      <c r="C47" s="172" t="s">
        <v>66</v>
      </c>
      <c r="D47" s="71">
        <v>0</v>
      </c>
      <c r="E47" s="71">
        <v>0</v>
      </c>
      <c r="F47" s="71">
        <v>0</v>
      </c>
      <c r="G47" s="71">
        <v>1643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v>0</v>
      </c>
      <c r="AB47" s="71">
        <v>0</v>
      </c>
      <c r="AC47" s="71">
        <v>0</v>
      </c>
      <c r="AD47" s="71">
        <v>0</v>
      </c>
      <c r="AE47" s="71">
        <v>0</v>
      </c>
      <c r="AF47" s="71">
        <v>0</v>
      </c>
      <c r="AG47" s="71">
        <v>0</v>
      </c>
      <c r="AH47" s="71">
        <v>0</v>
      </c>
      <c r="AI47" s="71">
        <v>0</v>
      </c>
      <c r="AJ47" s="71">
        <v>0</v>
      </c>
      <c r="AK47" s="71">
        <v>0</v>
      </c>
      <c r="AL47" s="71">
        <v>0</v>
      </c>
      <c r="AM47" s="71">
        <v>0</v>
      </c>
      <c r="AN47" s="71">
        <v>0</v>
      </c>
      <c r="AO47" s="71">
        <v>0</v>
      </c>
      <c r="AP47" s="71">
        <v>0</v>
      </c>
      <c r="AQ47" s="71">
        <v>0</v>
      </c>
      <c r="AR47" s="71">
        <v>0</v>
      </c>
      <c r="AS47" s="71"/>
      <c r="AT47" s="71"/>
      <c r="AU47" s="71"/>
      <c r="AV47" s="71"/>
      <c r="AW47" s="71"/>
      <c r="AX47" s="71"/>
      <c r="AY47" s="71"/>
      <c r="AZ47" s="71">
        <v>0</v>
      </c>
      <c r="BA47" s="71">
        <v>0</v>
      </c>
      <c r="BB47" s="71">
        <v>0</v>
      </c>
      <c r="BC47" s="71">
        <v>0</v>
      </c>
      <c r="BD47" s="71">
        <v>0</v>
      </c>
      <c r="BE47" s="71">
        <v>0</v>
      </c>
      <c r="BF47" s="71">
        <v>0</v>
      </c>
      <c r="BG47" s="71">
        <v>0</v>
      </c>
      <c r="BH47" s="71"/>
      <c r="BI47" s="71"/>
      <c r="BJ47" s="71"/>
      <c r="BK47" s="71"/>
      <c r="BL47" s="71">
        <v>1643</v>
      </c>
      <c r="BM47" s="71">
        <v>0</v>
      </c>
      <c r="BN47" s="71">
        <v>0</v>
      </c>
      <c r="BO47" s="71"/>
      <c r="BP47" s="71"/>
      <c r="BQ47" s="71"/>
      <c r="BR47" s="71"/>
      <c r="BS47" s="71"/>
      <c r="BT47" s="71"/>
      <c r="BU47" s="71"/>
      <c r="BV47" s="71"/>
      <c r="BW47" s="71">
        <v>0</v>
      </c>
      <c r="BX47" s="71">
        <v>0</v>
      </c>
      <c r="BY47" s="90">
        <f t="shared" si="3"/>
        <v>0</v>
      </c>
      <c r="BZ47" s="90">
        <f t="shared" si="4"/>
        <v>0</v>
      </c>
    </row>
    <row r="48" spans="2:78" hidden="1" outlineLevel="1">
      <c r="B48" s="179" t="s">
        <v>364</v>
      </c>
      <c r="C48" s="172" t="s">
        <v>138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16000</v>
      </c>
      <c r="R48" s="71">
        <v>16000</v>
      </c>
      <c r="S48" s="71">
        <v>0</v>
      </c>
      <c r="T48" s="71">
        <v>0</v>
      </c>
      <c r="U48" s="71">
        <v>0</v>
      </c>
      <c r="V48" s="71">
        <v>0</v>
      </c>
      <c r="W48" s="71">
        <v>0</v>
      </c>
      <c r="X48" s="71">
        <v>0</v>
      </c>
      <c r="Y48" s="71">
        <v>0</v>
      </c>
      <c r="Z48" s="71">
        <v>0</v>
      </c>
      <c r="AA48" s="71">
        <v>0</v>
      </c>
      <c r="AB48" s="71">
        <v>0</v>
      </c>
      <c r="AC48" s="71">
        <v>0</v>
      </c>
      <c r="AD48" s="71">
        <v>0</v>
      </c>
      <c r="AE48" s="71">
        <v>0</v>
      </c>
      <c r="AF48" s="71">
        <v>0</v>
      </c>
      <c r="AG48" s="71">
        <v>0</v>
      </c>
      <c r="AH48" s="71">
        <v>0</v>
      </c>
      <c r="AI48" s="71">
        <v>0</v>
      </c>
      <c r="AJ48" s="71">
        <v>0</v>
      </c>
      <c r="AK48" s="71">
        <v>0</v>
      </c>
      <c r="AL48" s="71">
        <v>0</v>
      </c>
      <c r="AM48" s="71">
        <v>0</v>
      </c>
      <c r="AN48" s="71">
        <v>0</v>
      </c>
      <c r="AO48" s="71">
        <v>0</v>
      </c>
      <c r="AP48" s="71">
        <v>0</v>
      </c>
      <c r="AQ48" s="71">
        <v>0</v>
      </c>
      <c r="AR48" s="71">
        <v>0</v>
      </c>
      <c r="AS48" s="71">
        <v>0</v>
      </c>
      <c r="AT48" s="71">
        <v>0</v>
      </c>
      <c r="AU48" s="71">
        <v>0</v>
      </c>
      <c r="AV48" s="71">
        <v>0</v>
      </c>
      <c r="AW48" s="71"/>
      <c r="AX48" s="71"/>
      <c r="AY48" s="71"/>
      <c r="AZ48" s="71">
        <v>0</v>
      </c>
      <c r="BA48" s="71">
        <v>0</v>
      </c>
      <c r="BB48" s="71">
        <v>0</v>
      </c>
      <c r="BC48" s="71">
        <v>0</v>
      </c>
      <c r="BD48" s="71">
        <v>0</v>
      </c>
      <c r="BE48" s="71">
        <v>0</v>
      </c>
      <c r="BF48" s="71">
        <v>0</v>
      </c>
      <c r="BG48" s="71">
        <v>0</v>
      </c>
      <c r="BH48" s="71"/>
      <c r="BI48" s="71"/>
      <c r="BJ48" s="71"/>
      <c r="BK48" s="71"/>
      <c r="BL48" s="71">
        <v>0</v>
      </c>
      <c r="BM48" s="71">
        <v>0</v>
      </c>
      <c r="BN48" s="71">
        <v>0</v>
      </c>
      <c r="BO48" s="71">
        <v>0</v>
      </c>
      <c r="BP48" s="71">
        <v>0</v>
      </c>
      <c r="BQ48" s="71">
        <v>0</v>
      </c>
      <c r="BR48" s="71">
        <v>0</v>
      </c>
      <c r="BS48" s="71">
        <v>0</v>
      </c>
      <c r="BT48" s="71">
        <v>0</v>
      </c>
      <c r="BU48" s="71">
        <v>0</v>
      </c>
      <c r="BV48" s="71">
        <v>0</v>
      </c>
      <c r="BW48" s="71">
        <v>0</v>
      </c>
      <c r="BX48" s="71">
        <v>0</v>
      </c>
      <c r="BY48" s="90">
        <f t="shared" si="3"/>
        <v>0</v>
      </c>
      <c r="BZ48" s="90">
        <f t="shared" si="4"/>
        <v>0</v>
      </c>
    </row>
    <row r="49" spans="2:78" collapsed="1">
      <c r="B49" s="177" t="s">
        <v>449</v>
      </c>
      <c r="C49" s="107" t="s">
        <v>206</v>
      </c>
      <c r="D49" s="112">
        <v>-2882</v>
      </c>
      <c r="E49" s="112">
        <v>5805</v>
      </c>
      <c r="F49" s="112">
        <v>29500</v>
      </c>
      <c r="G49" s="112">
        <v>53094</v>
      </c>
      <c r="H49" s="112">
        <v>1415</v>
      </c>
      <c r="I49" s="112">
        <v>5283</v>
      </c>
      <c r="J49" s="112">
        <v>21843</v>
      </c>
      <c r="K49" s="112">
        <v>39095</v>
      </c>
      <c r="L49" s="112">
        <v>-9187</v>
      </c>
      <c r="M49" s="112">
        <v>-11627</v>
      </c>
      <c r="N49" s="112">
        <v>24659</v>
      </c>
      <c r="O49" s="112">
        <v>60208</v>
      </c>
      <c r="P49" s="112">
        <v>6004</v>
      </c>
      <c r="Q49" s="112">
        <v>29060</v>
      </c>
      <c r="R49" s="112">
        <v>95367</v>
      </c>
      <c r="S49" s="112">
        <v>66306</v>
      </c>
      <c r="T49" s="112">
        <v>32658</v>
      </c>
      <c r="U49" s="112">
        <v>55549</v>
      </c>
      <c r="V49" s="112">
        <v>118355</v>
      </c>
      <c r="W49" s="112">
        <v>96436</v>
      </c>
      <c r="X49" s="112">
        <v>-24946</v>
      </c>
      <c r="Y49" s="112">
        <v>-35046</v>
      </c>
      <c r="Z49" s="112">
        <v>1242</v>
      </c>
      <c r="AA49" s="112">
        <v>7405</v>
      </c>
      <c r="AB49" s="112">
        <v>2839</v>
      </c>
      <c r="AC49" s="112">
        <v>14612</v>
      </c>
      <c r="AD49" s="112">
        <v>65991</v>
      </c>
      <c r="AE49" s="112">
        <v>53122</v>
      </c>
      <c r="AF49" s="112">
        <v>-26849</v>
      </c>
      <c r="AG49" s="112">
        <v>-55570</v>
      </c>
      <c r="AH49" s="112">
        <v>-29323</v>
      </c>
      <c r="AI49" s="112">
        <v>-18610</v>
      </c>
      <c r="AJ49" s="112">
        <v>-7697</v>
      </c>
      <c r="AK49" s="112">
        <v>-5497</v>
      </c>
      <c r="AL49" s="112">
        <v>-26174</v>
      </c>
      <c r="AM49" s="112">
        <v>-20484</v>
      </c>
      <c r="AN49" s="112">
        <v>-12492</v>
      </c>
      <c r="AO49" s="112">
        <v>-184</v>
      </c>
      <c r="AP49" s="112">
        <v>25005</v>
      </c>
      <c r="AQ49" s="112">
        <v>61497</v>
      </c>
      <c r="AR49" s="112">
        <v>-12902</v>
      </c>
      <c r="AS49" s="112">
        <v>54366</v>
      </c>
      <c r="AT49" s="112">
        <v>144915</v>
      </c>
      <c r="AU49" s="112">
        <v>253962</v>
      </c>
      <c r="AV49" s="112">
        <v>-21478</v>
      </c>
      <c r="AW49" s="112">
        <v>19621</v>
      </c>
      <c r="AX49" s="112">
        <v>44147</v>
      </c>
      <c r="AY49" s="112">
        <v>42036</v>
      </c>
      <c r="AZ49" s="112">
        <v>42850.097999999998</v>
      </c>
      <c r="BA49" s="112">
        <v>138693</v>
      </c>
      <c r="BB49" s="112">
        <v>229462</v>
      </c>
      <c r="BC49" s="112">
        <v>348152</v>
      </c>
      <c r="BD49" s="112">
        <v>33982</v>
      </c>
      <c r="BE49" s="112">
        <v>115662</v>
      </c>
      <c r="BF49" s="112">
        <f>+BF9+BF10+BF30+BF36</f>
        <v>192991</v>
      </c>
      <c r="BG49" s="112">
        <f>+BG9+BG10+BG30+BG36</f>
        <v>282029</v>
      </c>
      <c r="BH49" s="112">
        <f>+BH9+BH10+BH30+BH36</f>
        <v>20377</v>
      </c>
      <c r="BI49" s="112">
        <f>+BI9+BI10+BI30+BI36</f>
        <v>157395</v>
      </c>
      <c r="BJ49" s="112">
        <f>+BJ9+BJ10+BJ30+BJ36</f>
        <v>188868</v>
      </c>
      <c r="BK49" s="112"/>
      <c r="BL49" s="112">
        <v>53094</v>
      </c>
      <c r="BM49" s="112">
        <v>39095</v>
      </c>
      <c r="BN49" s="112">
        <v>60208</v>
      </c>
      <c r="BO49" s="112">
        <v>66306</v>
      </c>
      <c r="BP49" s="112">
        <v>96436</v>
      </c>
      <c r="BQ49" s="112">
        <v>7405</v>
      </c>
      <c r="BR49" s="112">
        <v>53122</v>
      </c>
      <c r="BS49" s="112">
        <v>-18610</v>
      </c>
      <c r="BT49" s="112">
        <v>-20484</v>
      </c>
      <c r="BU49" s="112">
        <v>61497</v>
      </c>
      <c r="BV49" s="112">
        <v>253962</v>
      </c>
      <c r="BW49" s="112">
        <v>42036</v>
      </c>
      <c r="BX49" s="112">
        <v>348152</v>
      </c>
      <c r="BY49" s="112">
        <f>+BY9+BY10+BY30+BY36</f>
        <v>282029</v>
      </c>
      <c r="BZ49" s="112">
        <f>+BZ9+BZ10+BZ30+BZ36</f>
        <v>188868</v>
      </c>
    </row>
    <row r="50" spans="2:78">
      <c r="B50" s="179" t="s">
        <v>450</v>
      </c>
      <c r="C50" s="172" t="s">
        <v>207</v>
      </c>
      <c r="D50" s="90">
        <v>-3657</v>
      </c>
      <c r="E50" s="90">
        <v>-6614</v>
      </c>
      <c r="F50" s="90">
        <v>-10280</v>
      </c>
      <c r="G50" s="90">
        <v>-14816</v>
      </c>
      <c r="H50" s="90">
        <v>-2945</v>
      </c>
      <c r="I50" s="90">
        <v>-8504</v>
      </c>
      <c r="J50" s="90">
        <v>-13370</v>
      </c>
      <c r="K50" s="90">
        <v>-21532</v>
      </c>
      <c r="L50" s="90">
        <v>-2325</v>
      </c>
      <c r="M50" s="90">
        <v>-6893</v>
      </c>
      <c r="N50" s="90">
        <v>-18979</v>
      </c>
      <c r="O50" s="90">
        <v>-26940</v>
      </c>
      <c r="P50" s="90">
        <v>-4950</v>
      </c>
      <c r="Q50" s="90">
        <v>-11724</v>
      </c>
      <c r="R50" s="90">
        <v>-20385</v>
      </c>
      <c r="S50" s="90">
        <v>-28064</v>
      </c>
      <c r="T50" s="90">
        <v>-17006</v>
      </c>
      <c r="U50" s="90">
        <v>-27683</v>
      </c>
      <c r="V50" s="90">
        <v>-37724</v>
      </c>
      <c r="W50" s="90">
        <v>-64703</v>
      </c>
      <c r="X50" s="90">
        <v>-9045</v>
      </c>
      <c r="Y50" s="90">
        <v>-16625</v>
      </c>
      <c r="Z50" s="90">
        <v>-36326</v>
      </c>
      <c r="AA50" s="90">
        <v>-47310</v>
      </c>
      <c r="AB50" s="90">
        <v>-5424</v>
      </c>
      <c r="AC50" s="90">
        <v>-7938</v>
      </c>
      <c r="AD50" s="90">
        <v>-10443</v>
      </c>
      <c r="AE50" s="90">
        <v>-13128</v>
      </c>
      <c r="AF50" s="90">
        <v>-4144</v>
      </c>
      <c r="AG50" s="90">
        <v>-9535</v>
      </c>
      <c r="AH50" s="90">
        <v>-14994</v>
      </c>
      <c r="AI50" s="90">
        <v>-17991</v>
      </c>
      <c r="AJ50" s="90">
        <v>-3657</v>
      </c>
      <c r="AK50" s="90">
        <v>-6875</v>
      </c>
      <c r="AL50" s="90">
        <v>-9277</v>
      </c>
      <c r="AM50" s="90">
        <v>-11004</v>
      </c>
      <c r="AN50" s="90">
        <v>-4101</v>
      </c>
      <c r="AO50" s="90">
        <v>-5561</v>
      </c>
      <c r="AP50" s="90">
        <v>-8213</v>
      </c>
      <c r="AQ50" s="90">
        <v>-13199</v>
      </c>
      <c r="AR50" s="90">
        <v>-1940</v>
      </c>
      <c r="AS50" s="90">
        <v>-3912</v>
      </c>
      <c r="AT50" s="90">
        <v>-6897</v>
      </c>
      <c r="AU50" s="90">
        <v>-11850</v>
      </c>
      <c r="AV50" s="90">
        <v>-12028</v>
      </c>
      <c r="AW50" s="90">
        <v>-18631</v>
      </c>
      <c r="AX50" s="90">
        <v>-25687</v>
      </c>
      <c r="AY50" s="90">
        <v>-39922</v>
      </c>
      <c r="AZ50" s="90">
        <v>-7473.7969999999996</v>
      </c>
      <c r="BA50" s="90">
        <v>-19146</v>
      </c>
      <c r="BB50" s="90">
        <v>-31110</v>
      </c>
      <c r="BC50" s="90">
        <v>-55967</v>
      </c>
      <c r="BD50" s="90">
        <v>-9454</v>
      </c>
      <c r="BE50" s="90">
        <v>-36291</v>
      </c>
      <c r="BF50" s="90">
        <v>-53621</v>
      </c>
      <c r="BG50" s="90">
        <v>-75366</v>
      </c>
      <c r="BH50" s="90">
        <v>-7173</v>
      </c>
      <c r="BI50" s="90">
        <v>-15557</v>
      </c>
      <c r="BJ50" s="90">
        <v>-26137</v>
      </c>
      <c r="BK50" s="90"/>
      <c r="BL50" s="90">
        <v>-14816</v>
      </c>
      <c r="BM50" s="90">
        <v>-21532</v>
      </c>
      <c r="BN50" s="90">
        <v>-26940</v>
      </c>
      <c r="BO50" s="90">
        <v>-28064</v>
      </c>
      <c r="BP50" s="90">
        <v>-64703</v>
      </c>
      <c r="BQ50" s="90">
        <v>-47310</v>
      </c>
      <c r="BR50" s="90">
        <v>-13128</v>
      </c>
      <c r="BS50" s="90">
        <v>-17991</v>
      </c>
      <c r="BT50" s="90">
        <v>-11004</v>
      </c>
      <c r="BU50" s="90">
        <v>-13199</v>
      </c>
      <c r="BV50" s="90">
        <v>-11850</v>
      </c>
      <c r="BW50" s="90">
        <v>-39922</v>
      </c>
      <c r="BX50" s="90">
        <v>-55967</v>
      </c>
      <c r="BY50" s="90">
        <f t="shared" ref="BY50:BY60" si="5">+BG50</f>
        <v>-75366</v>
      </c>
      <c r="BZ50" s="90">
        <f t="shared" ref="BZ50:BZ60" si="6">+BJ50</f>
        <v>-26137</v>
      </c>
    </row>
    <row r="51" spans="2:78" hidden="1" outlineLevel="1">
      <c r="B51" s="179" t="s">
        <v>451</v>
      </c>
      <c r="C51" s="172" t="s">
        <v>208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91">
        <v>0</v>
      </c>
      <c r="O51" s="91">
        <v>0</v>
      </c>
      <c r="P51" s="91">
        <v>0</v>
      </c>
      <c r="Q51" s="91">
        <v>0</v>
      </c>
      <c r="R51" s="91">
        <v>0</v>
      </c>
      <c r="S51" s="91">
        <v>0</v>
      </c>
      <c r="T51" s="91">
        <v>0</v>
      </c>
      <c r="U51" s="91">
        <v>0</v>
      </c>
      <c r="V51" s="91">
        <v>0</v>
      </c>
      <c r="W51" s="91">
        <v>0</v>
      </c>
      <c r="X51" s="91">
        <v>0</v>
      </c>
      <c r="Y51" s="91">
        <v>0</v>
      </c>
      <c r="Z51" s="91">
        <v>0</v>
      </c>
      <c r="AA51" s="91">
        <v>0</v>
      </c>
      <c r="AB51" s="91">
        <v>0</v>
      </c>
      <c r="AC51" s="91">
        <v>0</v>
      </c>
      <c r="AD51" s="91">
        <v>0</v>
      </c>
      <c r="AE51" s="91">
        <v>0</v>
      </c>
      <c r="AF51" s="91">
        <v>0</v>
      </c>
      <c r="AG51" s="91">
        <v>0</v>
      </c>
      <c r="AH51" s="91">
        <v>0</v>
      </c>
      <c r="AI51" s="91">
        <v>0</v>
      </c>
      <c r="AJ51" s="91">
        <v>0</v>
      </c>
      <c r="AK51" s="91">
        <v>0</v>
      </c>
      <c r="AL51" s="91">
        <v>0</v>
      </c>
      <c r="AM51" s="91">
        <v>0</v>
      </c>
      <c r="AN51" s="91">
        <v>0</v>
      </c>
      <c r="AO51" s="91">
        <v>0</v>
      </c>
      <c r="AP51" s="91">
        <v>0</v>
      </c>
      <c r="AQ51" s="91">
        <v>0</v>
      </c>
      <c r="AR51" s="91">
        <v>0</v>
      </c>
      <c r="AS51" s="91">
        <v>-5273</v>
      </c>
      <c r="AT51" s="91">
        <v>-5335</v>
      </c>
      <c r="AU51" s="91">
        <v>0</v>
      </c>
      <c r="AV51" s="91">
        <v>0</v>
      </c>
      <c r="AW51" s="91">
        <v>0</v>
      </c>
      <c r="AX51" s="91">
        <v>0</v>
      </c>
      <c r="AY51" s="91">
        <v>0</v>
      </c>
      <c r="AZ51" s="91">
        <v>0</v>
      </c>
      <c r="BA51" s="91">
        <v>0</v>
      </c>
      <c r="BB51" s="91"/>
      <c r="BC51" s="91">
        <v>0</v>
      </c>
      <c r="BD51" s="91">
        <v>0</v>
      </c>
      <c r="BE51" s="91">
        <v>0</v>
      </c>
      <c r="BF51" s="91">
        <v>0</v>
      </c>
      <c r="BG51" s="91">
        <v>0</v>
      </c>
      <c r="BH51" s="91">
        <v>0</v>
      </c>
      <c r="BI51" s="91"/>
      <c r="BJ51" s="91"/>
      <c r="BK51" s="91"/>
      <c r="BL51" s="91">
        <v>0</v>
      </c>
      <c r="BM51" s="91">
        <v>0</v>
      </c>
      <c r="BN51" s="91">
        <v>0</v>
      </c>
      <c r="BO51" s="91">
        <v>0</v>
      </c>
      <c r="BP51" s="91">
        <v>0</v>
      </c>
      <c r="BQ51" s="91">
        <v>0</v>
      </c>
      <c r="BR51" s="91">
        <v>0</v>
      </c>
      <c r="BS51" s="91">
        <v>0</v>
      </c>
      <c r="BT51" s="91">
        <v>0</v>
      </c>
      <c r="BU51" s="91">
        <v>0</v>
      </c>
      <c r="BV51" s="91">
        <v>0</v>
      </c>
      <c r="BW51" s="91">
        <v>0</v>
      </c>
      <c r="BX51" s="91">
        <v>0</v>
      </c>
      <c r="BY51" s="90">
        <f t="shared" si="5"/>
        <v>0</v>
      </c>
      <c r="BZ51" s="90">
        <f t="shared" si="6"/>
        <v>0</v>
      </c>
    </row>
    <row r="52" spans="2:78" hidden="1" outlineLevel="1">
      <c r="B52" s="179" t="s">
        <v>355</v>
      </c>
      <c r="C52" s="172" t="s">
        <v>130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-9308</v>
      </c>
      <c r="L52" s="91">
        <v>0</v>
      </c>
      <c r="M52" s="91">
        <v>-445</v>
      </c>
      <c r="N52" s="91">
        <v>-637</v>
      </c>
      <c r="O52" s="91">
        <v>-297</v>
      </c>
      <c r="P52" s="91">
        <v>-158</v>
      </c>
      <c r="Q52" s="91">
        <v>-337</v>
      </c>
      <c r="R52" s="91">
        <v>9605</v>
      </c>
      <c r="S52" s="91">
        <v>9605</v>
      </c>
      <c r="T52" s="91">
        <v>0</v>
      </c>
      <c r="U52" s="91">
        <v>0</v>
      </c>
      <c r="V52" s="91">
        <v>0</v>
      </c>
      <c r="W52" s="91">
        <v>0</v>
      </c>
      <c r="X52" s="91">
        <v>0</v>
      </c>
      <c r="Y52" s="91">
        <v>0</v>
      </c>
      <c r="Z52" s="91">
        <v>0</v>
      </c>
      <c r="AA52" s="91">
        <v>0</v>
      </c>
      <c r="AB52" s="91">
        <v>0</v>
      </c>
      <c r="AC52" s="91">
        <v>-10726</v>
      </c>
      <c r="AD52" s="91">
        <v>-11120</v>
      </c>
      <c r="AE52" s="91">
        <v>-11142</v>
      </c>
      <c r="AF52" s="91">
        <v>-9722</v>
      </c>
      <c r="AG52" s="91">
        <v>-10268</v>
      </c>
      <c r="AH52" s="91">
        <v>118</v>
      </c>
      <c r="AI52" s="91">
        <v>3810</v>
      </c>
      <c r="AJ52" s="91">
        <v>1766</v>
      </c>
      <c r="AK52" s="91">
        <v>1676</v>
      </c>
      <c r="AL52" s="91">
        <v>-8535</v>
      </c>
      <c r="AM52" s="91">
        <v>-8279</v>
      </c>
      <c r="AN52" s="91">
        <v>-6806</v>
      </c>
      <c r="AO52" s="91">
        <v>-7173</v>
      </c>
      <c r="AP52" s="91">
        <v>9924</v>
      </c>
      <c r="AQ52" s="91">
        <v>9852</v>
      </c>
      <c r="AR52" s="91">
        <v>5759</v>
      </c>
      <c r="AS52" s="91">
        <v>0</v>
      </c>
      <c r="AT52" s="91">
        <v>0</v>
      </c>
      <c r="AU52" s="91">
        <v>5759</v>
      </c>
      <c r="AV52" s="91">
        <v>-13109</v>
      </c>
      <c r="AW52" s="91">
        <v>0</v>
      </c>
      <c r="AX52" s="91">
        <v>0</v>
      </c>
      <c r="AY52" s="91">
        <v>0</v>
      </c>
      <c r="AZ52" s="91">
        <v>0</v>
      </c>
      <c r="BA52" s="91">
        <v>0</v>
      </c>
      <c r="BB52" s="91"/>
      <c r="BC52" s="91">
        <v>0</v>
      </c>
      <c r="BD52" s="91">
        <v>0</v>
      </c>
      <c r="BE52" s="91">
        <v>0</v>
      </c>
      <c r="BF52" s="91">
        <v>0</v>
      </c>
      <c r="BG52" s="91">
        <v>0</v>
      </c>
      <c r="BH52" s="91">
        <v>0</v>
      </c>
      <c r="BI52" s="91"/>
      <c r="BJ52" s="91"/>
      <c r="BK52" s="91"/>
      <c r="BL52" s="91">
        <v>0</v>
      </c>
      <c r="BM52" s="91">
        <v>-9308</v>
      </c>
      <c r="BN52" s="91">
        <v>-297</v>
      </c>
      <c r="BO52" s="91">
        <v>9605</v>
      </c>
      <c r="BP52" s="91">
        <v>0</v>
      </c>
      <c r="BQ52" s="91">
        <v>0</v>
      </c>
      <c r="BR52" s="91">
        <v>-11142</v>
      </c>
      <c r="BS52" s="91">
        <v>3810</v>
      </c>
      <c r="BT52" s="91">
        <v>-8279</v>
      </c>
      <c r="BU52" s="91">
        <v>9852</v>
      </c>
      <c r="BV52" s="91">
        <v>5759</v>
      </c>
      <c r="BW52" s="91">
        <v>0</v>
      </c>
      <c r="BX52" s="91">
        <v>0</v>
      </c>
      <c r="BY52" s="90">
        <f t="shared" si="5"/>
        <v>0</v>
      </c>
      <c r="BZ52" s="90">
        <f t="shared" si="6"/>
        <v>0</v>
      </c>
    </row>
    <row r="53" spans="2:78" collapsed="1">
      <c r="B53" s="179" t="s">
        <v>356</v>
      </c>
      <c r="C53" s="172" t="s">
        <v>131</v>
      </c>
      <c r="D53" s="90">
        <v>-3183</v>
      </c>
      <c r="E53" s="90">
        <v>0</v>
      </c>
      <c r="F53" s="90">
        <v>0</v>
      </c>
      <c r="G53" s="90">
        <v>0</v>
      </c>
      <c r="H53" s="90">
        <v>0</v>
      </c>
      <c r="I53" s="90">
        <v>0</v>
      </c>
      <c r="J53" s="90">
        <v>0</v>
      </c>
      <c r="K53" s="90">
        <v>0</v>
      </c>
      <c r="L53" s="90">
        <v>-328</v>
      </c>
      <c r="M53" s="90">
        <v>-168</v>
      </c>
      <c r="N53" s="90">
        <v>-241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0">
        <v>0</v>
      </c>
      <c r="W53" s="90">
        <v>0</v>
      </c>
      <c r="X53" s="90">
        <v>0</v>
      </c>
      <c r="Y53" s="90">
        <v>0</v>
      </c>
      <c r="Z53" s="90">
        <v>0</v>
      </c>
      <c r="AA53" s="90">
        <v>0</v>
      </c>
      <c r="AB53" s="90">
        <v>0</v>
      </c>
      <c r="AC53" s="90">
        <v>0</v>
      </c>
      <c r="AD53" s="90">
        <v>0</v>
      </c>
      <c r="AE53" s="90">
        <v>0</v>
      </c>
      <c r="AF53" s="90">
        <v>0</v>
      </c>
      <c r="AG53" s="90">
        <v>0</v>
      </c>
      <c r="AH53" s="90">
        <v>0</v>
      </c>
      <c r="AI53" s="90">
        <v>0</v>
      </c>
      <c r="AJ53" s="90">
        <v>0</v>
      </c>
      <c r="AK53" s="90">
        <v>0</v>
      </c>
      <c r="AL53" s="90">
        <v>0</v>
      </c>
      <c r="AM53" s="90">
        <v>0</v>
      </c>
      <c r="AN53" s="90">
        <v>0</v>
      </c>
      <c r="AO53" s="90">
        <v>0</v>
      </c>
      <c r="AP53" s="90">
        <v>0</v>
      </c>
      <c r="AQ53" s="90">
        <v>0</v>
      </c>
      <c r="AR53" s="90">
        <v>0</v>
      </c>
      <c r="AS53" s="90">
        <v>0</v>
      </c>
      <c r="AT53" s="90">
        <v>0</v>
      </c>
      <c r="AU53" s="90">
        <v>-21120</v>
      </c>
      <c r="AV53" s="90">
        <v>-19321</v>
      </c>
      <c r="AW53" s="90">
        <v>-58588</v>
      </c>
      <c r="AX53" s="90">
        <v>-27130</v>
      </c>
      <c r="AY53" s="90">
        <v>21138</v>
      </c>
      <c r="AZ53" s="90">
        <v>0</v>
      </c>
      <c r="BA53" s="90">
        <v>-58147</v>
      </c>
      <c r="BB53" s="90">
        <v>-93405</v>
      </c>
      <c r="BC53" s="90">
        <v>-81429</v>
      </c>
      <c r="BD53" s="90">
        <v>-33597</v>
      </c>
      <c r="BE53" s="90">
        <v>68863</v>
      </c>
      <c r="BF53" s="90">
        <v>77536</v>
      </c>
      <c r="BG53" s="90">
        <v>52496</v>
      </c>
      <c r="BH53" s="90">
        <v>38314</v>
      </c>
      <c r="BI53" s="90">
        <v>-32610</v>
      </c>
      <c r="BJ53" s="90">
        <v>2312</v>
      </c>
      <c r="BK53" s="90"/>
      <c r="BL53" s="90">
        <v>0</v>
      </c>
      <c r="BM53" s="90">
        <v>0</v>
      </c>
      <c r="BN53" s="90">
        <v>0</v>
      </c>
      <c r="BO53" s="90">
        <v>0</v>
      </c>
      <c r="BP53" s="90">
        <v>0</v>
      </c>
      <c r="BQ53" s="90">
        <v>0</v>
      </c>
      <c r="BR53" s="90">
        <v>0</v>
      </c>
      <c r="BS53" s="90">
        <v>0</v>
      </c>
      <c r="BT53" s="90">
        <v>0</v>
      </c>
      <c r="BU53" s="90">
        <v>0</v>
      </c>
      <c r="BV53" s="90">
        <v>-21120</v>
      </c>
      <c r="BW53" s="90">
        <v>21138</v>
      </c>
      <c r="BX53" s="90">
        <v>-81429</v>
      </c>
      <c r="BY53" s="90">
        <f t="shared" si="5"/>
        <v>52496</v>
      </c>
      <c r="BZ53" s="90">
        <f t="shared" si="6"/>
        <v>2312</v>
      </c>
    </row>
    <row r="54" spans="2:78">
      <c r="B54" s="179" t="s">
        <v>452</v>
      </c>
      <c r="C54" s="172" t="s">
        <v>95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>
        <v>0</v>
      </c>
      <c r="AW54" s="90">
        <v>0</v>
      </c>
      <c r="AX54" s="90">
        <v>0</v>
      </c>
      <c r="AY54" s="90">
        <v>0</v>
      </c>
      <c r="AZ54" s="90">
        <v>0</v>
      </c>
      <c r="BA54" s="90">
        <v>0</v>
      </c>
      <c r="BB54" s="90">
        <v>0</v>
      </c>
      <c r="BC54" s="90">
        <v>0</v>
      </c>
      <c r="BD54" s="90">
        <v>-45262</v>
      </c>
      <c r="BE54" s="90">
        <v>-45262</v>
      </c>
      <c r="BF54" s="90">
        <v>-45262</v>
      </c>
      <c r="BG54" s="90">
        <v>-45262</v>
      </c>
      <c r="BH54" s="90">
        <v>0</v>
      </c>
      <c r="BI54" s="90">
        <v>0</v>
      </c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>
        <v>0</v>
      </c>
      <c r="BX54" s="90">
        <v>0</v>
      </c>
      <c r="BY54" s="90">
        <f t="shared" si="5"/>
        <v>-45262</v>
      </c>
      <c r="BZ54" s="90">
        <f t="shared" si="6"/>
        <v>0</v>
      </c>
    </row>
    <row r="55" spans="2:78" hidden="1" outlineLevel="1">
      <c r="B55" s="179" t="s">
        <v>453</v>
      </c>
      <c r="C55" s="172" t="s">
        <v>209</v>
      </c>
      <c r="D55" s="91">
        <v>0</v>
      </c>
      <c r="E55" s="91">
        <v>-3183</v>
      </c>
      <c r="F55" s="91">
        <v>-3363</v>
      </c>
      <c r="G55" s="91">
        <v>-3277</v>
      </c>
      <c r="H55" s="91">
        <v>-87</v>
      </c>
      <c r="I55" s="91">
        <v>-181</v>
      </c>
      <c r="J55" s="91">
        <v>-285</v>
      </c>
      <c r="K55" s="91">
        <v>-380</v>
      </c>
      <c r="L55" s="91">
        <v>0</v>
      </c>
      <c r="M55" s="91">
        <v>0</v>
      </c>
      <c r="N55" s="91">
        <v>0</v>
      </c>
      <c r="O55" s="91">
        <v>-308</v>
      </c>
      <c r="P55" s="91">
        <v>-64</v>
      </c>
      <c r="Q55" s="91">
        <v>-135</v>
      </c>
      <c r="R55" s="91">
        <v>-222</v>
      </c>
      <c r="S55" s="91">
        <v>-319</v>
      </c>
      <c r="T55" s="91">
        <v>4284</v>
      </c>
      <c r="U55" s="91">
        <v>4447</v>
      </c>
      <c r="V55" s="91">
        <v>4654</v>
      </c>
      <c r="W55" s="91">
        <v>5446</v>
      </c>
      <c r="X55" s="91">
        <v>0</v>
      </c>
      <c r="Y55" s="91">
        <v>0</v>
      </c>
      <c r="Z55" s="91">
        <v>0</v>
      </c>
      <c r="AA55" s="91">
        <v>0</v>
      </c>
      <c r="AB55" s="91">
        <v>0</v>
      </c>
      <c r="AC55" s="91">
        <v>0</v>
      </c>
      <c r="AD55" s="91">
        <v>0</v>
      </c>
      <c r="AE55" s="91">
        <v>0</v>
      </c>
      <c r="AF55" s="91">
        <v>0</v>
      </c>
      <c r="AG55" s="91">
        <v>0</v>
      </c>
      <c r="AH55" s="91">
        <v>0</v>
      </c>
      <c r="AI55" s="91">
        <v>0</v>
      </c>
      <c r="AJ55" s="91">
        <v>0</v>
      </c>
      <c r="AK55" s="91">
        <v>0</v>
      </c>
      <c r="AL55" s="91">
        <v>0</v>
      </c>
      <c r="AM55" s="91">
        <v>0</v>
      </c>
      <c r="AN55" s="91">
        <v>0</v>
      </c>
      <c r="AO55" s="91">
        <v>0</v>
      </c>
      <c r="AP55" s="91">
        <v>0</v>
      </c>
      <c r="AQ55" s="91">
        <v>0</v>
      </c>
      <c r="AR55" s="91">
        <v>0</v>
      </c>
      <c r="AS55" s="91">
        <v>0</v>
      </c>
      <c r="AT55" s="91">
        <v>0</v>
      </c>
      <c r="AU55" s="91">
        <v>0</v>
      </c>
      <c r="AV55" s="91">
        <v>0</v>
      </c>
      <c r="AW55" s="91">
        <v>0</v>
      </c>
      <c r="AX55" s="91">
        <v>0</v>
      </c>
      <c r="AY55" s="91">
        <v>0</v>
      </c>
      <c r="AZ55" s="91">
        <v>0</v>
      </c>
      <c r="BA55" s="91">
        <v>0</v>
      </c>
      <c r="BB55" s="91">
        <v>0</v>
      </c>
      <c r="BC55" s="91">
        <v>0</v>
      </c>
      <c r="BD55" s="91">
        <v>0</v>
      </c>
      <c r="BE55" s="91">
        <v>0</v>
      </c>
      <c r="BF55" s="91">
        <v>0</v>
      </c>
      <c r="BG55" s="91">
        <v>0</v>
      </c>
      <c r="BH55" s="91">
        <v>0</v>
      </c>
      <c r="BI55" s="91"/>
      <c r="BJ55" s="91"/>
      <c r="BK55" s="91"/>
      <c r="BL55" s="91">
        <v>-3277</v>
      </c>
      <c r="BM55" s="91">
        <v>-380</v>
      </c>
      <c r="BN55" s="91">
        <v>-308</v>
      </c>
      <c r="BO55" s="91">
        <v>-319</v>
      </c>
      <c r="BP55" s="91">
        <v>5446</v>
      </c>
      <c r="BQ55" s="91">
        <v>0</v>
      </c>
      <c r="BR55" s="91">
        <v>0</v>
      </c>
      <c r="BS55" s="91">
        <v>0</v>
      </c>
      <c r="BT55" s="91">
        <v>0</v>
      </c>
      <c r="BU55" s="91">
        <v>0</v>
      </c>
      <c r="BV55" s="91">
        <v>0</v>
      </c>
      <c r="BW55" s="91">
        <v>0</v>
      </c>
      <c r="BX55" s="91">
        <v>0</v>
      </c>
      <c r="BY55" s="90">
        <f t="shared" si="5"/>
        <v>0</v>
      </c>
      <c r="BZ55" s="90">
        <f t="shared" si="6"/>
        <v>0</v>
      </c>
    </row>
    <row r="56" spans="2:78" hidden="1" outlineLevel="1">
      <c r="B56" s="179" t="s">
        <v>454</v>
      </c>
      <c r="C56" s="172" t="s">
        <v>65</v>
      </c>
      <c r="D56" s="92">
        <v>0</v>
      </c>
      <c r="E56" s="92">
        <v>7</v>
      </c>
      <c r="F56" s="92">
        <v>7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2">
        <v>0</v>
      </c>
      <c r="AA56" s="92">
        <v>0</v>
      </c>
      <c r="AB56" s="92">
        <v>0</v>
      </c>
      <c r="AC56" s="92">
        <v>0</v>
      </c>
      <c r="AD56" s="92">
        <v>0</v>
      </c>
      <c r="AE56" s="92">
        <v>0</v>
      </c>
      <c r="AF56" s="92">
        <v>0</v>
      </c>
      <c r="AG56" s="92">
        <v>0</v>
      </c>
      <c r="AH56" s="92">
        <v>0</v>
      </c>
      <c r="AI56" s="92">
        <v>0</v>
      </c>
      <c r="AJ56" s="92">
        <v>0</v>
      </c>
      <c r="AK56" s="92">
        <v>0</v>
      </c>
      <c r="AL56" s="92">
        <v>0</v>
      </c>
      <c r="AM56" s="92">
        <v>0</v>
      </c>
      <c r="AN56" s="92">
        <v>0</v>
      </c>
      <c r="AO56" s="92">
        <v>0</v>
      </c>
      <c r="AP56" s="92">
        <v>0</v>
      </c>
      <c r="AQ56" s="92">
        <v>0</v>
      </c>
      <c r="AR56" s="92">
        <v>0</v>
      </c>
      <c r="AS56" s="92">
        <v>0</v>
      </c>
      <c r="AT56" s="92">
        <v>0</v>
      </c>
      <c r="AU56" s="92">
        <v>0</v>
      </c>
      <c r="AV56" s="92">
        <v>0</v>
      </c>
      <c r="AW56" s="92">
        <v>0</v>
      </c>
      <c r="AX56" s="92">
        <v>0</v>
      </c>
      <c r="AY56" s="92">
        <v>0</v>
      </c>
      <c r="AZ56" s="92">
        <v>0</v>
      </c>
      <c r="BA56" s="92">
        <v>0</v>
      </c>
      <c r="BB56" s="92">
        <v>0</v>
      </c>
      <c r="BC56" s="92">
        <v>0</v>
      </c>
      <c r="BD56" s="92">
        <v>0</v>
      </c>
      <c r="BE56" s="92">
        <v>0</v>
      </c>
      <c r="BF56" s="92">
        <v>0</v>
      </c>
      <c r="BG56" s="92">
        <v>0</v>
      </c>
      <c r="BH56" s="92">
        <v>0</v>
      </c>
      <c r="BI56" s="92"/>
      <c r="BJ56" s="92"/>
      <c r="BK56" s="92"/>
      <c r="BL56" s="92">
        <v>0</v>
      </c>
      <c r="BM56" s="92">
        <v>0</v>
      </c>
      <c r="BN56" s="92">
        <v>0</v>
      </c>
      <c r="BO56" s="92">
        <v>0</v>
      </c>
      <c r="BP56" s="92">
        <v>0</v>
      </c>
      <c r="BQ56" s="92">
        <v>0</v>
      </c>
      <c r="BR56" s="92">
        <v>0</v>
      </c>
      <c r="BS56" s="92">
        <v>0</v>
      </c>
      <c r="BT56" s="92">
        <v>0</v>
      </c>
      <c r="BU56" s="92">
        <v>0</v>
      </c>
      <c r="BV56" s="92">
        <v>0</v>
      </c>
      <c r="BW56" s="92">
        <v>0</v>
      </c>
      <c r="BX56" s="92">
        <v>0</v>
      </c>
      <c r="BY56" s="90">
        <f t="shared" si="5"/>
        <v>0</v>
      </c>
      <c r="BZ56" s="90">
        <f t="shared" si="6"/>
        <v>0</v>
      </c>
    </row>
    <row r="57" spans="2:78" hidden="1" outlineLevel="1">
      <c r="B57" s="179" t="s">
        <v>455</v>
      </c>
      <c r="C57" s="172" t="s">
        <v>67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90">
        <v>0</v>
      </c>
      <c r="AI57" s="90">
        <v>0</v>
      </c>
      <c r="AJ57" s="90">
        <v>0</v>
      </c>
      <c r="AK57" s="90">
        <v>0</v>
      </c>
      <c r="AL57" s="90">
        <v>0</v>
      </c>
      <c r="AM57" s="90">
        <v>0</v>
      </c>
      <c r="AN57" s="90">
        <v>0</v>
      </c>
      <c r="AO57" s="90">
        <v>0</v>
      </c>
      <c r="AP57" s="90">
        <v>0</v>
      </c>
      <c r="AQ57" s="90">
        <v>0</v>
      </c>
      <c r="AR57" s="90">
        <v>0</v>
      </c>
      <c r="AS57" s="90">
        <v>0</v>
      </c>
      <c r="AT57" s="90">
        <v>0</v>
      </c>
      <c r="AU57" s="90">
        <v>0</v>
      </c>
      <c r="AV57" s="90">
        <v>0</v>
      </c>
      <c r="AW57" s="90">
        <v>0</v>
      </c>
      <c r="AX57" s="90">
        <v>0</v>
      </c>
      <c r="AY57" s="90">
        <v>5000</v>
      </c>
      <c r="AZ57" s="90">
        <v>0</v>
      </c>
      <c r="BA57" s="90">
        <v>0</v>
      </c>
      <c r="BB57" s="90">
        <v>0</v>
      </c>
      <c r="BC57" s="90">
        <v>0</v>
      </c>
      <c r="BD57" s="90">
        <v>0</v>
      </c>
      <c r="BE57" s="90">
        <v>0</v>
      </c>
      <c r="BF57" s="90">
        <v>0</v>
      </c>
      <c r="BG57" s="90">
        <v>0</v>
      </c>
      <c r="BH57" s="90">
        <v>0</v>
      </c>
      <c r="BI57" s="90"/>
      <c r="BJ57" s="90"/>
      <c r="BK57" s="90"/>
      <c r="BL57" s="90">
        <v>0</v>
      </c>
      <c r="BM57" s="90">
        <v>0</v>
      </c>
      <c r="BN57" s="90">
        <v>0</v>
      </c>
      <c r="BO57" s="90">
        <v>0</v>
      </c>
      <c r="BP57" s="90">
        <v>0</v>
      </c>
      <c r="BQ57" s="90">
        <v>0</v>
      </c>
      <c r="BR57" s="90">
        <v>0</v>
      </c>
      <c r="BS57" s="90">
        <v>0</v>
      </c>
      <c r="BT57" s="90">
        <v>0</v>
      </c>
      <c r="BU57" s="90">
        <v>0</v>
      </c>
      <c r="BV57" s="90">
        <v>0</v>
      </c>
      <c r="BW57" s="90">
        <v>0</v>
      </c>
      <c r="BX57" s="90">
        <v>0</v>
      </c>
      <c r="BY57" s="90">
        <f t="shared" si="5"/>
        <v>0</v>
      </c>
      <c r="BZ57" s="90">
        <f t="shared" si="6"/>
        <v>0</v>
      </c>
    </row>
    <row r="58" spans="2:78" hidden="1" outlineLevel="1">
      <c r="B58" s="179" t="s">
        <v>456</v>
      </c>
      <c r="C58" s="172" t="s">
        <v>210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-1</v>
      </c>
      <c r="V58" s="92">
        <v>-1</v>
      </c>
      <c r="W58" s="92">
        <v>-1</v>
      </c>
      <c r="X58" s="92">
        <v>0</v>
      </c>
      <c r="Y58" s="92">
        <v>0</v>
      </c>
      <c r="Z58" s="92">
        <v>0</v>
      </c>
      <c r="AA58" s="92">
        <v>0</v>
      </c>
      <c r="AB58" s="92">
        <v>0</v>
      </c>
      <c r="AC58" s="92">
        <v>0</v>
      </c>
      <c r="AD58" s="92">
        <v>0</v>
      </c>
      <c r="AE58" s="92">
        <v>0</v>
      </c>
      <c r="AF58" s="92">
        <v>0</v>
      </c>
      <c r="AG58" s="92">
        <v>0</v>
      </c>
      <c r="AH58" s="92">
        <v>0</v>
      </c>
      <c r="AI58" s="92">
        <v>0</v>
      </c>
      <c r="AJ58" s="92">
        <v>0</v>
      </c>
      <c r="AK58" s="92">
        <v>0</v>
      </c>
      <c r="AL58" s="92">
        <v>0</v>
      </c>
      <c r="AM58" s="92">
        <v>0</v>
      </c>
      <c r="AN58" s="92">
        <v>0</v>
      </c>
      <c r="AO58" s="92">
        <v>0</v>
      </c>
      <c r="AP58" s="92">
        <v>0</v>
      </c>
      <c r="AQ58" s="92">
        <v>0</v>
      </c>
      <c r="AR58" s="92">
        <v>0</v>
      </c>
      <c r="AS58" s="92">
        <v>0</v>
      </c>
      <c r="AT58" s="92">
        <v>0</v>
      </c>
      <c r="AU58" s="92">
        <v>0</v>
      </c>
      <c r="AV58" s="92">
        <v>0</v>
      </c>
      <c r="AW58" s="92">
        <v>0</v>
      </c>
      <c r="AX58" s="92">
        <v>0</v>
      </c>
      <c r="AY58" s="92">
        <v>0</v>
      </c>
      <c r="AZ58" s="92">
        <v>0</v>
      </c>
      <c r="BA58" s="92">
        <v>0</v>
      </c>
      <c r="BB58" s="92">
        <v>0</v>
      </c>
      <c r="BC58" s="92">
        <v>0</v>
      </c>
      <c r="BD58" s="92">
        <v>0</v>
      </c>
      <c r="BE58" s="92">
        <v>0</v>
      </c>
      <c r="BF58" s="92">
        <v>0</v>
      </c>
      <c r="BG58" s="92">
        <v>0</v>
      </c>
      <c r="BH58" s="92">
        <v>0</v>
      </c>
      <c r="BI58" s="92"/>
      <c r="BJ58" s="92"/>
      <c r="BK58" s="92"/>
      <c r="BL58" s="92">
        <v>0</v>
      </c>
      <c r="BM58" s="92">
        <v>0</v>
      </c>
      <c r="BN58" s="92">
        <v>0</v>
      </c>
      <c r="BO58" s="92">
        <v>0</v>
      </c>
      <c r="BP58" s="92">
        <v>-1</v>
      </c>
      <c r="BQ58" s="92">
        <v>0</v>
      </c>
      <c r="BR58" s="92">
        <v>0</v>
      </c>
      <c r="BS58" s="92">
        <v>0</v>
      </c>
      <c r="BT58" s="92">
        <v>0</v>
      </c>
      <c r="BU58" s="92">
        <v>0</v>
      </c>
      <c r="BV58" s="92">
        <v>0</v>
      </c>
      <c r="BW58" s="92">
        <v>0</v>
      </c>
      <c r="BX58" s="92">
        <v>0</v>
      </c>
      <c r="BY58" s="90">
        <f t="shared" si="5"/>
        <v>0</v>
      </c>
      <c r="BZ58" s="90">
        <f t="shared" si="6"/>
        <v>0</v>
      </c>
    </row>
    <row r="59" spans="2:78" hidden="1" outlineLevel="1">
      <c r="B59" s="179" t="s">
        <v>457</v>
      </c>
      <c r="C59" s="172" t="s">
        <v>211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-50071</v>
      </c>
      <c r="P59" s="91">
        <v>-41340</v>
      </c>
      <c r="Q59" s="91">
        <v>-37045</v>
      </c>
      <c r="R59" s="91">
        <v>-45012</v>
      </c>
      <c r="S59" s="91">
        <v>-57182</v>
      </c>
      <c r="T59" s="91">
        <v>7550</v>
      </c>
      <c r="U59" s="91">
        <v>7996</v>
      </c>
      <c r="V59" s="91">
        <v>-25636</v>
      </c>
      <c r="W59" s="91">
        <v>-6423</v>
      </c>
      <c r="X59" s="91">
        <v>19054</v>
      </c>
      <c r="Y59" s="91">
        <v>47892</v>
      </c>
      <c r="Z59" s="91">
        <v>49181</v>
      </c>
      <c r="AA59" s="91">
        <v>45291</v>
      </c>
      <c r="AB59" s="91">
        <v>399</v>
      </c>
      <c r="AC59" s="91">
        <v>5480</v>
      </c>
      <c r="AD59" s="91">
        <v>-19961</v>
      </c>
      <c r="AE59" s="91">
        <v>-12306</v>
      </c>
      <c r="AF59" s="91">
        <v>42491</v>
      </c>
      <c r="AG59" s="91">
        <v>67410</v>
      </c>
      <c r="AH59" s="91">
        <v>57942</v>
      </c>
      <c r="AI59" s="91">
        <v>33192</v>
      </c>
      <c r="AJ59" s="91">
        <v>17418</v>
      </c>
      <c r="AK59" s="91">
        <v>38074</v>
      </c>
      <c r="AL59" s="91">
        <v>43374</v>
      </c>
      <c r="AM59" s="91">
        <v>42973</v>
      </c>
      <c r="AN59" s="91">
        <v>29194</v>
      </c>
      <c r="AO59" s="91">
        <v>26314</v>
      </c>
      <c r="AP59" s="91">
        <v>5144</v>
      </c>
      <c r="AQ59" s="91">
        <v>9641</v>
      </c>
      <c r="AR59" s="91">
        <v>27039</v>
      </c>
      <c r="AS59" s="91">
        <v>34035</v>
      </c>
      <c r="AT59" s="91">
        <v>34034</v>
      </c>
      <c r="AU59" s="91">
        <v>40688</v>
      </c>
      <c r="AV59" s="91">
        <v>0</v>
      </c>
      <c r="AW59" s="91">
        <v>0</v>
      </c>
      <c r="AX59" s="91">
        <v>0</v>
      </c>
      <c r="AY59" s="91">
        <v>0</v>
      </c>
      <c r="AZ59" s="91">
        <v>0</v>
      </c>
      <c r="BA59" s="91">
        <v>0</v>
      </c>
      <c r="BB59" s="91">
        <v>0</v>
      </c>
      <c r="BC59" s="91">
        <v>0</v>
      </c>
      <c r="BD59" s="91">
        <v>0</v>
      </c>
      <c r="BE59" s="91">
        <v>0</v>
      </c>
      <c r="BF59" s="91">
        <v>0</v>
      </c>
      <c r="BG59" s="91">
        <v>0</v>
      </c>
      <c r="BH59" s="91">
        <v>0</v>
      </c>
      <c r="BI59" s="91"/>
      <c r="BJ59" s="91"/>
      <c r="BK59" s="91"/>
      <c r="BL59" s="91">
        <v>0</v>
      </c>
      <c r="BM59" s="91">
        <v>0</v>
      </c>
      <c r="BN59" s="91">
        <v>-50071</v>
      </c>
      <c r="BO59" s="91">
        <v>-57182</v>
      </c>
      <c r="BP59" s="91">
        <v>-6423</v>
      </c>
      <c r="BQ59" s="91">
        <v>45291</v>
      </c>
      <c r="BR59" s="91">
        <v>-12306</v>
      </c>
      <c r="BS59" s="91">
        <v>33192</v>
      </c>
      <c r="BT59" s="91">
        <v>42973</v>
      </c>
      <c r="BU59" s="91">
        <v>9641</v>
      </c>
      <c r="BV59" s="91">
        <v>40688</v>
      </c>
      <c r="BW59" s="91">
        <v>0</v>
      </c>
      <c r="BX59" s="91">
        <v>0</v>
      </c>
      <c r="BY59" s="90">
        <f t="shared" si="5"/>
        <v>0</v>
      </c>
      <c r="BZ59" s="90">
        <f t="shared" si="6"/>
        <v>0</v>
      </c>
    </row>
    <row r="60" spans="2:78" hidden="1" outlineLevel="1">
      <c r="B60" s="179" t="s">
        <v>458</v>
      </c>
      <c r="C60" s="172" t="s">
        <v>212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/>
      <c r="P60" s="91">
        <v>0</v>
      </c>
      <c r="Q60" s="91">
        <v>-701</v>
      </c>
      <c r="R60" s="91">
        <v>0</v>
      </c>
      <c r="S60" s="91">
        <v>0</v>
      </c>
      <c r="T60" s="91">
        <v>-33014</v>
      </c>
      <c r="U60" s="91">
        <v>-18501</v>
      </c>
      <c r="V60" s="91">
        <v>-36119</v>
      </c>
      <c r="W60" s="91">
        <v>-39872</v>
      </c>
      <c r="X60" s="91">
        <v>38901</v>
      </c>
      <c r="Y60" s="91">
        <v>48623</v>
      </c>
      <c r="Z60" s="91">
        <v>14911</v>
      </c>
      <c r="AA60" s="91">
        <v>34577</v>
      </c>
      <c r="AB60" s="91">
        <v>-2156</v>
      </c>
      <c r="AC60" s="91">
        <v>9667</v>
      </c>
      <c r="AD60" s="91">
        <v>-22235</v>
      </c>
      <c r="AE60" s="91">
        <v>-15461</v>
      </c>
      <c r="AF60" s="91">
        <v>2106</v>
      </c>
      <c r="AG60" s="91">
        <v>23973</v>
      </c>
      <c r="AH60" s="91">
        <v>10968</v>
      </c>
      <c r="AI60" s="91">
        <v>31238</v>
      </c>
      <c r="AJ60" s="91">
        <v>2259</v>
      </c>
      <c r="AK60" s="91">
        <v>-38925</v>
      </c>
      <c r="AL60" s="91">
        <v>7240</v>
      </c>
      <c r="AM60" s="91">
        <v>5252</v>
      </c>
      <c r="AN60" s="91">
        <v>6173</v>
      </c>
      <c r="AO60" s="91">
        <v>6142</v>
      </c>
      <c r="AP60" s="91">
        <v>6120</v>
      </c>
      <c r="AQ60" s="91">
        <v>0</v>
      </c>
      <c r="AR60" s="91">
        <v>0</v>
      </c>
      <c r="AS60" s="91">
        <v>0</v>
      </c>
      <c r="AT60" s="91">
        <v>0</v>
      </c>
      <c r="AU60" s="91">
        <v>0</v>
      </c>
      <c r="AV60" s="91">
        <v>0</v>
      </c>
      <c r="AW60" s="91">
        <v>0</v>
      </c>
      <c r="AX60" s="91">
        <v>0</v>
      </c>
      <c r="AY60" s="91">
        <v>0</v>
      </c>
      <c r="AZ60" s="91">
        <v>0</v>
      </c>
      <c r="BA60" s="91">
        <v>0</v>
      </c>
      <c r="BB60" s="91">
        <v>0</v>
      </c>
      <c r="BC60" s="91">
        <v>0</v>
      </c>
      <c r="BD60" s="91">
        <v>0</v>
      </c>
      <c r="BE60" s="91">
        <v>0</v>
      </c>
      <c r="BF60" s="91">
        <v>0</v>
      </c>
      <c r="BG60" s="91">
        <v>0</v>
      </c>
      <c r="BH60" s="91">
        <v>0</v>
      </c>
      <c r="BI60" s="91"/>
      <c r="BJ60" s="91"/>
      <c r="BK60" s="91"/>
      <c r="BL60" s="91">
        <v>0</v>
      </c>
      <c r="BM60" s="91">
        <v>0</v>
      </c>
      <c r="BN60" s="91">
        <v>0</v>
      </c>
      <c r="BO60" s="91">
        <v>0</v>
      </c>
      <c r="BP60" s="91">
        <v>-39872</v>
      </c>
      <c r="BQ60" s="91">
        <v>34577</v>
      </c>
      <c r="BR60" s="91">
        <v>-15461</v>
      </c>
      <c r="BS60" s="91">
        <v>31238</v>
      </c>
      <c r="BT60" s="91">
        <v>5252</v>
      </c>
      <c r="BU60" s="91">
        <v>0</v>
      </c>
      <c r="BV60" s="91">
        <v>0</v>
      </c>
      <c r="BW60" s="91">
        <v>0</v>
      </c>
      <c r="BX60" s="91">
        <v>0</v>
      </c>
      <c r="BY60" s="90">
        <f t="shared" si="5"/>
        <v>0</v>
      </c>
      <c r="BZ60" s="90">
        <f t="shared" si="6"/>
        <v>0</v>
      </c>
    </row>
    <row r="61" spans="2:78" collapsed="1">
      <c r="B61" s="177" t="s">
        <v>459</v>
      </c>
      <c r="C61" s="107" t="s">
        <v>213</v>
      </c>
      <c r="D61" s="112">
        <v>-6840</v>
      </c>
      <c r="E61" s="112">
        <v>-9790</v>
      </c>
      <c r="F61" s="112">
        <v>-13636</v>
      </c>
      <c r="G61" s="112">
        <v>-18093</v>
      </c>
      <c r="H61" s="112">
        <v>-3032</v>
      </c>
      <c r="I61" s="112">
        <v>-8685</v>
      </c>
      <c r="J61" s="112">
        <v>-13655</v>
      </c>
      <c r="K61" s="112">
        <v>-31220</v>
      </c>
      <c r="L61" s="112">
        <v>-2653</v>
      </c>
      <c r="M61" s="112">
        <v>-7506</v>
      </c>
      <c r="N61" s="112">
        <v>-19857</v>
      </c>
      <c r="O61" s="112">
        <v>-77616</v>
      </c>
      <c r="P61" s="112">
        <v>-46512</v>
      </c>
      <c r="Q61" s="112">
        <v>-49942</v>
      </c>
      <c r="R61" s="112">
        <v>-56014</v>
      </c>
      <c r="S61" s="112">
        <v>-75960</v>
      </c>
      <c r="T61" s="112">
        <v>-38186</v>
      </c>
      <c r="U61" s="112">
        <v>-33742</v>
      </c>
      <c r="V61" s="112">
        <v>-94826</v>
      </c>
      <c r="W61" s="112">
        <v>-105553</v>
      </c>
      <c r="X61" s="112">
        <v>48910</v>
      </c>
      <c r="Y61" s="112">
        <v>79890</v>
      </c>
      <c r="Z61" s="112">
        <v>27766</v>
      </c>
      <c r="AA61" s="112">
        <v>32558</v>
      </c>
      <c r="AB61" s="112">
        <v>-7181</v>
      </c>
      <c r="AC61" s="112">
        <v>-3517</v>
      </c>
      <c r="AD61" s="112">
        <v>-63759</v>
      </c>
      <c r="AE61" s="112">
        <v>-52037</v>
      </c>
      <c r="AF61" s="112">
        <v>30731</v>
      </c>
      <c r="AG61" s="112">
        <v>71580</v>
      </c>
      <c r="AH61" s="112">
        <v>54034</v>
      </c>
      <c r="AI61" s="112">
        <v>50249</v>
      </c>
      <c r="AJ61" s="112">
        <v>17786</v>
      </c>
      <c r="AK61" s="112">
        <v>-6050</v>
      </c>
      <c r="AL61" s="112">
        <v>32802</v>
      </c>
      <c r="AM61" s="112">
        <v>28942</v>
      </c>
      <c r="AN61" s="112">
        <v>24460</v>
      </c>
      <c r="AO61" s="112">
        <v>19722</v>
      </c>
      <c r="AP61" s="112">
        <v>12975</v>
      </c>
      <c r="AQ61" s="112">
        <v>6294</v>
      </c>
      <c r="AR61" s="112">
        <v>30858</v>
      </c>
      <c r="AS61" s="112">
        <v>24850</v>
      </c>
      <c r="AT61" s="112">
        <v>21802</v>
      </c>
      <c r="AU61" s="112">
        <v>13477</v>
      </c>
      <c r="AV61" s="112">
        <v>-44458</v>
      </c>
      <c r="AW61" s="112">
        <v>-77219</v>
      </c>
      <c r="AX61" s="112">
        <v>-52817</v>
      </c>
      <c r="AY61" s="112">
        <v>-13784</v>
      </c>
      <c r="AZ61" s="112">
        <v>-7473.7969999999996</v>
      </c>
      <c r="BA61" s="112">
        <v>-77293</v>
      </c>
      <c r="BB61" s="112">
        <v>-124515</v>
      </c>
      <c r="BC61" s="112">
        <v>-137396</v>
      </c>
      <c r="BD61" s="112">
        <v>-88313</v>
      </c>
      <c r="BE61" s="112">
        <v>-12690</v>
      </c>
      <c r="BF61" s="112">
        <f>SUM(BF50:BF60)</f>
        <v>-21347</v>
      </c>
      <c r="BG61" s="112">
        <f>SUM(BG50:BG60)</f>
        <v>-68132</v>
      </c>
      <c r="BH61" s="112">
        <f>SUM(BH50:BH60)</f>
        <v>31141</v>
      </c>
      <c r="BI61" s="112">
        <f>SUM(BI50:BI60)</f>
        <v>-48167</v>
      </c>
      <c r="BJ61" s="112">
        <f>SUM(BJ50:BJ60)</f>
        <v>-23825</v>
      </c>
      <c r="BK61" s="112"/>
      <c r="BL61" s="112">
        <v>-18093</v>
      </c>
      <c r="BM61" s="112">
        <v>-31220</v>
      </c>
      <c r="BN61" s="112">
        <v>-77616</v>
      </c>
      <c r="BO61" s="112">
        <v>-75960</v>
      </c>
      <c r="BP61" s="112">
        <v>-105553</v>
      </c>
      <c r="BQ61" s="112">
        <v>32558</v>
      </c>
      <c r="BR61" s="112">
        <v>-52037</v>
      </c>
      <c r="BS61" s="112">
        <v>50249</v>
      </c>
      <c r="BT61" s="112">
        <v>28942</v>
      </c>
      <c r="BU61" s="112">
        <v>6294</v>
      </c>
      <c r="BV61" s="112">
        <v>13477</v>
      </c>
      <c r="BW61" s="112">
        <v>-13784</v>
      </c>
      <c r="BX61" s="112">
        <v>-137396</v>
      </c>
      <c r="BY61" s="112">
        <f>SUM(BY50:BY60)</f>
        <v>-68132</v>
      </c>
      <c r="BZ61" s="112">
        <f>SUM(BZ50:BZ60)</f>
        <v>-23825</v>
      </c>
    </row>
    <row r="62" spans="2:78">
      <c r="B62" s="179" t="s">
        <v>393</v>
      </c>
      <c r="C62" s="172" t="s">
        <v>68</v>
      </c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  <c r="J62" s="162">
        <v>0</v>
      </c>
      <c r="K62" s="162">
        <v>0</v>
      </c>
      <c r="L62" s="162">
        <v>0</v>
      </c>
      <c r="M62" s="162">
        <v>0</v>
      </c>
      <c r="N62" s="162">
        <v>0</v>
      </c>
      <c r="O62" s="162">
        <v>0</v>
      </c>
      <c r="P62" s="162">
        <v>0</v>
      </c>
      <c r="Q62" s="162">
        <v>0</v>
      </c>
      <c r="R62" s="162">
        <v>0</v>
      </c>
      <c r="S62" s="162">
        <v>0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0</v>
      </c>
      <c r="AD62" s="162">
        <v>0</v>
      </c>
      <c r="AE62" s="162">
        <v>0</v>
      </c>
      <c r="AF62" s="162">
        <v>0</v>
      </c>
      <c r="AG62" s="162">
        <v>0</v>
      </c>
      <c r="AH62" s="162">
        <v>0</v>
      </c>
      <c r="AI62" s="162">
        <v>0</v>
      </c>
      <c r="AJ62" s="162">
        <v>0</v>
      </c>
      <c r="AK62" s="162">
        <v>0</v>
      </c>
      <c r="AL62" s="162">
        <v>0</v>
      </c>
      <c r="AM62" s="162">
        <v>0</v>
      </c>
      <c r="AN62" s="162">
        <v>0</v>
      </c>
      <c r="AO62" s="162">
        <v>0</v>
      </c>
      <c r="AP62" s="162">
        <v>0</v>
      </c>
      <c r="AQ62" s="162">
        <v>0</v>
      </c>
      <c r="AR62" s="162">
        <v>0</v>
      </c>
      <c r="AS62" s="162">
        <v>0</v>
      </c>
      <c r="AT62" s="162">
        <v>0</v>
      </c>
      <c r="AU62" s="162">
        <v>0</v>
      </c>
      <c r="AV62" s="162">
        <v>0</v>
      </c>
      <c r="AW62" s="162">
        <v>0</v>
      </c>
      <c r="AX62" s="162">
        <v>0</v>
      </c>
      <c r="AY62" s="162">
        <v>-12666</v>
      </c>
      <c r="AZ62" s="162">
        <v>-4013</v>
      </c>
      <c r="BA62" s="162">
        <v>-4013</v>
      </c>
      <c r="BB62" s="162">
        <v>-9954</v>
      </c>
      <c r="BC62" s="162">
        <v>-9954</v>
      </c>
      <c r="BD62" s="162">
        <v>0</v>
      </c>
      <c r="BE62" s="162">
        <v>-16204</v>
      </c>
      <c r="BF62" s="162">
        <v>-16204</v>
      </c>
      <c r="BG62" s="162">
        <v>-16204</v>
      </c>
      <c r="BH62" s="162">
        <v>0</v>
      </c>
      <c r="BI62" s="162">
        <v>-2447</v>
      </c>
      <c r="BJ62" s="162">
        <v>-29835</v>
      </c>
      <c r="BK62" s="162"/>
      <c r="BL62" s="162">
        <v>0</v>
      </c>
      <c r="BM62" s="162">
        <v>0</v>
      </c>
      <c r="BN62" s="162">
        <v>0</v>
      </c>
      <c r="BO62" s="162">
        <v>0</v>
      </c>
      <c r="BP62" s="162">
        <v>0</v>
      </c>
      <c r="BQ62" s="162">
        <v>0</v>
      </c>
      <c r="BR62" s="162">
        <v>0</v>
      </c>
      <c r="BS62" s="162">
        <v>0</v>
      </c>
      <c r="BT62" s="162">
        <v>0</v>
      </c>
      <c r="BU62" s="162">
        <v>0</v>
      </c>
      <c r="BV62" s="162">
        <v>0</v>
      </c>
      <c r="BW62" s="162">
        <v>-12666</v>
      </c>
      <c r="BX62" s="162">
        <v>-9954</v>
      </c>
      <c r="BY62" s="90">
        <f t="shared" ref="BY62:BY71" si="7">+BG62</f>
        <v>-16204</v>
      </c>
      <c r="BZ62" s="90">
        <f t="shared" ref="BZ62:BZ71" si="8">+BJ62</f>
        <v>-29835</v>
      </c>
    </row>
    <row r="63" spans="2:78" ht="1.5" customHeight="1" outlineLevel="1">
      <c r="B63" s="179" t="s">
        <v>460</v>
      </c>
      <c r="C63" s="172" t="s">
        <v>214</v>
      </c>
      <c r="D63" s="92">
        <v>0</v>
      </c>
      <c r="E63" s="92">
        <v>0</v>
      </c>
      <c r="F63" s="92">
        <v>0</v>
      </c>
      <c r="G63" s="92">
        <v>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  <c r="U63" s="92">
        <v>22</v>
      </c>
      <c r="V63" s="92">
        <v>1263</v>
      </c>
      <c r="W63" s="92">
        <v>1263</v>
      </c>
      <c r="X63" s="92">
        <v>0</v>
      </c>
      <c r="Y63" s="92">
        <v>100</v>
      </c>
      <c r="Z63" s="92">
        <v>100</v>
      </c>
      <c r="AA63" s="92">
        <v>100</v>
      </c>
      <c r="AB63" s="92">
        <v>0</v>
      </c>
      <c r="AC63" s="92">
        <v>0</v>
      </c>
      <c r="AD63" s="92">
        <v>0</v>
      </c>
      <c r="AE63" s="92">
        <v>0</v>
      </c>
      <c r="AF63" s="92">
        <v>0</v>
      </c>
      <c r="AG63" s="92">
        <v>0</v>
      </c>
      <c r="AH63" s="92">
        <v>0</v>
      </c>
      <c r="AI63" s="92">
        <v>0</v>
      </c>
      <c r="AJ63" s="92">
        <v>0</v>
      </c>
      <c r="AK63" s="92">
        <v>0</v>
      </c>
      <c r="AL63" s="92">
        <v>0</v>
      </c>
      <c r="AM63" s="92">
        <v>0</v>
      </c>
      <c r="AN63" s="92">
        <v>0</v>
      </c>
      <c r="AO63" s="92">
        <v>0</v>
      </c>
      <c r="AP63" s="92">
        <v>0</v>
      </c>
      <c r="AQ63" s="92">
        <v>0</v>
      </c>
      <c r="AR63" s="92">
        <v>0</v>
      </c>
      <c r="AS63" s="92">
        <v>0</v>
      </c>
      <c r="AT63" s="92">
        <v>0</v>
      </c>
      <c r="AU63" s="92">
        <v>0</v>
      </c>
      <c r="AV63" s="92">
        <v>0</v>
      </c>
      <c r="AW63" s="92">
        <v>0</v>
      </c>
      <c r="AX63" s="92">
        <v>0</v>
      </c>
      <c r="AY63" s="92">
        <v>0</v>
      </c>
      <c r="AZ63" s="92">
        <v>0</v>
      </c>
      <c r="BA63" s="92">
        <v>0</v>
      </c>
      <c r="BB63" s="92">
        <v>0</v>
      </c>
      <c r="BC63" s="92">
        <v>0</v>
      </c>
      <c r="BD63" s="92">
        <v>0</v>
      </c>
      <c r="BE63" s="92">
        <v>0</v>
      </c>
      <c r="BF63" s="92">
        <v>0</v>
      </c>
      <c r="BG63" s="92">
        <v>0</v>
      </c>
      <c r="BH63" s="92">
        <v>0</v>
      </c>
      <c r="BI63" s="92"/>
      <c r="BJ63" s="92"/>
      <c r="BK63" s="92"/>
      <c r="BL63" s="92">
        <v>0</v>
      </c>
      <c r="BM63" s="92">
        <v>0</v>
      </c>
      <c r="BN63" s="92">
        <v>0</v>
      </c>
      <c r="BO63" s="92">
        <v>0</v>
      </c>
      <c r="BP63" s="92">
        <v>1263</v>
      </c>
      <c r="BQ63" s="92">
        <v>100</v>
      </c>
      <c r="BR63" s="92">
        <v>0</v>
      </c>
      <c r="BS63" s="92">
        <v>0</v>
      </c>
      <c r="BT63" s="92">
        <v>0</v>
      </c>
      <c r="BU63" s="92">
        <v>0</v>
      </c>
      <c r="BV63" s="92">
        <v>0</v>
      </c>
      <c r="BW63" s="92">
        <v>0</v>
      </c>
      <c r="BX63" s="92">
        <v>0</v>
      </c>
      <c r="BY63" s="90">
        <f t="shared" si="7"/>
        <v>0</v>
      </c>
      <c r="BZ63" s="90">
        <f t="shared" si="8"/>
        <v>0</v>
      </c>
    </row>
    <row r="64" spans="2:78">
      <c r="B64" s="179" t="s">
        <v>461</v>
      </c>
      <c r="C64" s="172" t="s">
        <v>254</v>
      </c>
      <c r="D64" s="119">
        <v>0</v>
      </c>
      <c r="E64" s="119">
        <v>0</v>
      </c>
      <c r="F64" s="119">
        <v>0</v>
      </c>
      <c r="G64" s="119">
        <v>-21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  <c r="P64" s="119">
        <v>0</v>
      </c>
      <c r="Q64" s="119">
        <v>-23861</v>
      </c>
      <c r="R64" s="119">
        <v>-23861</v>
      </c>
      <c r="S64" s="119">
        <v>-7861</v>
      </c>
      <c r="T64" s="119">
        <v>0</v>
      </c>
      <c r="U64" s="119">
        <v>-12967</v>
      </c>
      <c r="V64" s="119">
        <v>-12967</v>
      </c>
      <c r="W64" s="119">
        <v>-12967</v>
      </c>
      <c r="X64" s="119">
        <v>0</v>
      </c>
      <c r="Y64" s="119">
        <v>-35823</v>
      </c>
      <c r="Z64" s="119">
        <v>-35823</v>
      </c>
      <c r="AA64" s="119">
        <v>-35823</v>
      </c>
      <c r="AB64" s="119">
        <v>0</v>
      </c>
      <c r="AC64" s="119">
        <v>-2690</v>
      </c>
      <c r="AD64" s="119">
        <v>-2690</v>
      </c>
      <c r="AE64" s="119">
        <v>-2686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-2590</v>
      </c>
      <c r="AR64" s="119">
        <v>0</v>
      </c>
      <c r="AS64" s="119">
        <v>0</v>
      </c>
      <c r="AT64" s="119">
        <v>-6388</v>
      </c>
      <c r="AU64" s="119">
        <v>-6388</v>
      </c>
      <c r="AV64" s="119">
        <v>0</v>
      </c>
      <c r="AW64" s="119">
        <v>-25402</v>
      </c>
      <c r="AX64" s="119">
        <v>-46880</v>
      </c>
      <c r="AY64" s="119">
        <v>-25402</v>
      </c>
      <c r="AZ64" s="119">
        <v>0</v>
      </c>
      <c r="BA64" s="119">
        <v>-75533</v>
      </c>
      <c r="BB64" s="119">
        <v>-89873</v>
      </c>
      <c r="BC64" s="119">
        <v>-159873</v>
      </c>
      <c r="BD64" s="119">
        <v>0</v>
      </c>
      <c r="BE64" s="119">
        <v>-77690</v>
      </c>
      <c r="BF64" s="119">
        <v>-112252</v>
      </c>
      <c r="BG64" s="119">
        <f>-152690-BG68</f>
        <v>-126297</v>
      </c>
      <c r="BH64" s="119">
        <v>-2940</v>
      </c>
      <c r="BI64" s="119">
        <v>-77811</v>
      </c>
      <c r="BJ64" s="119">
        <f>-123604-BJ68</f>
        <v>-108157</v>
      </c>
      <c r="BK64" s="119"/>
      <c r="BL64" s="119">
        <v>-21</v>
      </c>
      <c r="BM64" s="119">
        <v>0</v>
      </c>
      <c r="BN64" s="119">
        <v>0</v>
      </c>
      <c r="BO64" s="119">
        <v>-7861</v>
      </c>
      <c r="BP64" s="119">
        <v>-12967</v>
      </c>
      <c r="BQ64" s="119">
        <v>-35823</v>
      </c>
      <c r="BR64" s="119">
        <v>-2686</v>
      </c>
      <c r="BS64" s="119">
        <v>0</v>
      </c>
      <c r="BT64" s="119">
        <v>0</v>
      </c>
      <c r="BU64" s="119">
        <v>-2590</v>
      </c>
      <c r="BV64" s="119">
        <v>-6388</v>
      </c>
      <c r="BW64" s="119">
        <v>-25402</v>
      </c>
      <c r="BX64" s="119">
        <v>-159873</v>
      </c>
      <c r="BY64" s="90">
        <f t="shared" si="7"/>
        <v>-126297</v>
      </c>
      <c r="BZ64" s="90">
        <f t="shared" si="8"/>
        <v>-108157</v>
      </c>
    </row>
    <row r="65" spans="2:78">
      <c r="B65" s="179" t="s">
        <v>462</v>
      </c>
      <c r="C65" s="172" t="s">
        <v>252</v>
      </c>
      <c r="D65" s="92">
        <v>-1463</v>
      </c>
      <c r="E65" s="92">
        <v>-3495</v>
      </c>
      <c r="F65" s="92">
        <v>-6508</v>
      </c>
      <c r="G65" s="92">
        <v>-11451</v>
      </c>
      <c r="H65" s="92">
        <v>-6967</v>
      </c>
      <c r="I65" s="92">
        <v>-13967</v>
      </c>
      <c r="J65" s="92">
        <v>-27473</v>
      </c>
      <c r="K65" s="92">
        <v>-33494</v>
      </c>
      <c r="L65" s="92">
        <v>-6897</v>
      </c>
      <c r="M65" s="92">
        <v>-23191</v>
      </c>
      <c r="N65" s="92">
        <v>-78734</v>
      </c>
      <c r="O65" s="92">
        <v>-90146</v>
      </c>
      <c r="P65" s="92">
        <v>-5165</v>
      </c>
      <c r="Q65" s="92">
        <v>-43827</v>
      </c>
      <c r="R65" s="92">
        <v>-50311</v>
      </c>
      <c r="S65" s="92">
        <v>-55208</v>
      </c>
      <c r="T65" s="92">
        <v>-4263</v>
      </c>
      <c r="U65" s="92">
        <v>-19168</v>
      </c>
      <c r="V65" s="92">
        <v>-26175</v>
      </c>
      <c r="W65" s="92">
        <v>-79066</v>
      </c>
      <c r="X65" s="92">
        <v>-8058</v>
      </c>
      <c r="Y65" s="92">
        <v>-16588</v>
      </c>
      <c r="Z65" s="92">
        <v>-31890</v>
      </c>
      <c r="AA65" s="92">
        <v>-43925</v>
      </c>
      <c r="AB65" s="92">
        <v>-12585</v>
      </c>
      <c r="AC65" s="92">
        <v>-34711</v>
      </c>
      <c r="AD65" s="92">
        <v>-40962</v>
      </c>
      <c r="AE65" s="92">
        <v>-48304</v>
      </c>
      <c r="AF65" s="92">
        <v>-10210</v>
      </c>
      <c r="AG65" s="92">
        <v>-20420</v>
      </c>
      <c r="AH65" s="92">
        <v>-34908</v>
      </c>
      <c r="AI65" s="92">
        <v>-49391</v>
      </c>
      <c r="AJ65" s="92">
        <v>-12687</v>
      </c>
      <c r="AK65" s="92">
        <v>-34087</v>
      </c>
      <c r="AL65" s="92">
        <v>-57461</v>
      </c>
      <c r="AM65" s="92">
        <v>-60641</v>
      </c>
      <c r="AN65" s="92">
        <v>-12376</v>
      </c>
      <c r="AO65" s="92">
        <v>-12376</v>
      </c>
      <c r="AP65" s="92">
        <v>-33096</v>
      </c>
      <c r="AQ65" s="92">
        <v>-35953</v>
      </c>
      <c r="AR65" s="92">
        <v>-17755</v>
      </c>
      <c r="AS65" s="92">
        <v>-19736</v>
      </c>
      <c r="AT65" s="92">
        <v>-21543</v>
      </c>
      <c r="AU65" s="92">
        <v>-56751</v>
      </c>
      <c r="AV65" s="92">
        <v>-1493</v>
      </c>
      <c r="AW65" s="92">
        <v>-2986</v>
      </c>
      <c r="AX65" s="92">
        <v>-4479</v>
      </c>
      <c r="AY65" s="92">
        <v>-20420</v>
      </c>
      <c r="AZ65" s="92">
        <v>-1493</v>
      </c>
      <c r="BA65" s="92">
        <v>-2987</v>
      </c>
      <c r="BB65" s="92">
        <v>-14480</v>
      </c>
      <c r="BC65" s="92">
        <v>-54978</v>
      </c>
      <c r="BD65" s="92">
        <v>0</v>
      </c>
      <c r="BE65" s="92">
        <v>-60000</v>
      </c>
      <c r="BF65" s="92">
        <v>-60000</v>
      </c>
      <c r="BG65" s="92">
        <v>-72000</v>
      </c>
      <c r="BH65" s="92">
        <v>-50000</v>
      </c>
      <c r="BI65" s="92">
        <v>-110000</v>
      </c>
      <c r="BJ65" s="92">
        <v>-110000</v>
      </c>
      <c r="BK65" s="92"/>
      <c r="BL65" s="92">
        <v>-11451</v>
      </c>
      <c r="BM65" s="92">
        <v>-33494</v>
      </c>
      <c r="BN65" s="92">
        <v>-90146</v>
      </c>
      <c r="BO65" s="92">
        <v>-55208</v>
      </c>
      <c r="BP65" s="92">
        <v>-79066</v>
      </c>
      <c r="BQ65" s="92">
        <v>-43925</v>
      </c>
      <c r="BR65" s="92">
        <v>-48304</v>
      </c>
      <c r="BS65" s="92">
        <v>-49391</v>
      </c>
      <c r="BT65" s="92">
        <v>-60641</v>
      </c>
      <c r="BU65" s="92">
        <v>-35953</v>
      </c>
      <c r="BV65" s="92">
        <v>-56751</v>
      </c>
      <c r="BW65" s="92">
        <v>-20420</v>
      </c>
      <c r="BX65" s="92">
        <v>-54978</v>
      </c>
      <c r="BY65" s="90">
        <f t="shared" si="7"/>
        <v>-72000</v>
      </c>
      <c r="BZ65" s="90">
        <f t="shared" si="8"/>
        <v>-110000</v>
      </c>
    </row>
    <row r="66" spans="2:78">
      <c r="B66" s="179" t="s">
        <v>463</v>
      </c>
      <c r="C66" s="172" t="s">
        <v>253</v>
      </c>
      <c r="D66" s="92">
        <v>0</v>
      </c>
      <c r="E66" s="92">
        <v>0</v>
      </c>
      <c r="F66" s="92">
        <v>16502</v>
      </c>
      <c r="G66" s="92">
        <v>16502</v>
      </c>
      <c r="H66" s="92">
        <v>882</v>
      </c>
      <c r="I66" s="92">
        <v>4189</v>
      </c>
      <c r="J66" s="92">
        <v>41459</v>
      </c>
      <c r="K66" s="92">
        <v>77305</v>
      </c>
      <c r="L66" s="92">
        <v>100</v>
      </c>
      <c r="M66" s="92">
        <v>83</v>
      </c>
      <c r="N66" s="92">
        <v>3759</v>
      </c>
      <c r="O66" s="92">
        <v>6442</v>
      </c>
      <c r="P66" s="92">
        <v>511</v>
      </c>
      <c r="Q66" s="92">
        <v>32213</v>
      </c>
      <c r="R66" s="92">
        <v>32216</v>
      </c>
      <c r="S66" s="92">
        <v>33068</v>
      </c>
      <c r="T66" s="92">
        <v>5011</v>
      </c>
      <c r="U66" s="92">
        <v>8770</v>
      </c>
      <c r="V66" s="92">
        <v>13049</v>
      </c>
      <c r="W66" s="92">
        <v>68486</v>
      </c>
      <c r="X66" s="92">
        <v>312</v>
      </c>
      <c r="Y66" s="92">
        <v>9038</v>
      </c>
      <c r="Z66" s="92">
        <v>36604</v>
      </c>
      <c r="AA66" s="92">
        <v>38183</v>
      </c>
      <c r="AB66" s="92">
        <v>25062</v>
      </c>
      <c r="AC66" s="92">
        <v>25062</v>
      </c>
      <c r="AD66" s="92">
        <v>53981</v>
      </c>
      <c r="AE66" s="92">
        <v>62184</v>
      </c>
      <c r="AF66" s="92">
        <v>0</v>
      </c>
      <c r="AG66" s="92">
        <v>1420</v>
      </c>
      <c r="AH66" s="92">
        <v>10386</v>
      </c>
      <c r="AI66" s="92">
        <v>10386</v>
      </c>
      <c r="AJ66" s="92">
        <v>0</v>
      </c>
      <c r="AK66" s="92">
        <v>38000</v>
      </c>
      <c r="AL66" s="92">
        <v>44562</v>
      </c>
      <c r="AM66" s="92">
        <v>44562</v>
      </c>
      <c r="AN66" s="92">
        <v>11000</v>
      </c>
      <c r="AO66" s="92">
        <v>11000</v>
      </c>
      <c r="AP66" s="92">
        <v>11000</v>
      </c>
      <c r="AQ66" s="92">
        <v>11000</v>
      </c>
      <c r="AR66" s="92">
        <v>29696</v>
      </c>
      <c r="AS66" s="92">
        <v>29696</v>
      </c>
      <c r="AT66" s="92">
        <v>29696</v>
      </c>
      <c r="AU66" s="92">
        <v>29696</v>
      </c>
      <c r="AV66" s="92">
        <v>0</v>
      </c>
      <c r="AW66" s="92">
        <v>0</v>
      </c>
      <c r="AX66" s="92">
        <v>50000</v>
      </c>
      <c r="AY66" s="92">
        <v>64446</v>
      </c>
      <c r="AZ66" s="92">
        <v>0</v>
      </c>
      <c r="BA66" s="92">
        <v>100000</v>
      </c>
      <c r="BB66" s="92">
        <v>100000</v>
      </c>
      <c r="BC66" s="92">
        <v>160000</v>
      </c>
      <c r="BD66" s="92">
        <v>0</v>
      </c>
      <c r="BE66" s="92">
        <v>50000</v>
      </c>
      <c r="BF66" s="92">
        <v>100000</v>
      </c>
      <c r="BG66" s="92">
        <v>100000</v>
      </c>
      <c r="BH66" s="92">
        <v>0</v>
      </c>
      <c r="BI66" s="92">
        <v>210000</v>
      </c>
      <c r="BJ66" s="92">
        <v>210000</v>
      </c>
      <c r="BK66" s="92"/>
      <c r="BL66" s="92">
        <v>16502</v>
      </c>
      <c r="BM66" s="92">
        <v>77305</v>
      </c>
      <c r="BN66" s="92">
        <v>6442</v>
      </c>
      <c r="BO66" s="92">
        <v>33068</v>
      </c>
      <c r="BP66" s="92">
        <v>68486</v>
      </c>
      <c r="BQ66" s="92">
        <v>38183</v>
      </c>
      <c r="BR66" s="92">
        <v>62184</v>
      </c>
      <c r="BS66" s="92">
        <v>10386</v>
      </c>
      <c r="BT66" s="92">
        <v>44562</v>
      </c>
      <c r="BU66" s="92">
        <v>11000</v>
      </c>
      <c r="BV66" s="92">
        <v>29696</v>
      </c>
      <c r="BW66" s="92">
        <v>64446</v>
      </c>
      <c r="BX66" s="92">
        <v>160000</v>
      </c>
      <c r="BY66" s="90">
        <f t="shared" si="7"/>
        <v>100000</v>
      </c>
      <c r="BZ66" s="90">
        <f t="shared" si="8"/>
        <v>210000</v>
      </c>
    </row>
    <row r="67" spans="2:78">
      <c r="B67" s="179" t="s">
        <v>474</v>
      </c>
      <c r="C67" s="172" t="s">
        <v>276</v>
      </c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>
        <v>0</v>
      </c>
      <c r="BE67" s="92">
        <v>0</v>
      </c>
      <c r="BF67" s="92">
        <v>0</v>
      </c>
      <c r="BG67" s="92">
        <v>0</v>
      </c>
      <c r="BH67" s="92">
        <v>0</v>
      </c>
      <c r="BI67" s="92">
        <v>0</v>
      </c>
      <c r="BJ67" s="92">
        <v>-2223</v>
      </c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0">
        <f t="shared" si="7"/>
        <v>0</v>
      </c>
      <c r="BZ67" s="90">
        <f t="shared" si="8"/>
        <v>-2223</v>
      </c>
    </row>
    <row r="68" spans="2:78">
      <c r="B68" s="179" t="s">
        <v>473</v>
      </c>
      <c r="C68" s="172" t="s">
        <v>215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19">
        <v>0</v>
      </c>
      <c r="O68" s="119">
        <v>-5499</v>
      </c>
      <c r="P68" s="119">
        <v>0</v>
      </c>
      <c r="Q68" s="119">
        <v>0</v>
      </c>
      <c r="R68" s="119">
        <v>0</v>
      </c>
      <c r="S68" s="119">
        <v>-10699</v>
      </c>
      <c r="T68" s="119">
        <v>0</v>
      </c>
      <c r="U68" s="119">
        <v>0</v>
      </c>
      <c r="V68" s="119">
        <v>0</v>
      </c>
      <c r="W68" s="119">
        <v>-12700</v>
      </c>
      <c r="X68" s="119">
        <v>0</v>
      </c>
      <c r="Y68" s="119">
        <v>0</v>
      </c>
      <c r="Z68" s="119">
        <v>0</v>
      </c>
      <c r="AA68" s="119">
        <v>0</v>
      </c>
      <c r="AB68" s="119">
        <v>0</v>
      </c>
      <c r="AC68" s="119">
        <v>0</v>
      </c>
      <c r="AD68" s="119">
        <v>0</v>
      </c>
      <c r="AE68" s="119">
        <v>0</v>
      </c>
      <c r="AF68" s="119">
        <v>0</v>
      </c>
      <c r="AG68" s="119">
        <v>0</v>
      </c>
      <c r="AH68" s="119">
        <v>0</v>
      </c>
      <c r="AI68" s="119">
        <v>0</v>
      </c>
      <c r="AJ68" s="119">
        <v>0</v>
      </c>
      <c r="AK68" s="119">
        <v>0</v>
      </c>
      <c r="AL68" s="119">
        <v>0</v>
      </c>
      <c r="AM68" s="119">
        <v>0</v>
      </c>
      <c r="AN68" s="119">
        <v>0</v>
      </c>
      <c r="AO68" s="119">
        <v>0</v>
      </c>
      <c r="AP68" s="119">
        <v>0</v>
      </c>
      <c r="AQ68" s="119">
        <v>-4000</v>
      </c>
      <c r="AR68" s="119">
        <v>0</v>
      </c>
      <c r="AS68" s="119">
        <v>0</v>
      </c>
      <c r="AT68" s="119">
        <v>0</v>
      </c>
      <c r="AU68" s="119">
        <v>-8000</v>
      </c>
      <c r="AV68" s="119">
        <v>0</v>
      </c>
      <c r="AW68" s="119">
        <v>0</v>
      </c>
      <c r="AX68" s="119">
        <v>0</v>
      </c>
      <c r="AY68" s="119">
        <v>-21478</v>
      </c>
      <c r="AZ68" s="119">
        <v>0</v>
      </c>
      <c r="BA68" s="119">
        <v>0</v>
      </c>
      <c r="BB68" s="119">
        <v>-18678</v>
      </c>
      <c r="BC68" s="119">
        <v>-18678</v>
      </c>
      <c r="BD68" s="119">
        <v>0</v>
      </c>
      <c r="BE68" s="119">
        <v>0</v>
      </c>
      <c r="BF68" s="119">
        <v>-20438</v>
      </c>
      <c r="BG68" s="119">
        <v>-26393</v>
      </c>
      <c r="BH68" s="119">
        <v>0</v>
      </c>
      <c r="BI68" s="119">
        <v>0</v>
      </c>
      <c r="BJ68" s="119">
        <v>-15447</v>
      </c>
      <c r="BK68" s="119"/>
      <c r="BL68" s="119">
        <v>0</v>
      </c>
      <c r="BM68" s="119">
        <v>0</v>
      </c>
      <c r="BN68" s="119">
        <v>-5499</v>
      </c>
      <c r="BO68" s="119">
        <v>-10699</v>
      </c>
      <c r="BP68" s="119">
        <v>-12700</v>
      </c>
      <c r="BQ68" s="119">
        <v>0</v>
      </c>
      <c r="BR68" s="119">
        <v>0</v>
      </c>
      <c r="BS68" s="119">
        <v>0</v>
      </c>
      <c r="BT68" s="119">
        <v>0</v>
      </c>
      <c r="BU68" s="119">
        <v>-4000</v>
      </c>
      <c r="BV68" s="119">
        <v>-8000</v>
      </c>
      <c r="BW68" s="119">
        <v>-21478</v>
      </c>
      <c r="BX68" s="119">
        <v>-18678</v>
      </c>
      <c r="BY68" s="90">
        <f t="shared" si="7"/>
        <v>-26393</v>
      </c>
      <c r="BZ68" s="90">
        <f t="shared" si="8"/>
        <v>-15447</v>
      </c>
    </row>
    <row r="69" spans="2:78" hidden="1" outlineLevel="1">
      <c r="B69" s="179" t="s">
        <v>464</v>
      </c>
      <c r="C69" s="172" t="s">
        <v>69</v>
      </c>
      <c r="D69" s="92">
        <v>0</v>
      </c>
      <c r="E69" s="92">
        <v>0</v>
      </c>
      <c r="F69" s="92">
        <v>0</v>
      </c>
      <c r="G69" s="92">
        <v>0</v>
      </c>
      <c r="H69" s="92">
        <v>0</v>
      </c>
      <c r="I69" s="92">
        <v>0</v>
      </c>
      <c r="J69" s="92">
        <v>0</v>
      </c>
      <c r="K69" s="92">
        <v>0</v>
      </c>
      <c r="L69" s="92">
        <v>0</v>
      </c>
      <c r="M69" s="92">
        <v>0</v>
      </c>
      <c r="N69" s="92">
        <v>0</v>
      </c>
      <c r="O69" s="92">
        <v>0</v>
      </c>
      <c r="P69" s="92">
        <v>0</v>
      </c>
      <c r="Q69" s="92">
        <v>0</v>
      </c>
      <c r="R69" s="92">
        <v>0</v>
      </c>
      <c r="S69" s="92">
        <v>0</v>
      </c>
      <c r="T69" s="92">
        <v>0</v>
      </c>
      <c r="U69" s="92">
        <v>0</v>
      </c>
      <c r="V69" s="92">
        <v>0</v>
      </c>
      <c r="W69" s="92">
        <v>0</v>
      </c>
      <c r="X69" s="92">
        <v>0</v>
      </c>
      <c r="Y69" s="92">
        <v>0</v>
      </c>
      <c r="Z69" s="92">
        <v>0</v>
      </c>
      <c r="AA69" s="92">
        <v>0</v>
      </c>
      <c r="AB69" s="92">
        <v>0</v>
      </c>
      <c r="AC69" s="92">
        <v>0</v>
      </c>
      <c r="AD69" s="92">
        <v>0</v>
      </c>
      <c r="AE69" s="92">
        <v>0</v>
      </c>
      <c r="AF69" s="92">
        <v>0</v>
      </c>
      <c r="AG69" s="92">
        <v>0</v>
      </c>
      <c r="AH69" s="92">
        <v>0</v>
      </c>
      <c r="AI69" s="92">
        <v>0</v>
      </c>
      <c r="AJ69" s="92">
        <v>0</v>
      </c>
      <c r="AK69" s="92">
        <v>0</v>
      </c>
      <c r="AL69" s="92">
        <v>0</v>
      </c>
      <c r="AM69" s="92">
        <v>0</v>
      </c>
      <c r="AN69" s="92">
        <v>0</v>
      </c>
      <c r="AO69" s="92">
        <v>0</v>
      </c>
      <c r="AP69" s="92">
        <v>0</v>
      </c>
      <c r="AQ69" s="92">
        <v>0</v>
      </c>
      <c r="AR69" s="92">
        <v>0</v>
      </c>
      <c r="AS69" s="92">
        <v>0</v>
      </c>
      <c r="AT69" s="92">
        <v>0</v>
      </c>
      <c r="AU69" s="92">
        <v>0</v>
      </c>
      <c r="AV69" s="92">
        <v>0</v>
      </c>
      <c r="AW69" s="92">
        <v>0</v>
      </c>
      <c r="AX69" s="92">
        <v>0</v>
      </c>
      <c r="AY69" s="92">
        <v>-278522</v>
      </c>
      <c r="AZ69" s="92">
        <v>0</v>
      </c>
      <c r="BA69" s="92">
        <v>0</v>
      </c>
      <c r="BB69" s="92">
        <v>0</v>
      </c>
      <c r="BC69" s="92">
        <v>0</v>
      </c>
      <c r="BD69" s="92">
        <v>0</v>
      </c>
      <c r="BE69" s="92">
        <v>0</v>
      </c>
      <c r="BF69" s="92">
        <v>0</v>
      </c>
      <c r="BG69" s="92">
        <v>0</v>
      </c>
      <c r="BH69" s="92">
        <v>0</v>
      </c>
      <c r="BI69" s="92"/>
      <c r="BJ69" s="92"/>
      <c r="BK69" s="92"/>
      <c r="BL69" s="92">
        <v>0</v>
      </c>
      <c r="BM69" s="92">
        <v>0</v>
      </c>
      <c r="BN69" s="92">
        <v>0</v>
      </c>
      <c r="BO69" s="92">
        <v>0</v>
      </c>
      <c r="BP69" s="92">
        <v>0</v>
      </c>
      <c r="BQ69" s="92">
        <v>0</v>
      </c>
      <c r="BR69" s="92">
        <v>0</v>
      </c>
      <c r="BS69" s="92">
        <v>0</v>
      </c>
      <c r="BT69" s="92">
        <v>0</v>
      </c>
      <c r="BU69" s="92">
        <v>0</v>
      </c>
      <c r="BV69" s="92">
        <v>0</v>
      </c>
      <c r="BW69" s="92">
        <v>-278522</v>
      </c>
      <c r="BX69" s="92">
        <v>0</v>
      </c>
      <c r="BY69" s="90">
        <f t="shared" si="7"/>
        <v>0</v>
      </c>
      <c r="BZ69" s="90">
        <f t="shared" si="8"/>
        <v>0</v>
      </c>
    </row>
    <row r="70" spans="2:78" hidden="1" outlineLevel="1">
      <c r="B70" s="179" t="s">
        <v>465</v>
      </c>
      <c r="C70" s="172" t="s">
        <v>216</v>
      </c>
      <c r="D70" s="92">
        <v>0</v>
      </c>
      <c r="E70" s="92">
        <v>0</v>
      </c>
      <c r="F70" s="92">
        <v>0</v>
      </c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  <c r="O70" s="92">
        <v>0</v>
      </c>
      <c r="P70" s="92">
        <v>0</v>
      </c>
      <c r="Q70" s="92">
        <v>0</v>
      </c>
      <c r="R70" s="92">
        <v>0</v>
      </c>
      <c r="S70" s="92">
        <v>0</v>
      </c>
      <c r="T70" s="92">
        <v>0</v>
      </c>
      <c r="U70" s="92">
        <v>0</v>
      </c>
      <c r="V70" s="92">
        <v>30342</v>
      </c>
      <c r="W70" s="92">
        <v>44368</v>
      </c>
      <c r="X70" s="92">
        <v>0</v>
      </c>
      <c r="Y70" s="92">
        <v>0</v>
      </c>
      <c r="Z70" s="92">
        <v>0</v>
      </c>
      <c r="AA70" s="92">
        <v>0</v>
      </c>
      <c r="AB70" s="92">
        <v>0</v>
      </c>
      <c r="AC70" s="92">
        <v>0</v>
      </c>
      <c r="AD70" s="92">
        <v>0</v>
      </c>
      <c r="AE70" s="92">
        <v>0</v>
      </c>
      <c r="AF70" s="92">
        <v>0</v>
      </c>
      <c r="AG70" s="92">
        <v>0</v>
      </c>
      <c r="AH70" s="92">
        <v>0</v>
      </c>
      <c r="AI70" s="92">
        <v>0</v>
      </c>
      <c r="AJ70" s="92">
        <v>0</v>
      </c>
      <c r="AK70" s="92">
        <v>0</v>
      </c>
      <c r="AL70" s="92">
        <v>0</v>
      </c>
      <c r="AM70" s="92">
        <v>0</v>
      </c>
      <c r="AN70" s="92">
        <v>0</v>
      </c>
      <c r="AO70" s="92">
        <v>0</v>
      </c>
      <c r="AP70" s="92">
        <v>0</v>
      </c>
      <c r="AQ70" s="92">
        <v>0</v>
      </c>
      <c r="AR70" s="92">
        <v>0</v>
      </c>
      <c r="AS70" s="92">
        <v>0</v>
      </c>
      <c r="AT70" s="92">
        <v>0</v>
      </c>
      <c r="AU70" s="92">
        <v>0</v>
      </c>
      <c r="AV70" s="92">
        <v>0</v>
      </c>
      <c r="AW70" s="92">
        <v>141166</v>
      </c>
      <c r="AX70" s="92">
        <v>141166</v>
      </c>
      <c r="AY70" s="92">
        <v>141166</v>
      </c>
      <c r="AZ70" s="92">
        <v>0</v>
      </c>
      <c r="BA70" s="92">
        <v>0</v>
      </c>
      <c r="BB70" s="92">
        <v>0</v>
      </c>
      <c r="BC70" s="92">
        <v>0</v>
      </c>
      <c r="BD70" s="92">
        <v>0</v>
      </c>
      <c r="BE70" s="92">
        <v>0</v>
      </c>
      <c r="BF70" s="92">
        <v>0</v>
      </c>
      <c r="BG70" s="92">
        <v>0</v>
      </c>
      <c r="BH70" s="92">
        <v>0</v>
      </c>
      <c r="BI70" s="92"/>
      <c r="BJ70" s="92"/>
      <c r="BK70" s="92"/>
      <c r="BL70" s="92">
        <v>0</v>
      </c>
      <c r="BM70" s="92">
        <v>0</v>
      </c>
      <c r="BN70" s="92">
        <v>0</v>
      </c>
      <c r="BO70" s="92">
        <v>0</v>
      </c>
      <c r="BP70" s="92">
        <v>44368</v>
      </c>
      <c r="BQ70" s="92">
        <v>0</v>
      </c>
      <c r="BR70" s="92">
        <v>0</v>
      </c>
      <c r="BS70" s="92">
        <v>0</v>
      </c>
      <c r="BT70" s="92">
        <v>0</v>
      </c>
      <c r="BU70" s="92">
        <v>0</v>
      </c>
      <c r="BV70" s="92">
        <v>0</v>
      </c>
      <c r="BW70" s="92">
        <v>141166</v>
      </c>
      <c r="BX70" s="92">
        <v>0</v>
      </c>
      <c r="BY70" s="90">
        <f t="shared" si="7"/>
        <v>0</v>
      </c>
      <c r="BZ70" s="90">
        <f t="shared" si="8"/>
        <v>0</v>
      </c>
    </row>
    <row r="71" spans="2:78" collapsed="1">
      <c r="B71" s="179" t="s">
        <v>466</v>
      </c>
      <c r="C71" s="172" t="s">
        <v>260</v>
      </c>
      <c r="D71" s="92">
        <v>0</v>
      </c>
      <c r="E71" s="92">
        <v>0</v>
      </c>
      <c r="F71" s="92">
        <v>0</v>
      </c>
      <c r="G71" s="92">
        <v>0</v>
      </c>
      <c r="H71" s="92">
        <v>0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92">
        <v>0</v>
      </c>
      <c r="Q71" s="92">
        <v>0</v>
      </c>
      <c r="R71" s="92">
        <v>0</v>
      </c>
      <c r="S71" s="92">
        <v>0</v>
      </c>
      <c r="T71" s="92">
        <v>0</v>
      </c>
      <c r="U71" s="92">
        <v>0</v>
      </c>
      <c r="V71" s="92">
        <v>0</v>
      </c>
      <c r="W71" s="92">
        <v>0</v>
      </c>
      <c r="X71" s="92">
        <v>0</v>
      </c>
      <c r="Y71" s="92">
        <v>0</v>
      </c>
      <c r="Z71" s="92">
        <v>0</v>
      </c>
      <c r="AA71" s="92">
        <v>0</v>
      </c>
      <c r="AB71" s="92">
        <v>0</v>
      </c>
      <c r="AC71" s="92">
        <v>0</v>
      </c>
      <c r="AD71" s="92">
        <v>0</v>
      </c>
      <c r="AE71" s="92">
        <v>0</v>
      </c>
      <c r="AF71" s="92">
        <v>0</v>
      </c>
      <c r="AG71" s="92">
        <v>0</v>
      </c>
      <c r="AH71" s="92">
        <v>0</v>
      </c>
      <c r="AI71" s="92">
        <v>0</v>
      </c>
      <c r="AJ71" s="92">
        <v>0</v>
      </c>
      <c r="AK71" s="92">
        <v>0</v>
      </c>
      <c r="AL71" s="92">
        <v>0</v>
      </c>
      <c r="AM71" s="92">
        <v>0</v>
      </c>
      <c r="AN71" s="92">
        <v>0</v>
      </c>
      <c r="AO71" s="92">
        <v>-2219</v>
      </c>
      <c r="AP71" s="92">
        <v>-3582</v>
      </c>
      <c r="AQ71" s="92">
        <v>-4608</v>
      </c>
      <c r="AR71" s="92">
        <v>-992</v>
      </c>
      <c r="AS71" s="92">
        <v>-2001</v>
      </c>
      <c r="AT71" s="92">
        <v>-3014</v>
      </c>
      <c r="AU71" s="92">
        <v>-4063</v>
      </c>
      <c r="AV71" s="92">
        <v>-1061</v>
      </c>
      <c r="AW71" s="92">
        <v>-2139</v>
      </c>
      <c r="AX71" s="92">
        <v>-3236</v>
      </c>
      <c r="AY71" s="92">
        <v>-3934</v>
      </c>
      <c r="AZ71" s="92">
        <v>-987</v>
      </c>
      <c r="BA71" s="92">
        <v>-2140</v>
      </c>
      <c r="BB71" s="92">
        <v>-3378</v>
      </c>
      <c r="BC71" s="92">
        <v>-4637</v>
      </c>
      <c r="BD71" s="92">
        <v>-995</v>
      </c>
      <c r="BE71" s="92">
        <v>-2050</v>
      </c>
      <c r="BF71" s="92">
        <v>-3533</v>
      </c>
      <c r="BG71" s="92">
        <v>-4534</v>
      </c>
      <c r="BH71" s="92">
        <v>-1779</v>
      </c>
      <c r="BI71" s="92">
        <v>-3451</v>
      </c>
      <c r="BJ71" s="92">
        <v>-5237</v>
      </c>
      <c r="BK71" s="92"/>
      <c r="BL71" s="92">
        <v>0</v>
      </c>
      <c r="BM71" s="92">
        <v>0</v>
      </c>
      <c r="BN71" s="92">
        <v>0</v>
      </c>
      <c r="BO71" s="92">
        <v>0</v>
      </c>
      <c r="BP71" s="92">
        <v>0</v>
      </c>
      <c r="BQ71" s="92">
        <v>0</v>
      </c>
      <c r="BR71" s="92">
        <v>0</v>
      </c>
      <c r="BS71" s="92">
        <v>0</v>
      </c>
      <c r="BT71" s="92">
        <v>0</v>
      </c>
      <c r="BU71" s="92">
        <v>-4608</v>
      </c>
      <c r="BV71" s="92">
        <v>-4063</v>
      </c>
      <c r="BW71" s="92">
        <v>-3934</v>
      </c>
      <c r="BX71" s="92">
        <v>-4637</v>
      </c>
      <c r="BY71" s="90">
        <f t="shared" si="7"/>
        <v>-4534</v>
      </c>
      <c r="BZ71" s="90">
        <f t="shared" si="8"/>
        <v>-5237</v>
      </c>
    </row>
    <row r="72" spans="2:78" s="49" customFormat="1">
      <c r="B72" s="177" t="s">
        <v>467</v>
      </c>
      <c r="C72" s="107" t="s">
        <v>217</v>
      </c>
      <c r="D72" s="112">
        <v>-1463</v>
      </c>
      <c r="E72" s="112">
        <v>-3495</v>
      </c>
      <c r="F72" s="112">
        <v>9994</v>
      </c>
      <c r="G72" s="112">
        <v>5030</v>
      </c>
      <c r="H72" s="112">
        <v>-6085</v>
      </c>
      <c r="I72" s="112">
        <v>-9778</v>
      </c>
      <c r="J72" s="112">
        <v>13986</v>
      </c>
      <c r="K72" s="112">
        <v>43811</v>
      </c>
      <c r="L72" s="112">
        <v>-6797</v>
      </c>
      <c r="M72" s="112">
        <v>-23108</v>
      </c>
      <c r="N72" s="112">
        <v>-74975</v>
      </c>
      <c r="O72" s="112">
        <v>-89203</v>
      </c>
      <c r="P72" s="112">
        <v>-4654</v>
      </c>
      <c r="Q72" s="112">
        <v>-35475</v>
      </c>
      <c r="R72" s="112">
        <v>-41956</v>
      </c>
      <c r="S72" s="112">
        <v>-40700</v>
      </c>
      <c r="T72" s="112">
        <v>748</v>
      </c>
      <c r="U72" s="112">
        <v>-23343</v>
      </c>
      <c r="V72" s="112">
        <v>5512</v>
      </c>
      <c r="W72" s="112">
        <v>9384</v>
      </c>
      <c r="X72" s="112">
        <v>-7746</v>
      </c>
      <c r="Y72" s="112">
        <v>-43273</v>
      </c>
      <c r="Z72" s="112">
        <v>-31009</v>
      </c>
      <c r="AA72" s="112">
        <v>-41465</v>
      </c>
      <c r="AB72" s="112">
        <v>12477</v>
      </c>
      <c r="AC72" s="112">
        <v>-12339</v>
      </c>
      <c r="AD72" s="112">
        <v>10329</v>
      </c>
      <c r="AE72" s="112">
        <v>11194</v>
      </c>
      <c r="AF72" s="112">
        <v>-10210</v>
      </c>
      <c r="AG72" s="112">
        <v>-19000</v>
      </c>
      <c r="AH72" s="112">
        <v>-24522</v>
      </c>
      <c r="AI72" s="112">
        <v>-39005</v>
      </c>
      <c r="AJ72" s="112">
        <v>-12687</v>
      </c>
      <c r="AK72" s="112">
        <v>3913</v>
      </c>
      <c r="AL72" s="112">
        <v>-12899</v>
      </c>
      <c r="AM72" s="112">
        <v>-16079</v>
      </c>
      <c r="AN72" s="112">
        <v>-1376</v>
      </c>
      <c r="AO72" s="112">
        <v>-3595</v>
      </c>
      <c r="AP72" s="112">
        <v>-25678</v>
      </c>
      <c r="AQ72" s="112">
        <v>-36151</v>
      </c>
      <c r="AR72" s="112">
        <v>10949</v>
      </c>
      <c r="AS72" s="112">
        <v>7959</v>
      </c>
      <c r="AT72" s="112">
        <v>-1249</v>
      </c>
      <c r="AU72" s="112">
        <v>-45506</v>
      </c>
      <c r="AV72" s="112">
        <v>-2554</v>
      </c>
      <c r="AW72" s="112">
        <v>110639</v>
      </c>
      <c r="AX72" s="112">
        <v>136571</v>
      </c>
      <c r="AY72" s="112">
        <v>-156810</v>
      </c>
      <c r="AZ72" s="112">
        <v>-6493</v>
      </c>
      <c r="BA72" s="112">
        <v>15327</v>
      </c>
      <c r="BB72" s="112">
        <v>-36363</v>
      </c>
      <c r="BC72" s="112">
        <v>-88120</v>
      </c>
      <c r="BD72" s="112">
        <v>-995</v>
      </c>
      <c r="BE72" s="112">
        <v>-105944</v>
      </c>
      <c r="BF72" s="112">
        <f>+SUM(BF62:BF71)</f>
        <v>-112427</v>
      </c>
      <c r="BG72" s="112">
        <f>+SUM(BG62:BG71)</f>
        <v>-145428</v>
      </c>
      <c r="BH72" s="112">
        <f>+SUM(BH62:BH71)</f>
        <v>-54719</v>
      </c>
      <c r="BI72" s="112">
        <f>+SUM(BI62:BI71)</f>
        <v>16291</v>
      </c>
      <c r="BJ72" s="112">
        <f>+SUM(BJ62:BJ71)</f>
        <v>-60899</v>
      </c>
      <c r="BK72" s="112"/>
      <c r="BL72" s="112">
        <v>5030</v>
      </c>
      <c r="BM72" s="112">
        <v>43811</v>
      </c>
      <c r="BN72" s="112">
        <v>-89203</v>
      </c>
      <c r="BO72" s="112">
        <v>-40700</v>
      </c>
      <c r="BP72" s="112">
        <v>9384</v>
      </c>
      <c r="BQ72" s="112">
        <v>-41465</v>
      </c>
      <c r="BR72" s="112">
        <v>11194</v>
      </c>
      <c r="BS72" s="112">
        <v>-39005</v>
      </c>
      <c r="BT72" s="112">
        <v>-16079</v>
      </c>
      <c r="BU72" s="112">
        <v>-36151</v>
      </c>
      <c r="BV72" s="112">
        <v>-45506</v>
      </c>
      <c r="BW72" s="112">
        <v>-156810</v>
      </c>
      <c r="BX72" s="112">
        <v>-88120</v>
      </c>
      <c r="BY72" s="112">
        <f>+SUM(BY62:BY71)</f>
        <v>-145428</v>
      </c>
      <c r="BZ72" s="112">
        <f>+SUM(BZ62:BZ71)</f>
        <v>-60899</v>
      </c>
    </row>
    <row r="73" spans="2:78">
      <c r="B73" s="184"/>
      <c r="C73" s="181"/>
      <c r="D73" s="121">
        <v>0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v>0</v>
      </c>
      <c r="X73" s="121">
        <v>0</v>
      </c>
      <c r="Y73" s="121">
        <v>0</v>
      </c>
      <c r="Z73" s="121">
        <v>0</v>
      </c>
      <c r="AA73" s="121">
        <v>0</v>
      </c>
      <c r="AB73" s="121">
        <v>0</v>
      </c>
      <c r="AC73" s="121">
        <v>0</v>
      </c>
      <c r="AD73" s="121">
        <v>0</v>
      </c>
      <c r="AE73" s="121">
        <v>0</v>
      </c>
      <c r="AF73" s="121">
        <v>0</v>
      </c>
      <c r="AG73" s="121">
        <v>0</v>
      </c>
      <c r="AH73" s="121">
        <v>0</v>
      </c>
      <c r="AI73" s="121">
        <v>0</v>
      </c>
      <c r="AJ73" s="121">
        <v>0</v>
      </c>
      <c r="AK73" s="121">
        <v>0</v>
      </c>
      <c r="AL73" s="121">
        <v>0</v>
      </c>
      <c r="AM73" s="121">
        <v>0</v>
      </c>
      <c r="AN73" s="121">
        <v>0</v>
      </c>
      <c r="AO73" s="121">
        <v>0</v>
      </c>
      <c r="AP73" s="121">
        <v>0</v>
      </c>
      <c r="AQ73" s="121">
        <v>0</v>
      </c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>
        <v>0</v>
      </c>
      <c r="BN73" s="121">
        <v>0</v>
      </c>
      <c r="BO73" s="121">
        <v>0</v>
      </c>
      <c r="BP73" s="121">
        <v>0</v>
      </c>
      <c r="BQ73" s="121">
        <v>0</v>
      </c>
      <c r="BR73" s="121">
        <v>0</v>
      </c>
      <c r="BS73" s="121">
        <v>0</v>
      </c>
      <c r="BT73" s="121">
        <v>0</v>
      </c>
      <c r="BU73" s="121">
        <v>0</v>
      </c>
      <c r="BV73" s="121"/>
      <c r="BW73" s="121">
        <v>0</v>
      </c>
      <c r="BX73" s="121">
        <v>0</v>
      </c>
      <c r="BY73" s="121">
        <v>0</v>
      </c>
      <c r="BZ73" s="121">
        <v>0</v>
      </c>
    </row>
    <row r="74" spans="2:78">
      <c r="B74" s="177" t="s">
        <v>468</v>
      </c>
      <c r="C74" s="107" t="s">
        <v>218</v>
      </c>
      <c r="D74" s="112">
        <v>-11185</v>
      </c>
      <c r="E74" s="112">
        <v>-7480</v>
      </c>
      <c r="F74" s="112">
        <v>25858</v>
      </c>
      <c r="G74" s="112">
        <v>40031</v>
      </c>
      <c r="H74" s="112">
        <v>-7702</v>
      </c>
      <c r="I74" s="112">
        <v>-13180</v>
      </c>
      <c r="J74" s="112">
        <v>22174</v>
      </c>
      <c r="K74" s="112">
        <v>51686</v>
      </c>
      <c r="L74" s="112">
        <v>-18637</v>
      </c>
      <c r="M74" s="112">
        <v>-42241</v>
      </c>
      <c r="N74" s="112">
        <v>-70173</v>
      </c>
      <c r="O74" s="112">
        <v>-106611</v>
      </c>
      <c r="P74" s="112">
        <v>-45162</v>
      </c>
      <c r="Q74" s="112">
        <v>-56357</v>
      </c>
      <c r="R74" s="112">
        <v>-2603</v>
      </c>
      <c r="S74" s="112">
        <v>-50354</v>
      </c>
      <c r="T74" s="112">
        <v>-4780</v>
      </c>
      <c r="U74" s="112">
        <v>-1536</v>
      </c>
      <c r="V74" s="112">
        <v>29041</v>
      </c>
      <c r="W74" s="112">
        <v>267</v>
      </c>
      <c r="X74" s="112">
        <v>16218</v>
      </c>
      <c r="Y74" s="112">
        <v>1571</v>
      </c>
      <c r="Z74" s="112">
        <v>-2001</v>
      </c>
      <c r="AA74" s="112">
        <v>-1502</v>
      </c>
      <c r="AB74" s="112">
        <v>8135</v>
      </c>
      <c r="AC74" s="112">
        <v>-1244</v>
      </c>
      <c r="AD74" s="112">
        <v>12561</v>
      </c>
      <c r="AE74" s="112">
        <v>12279</v>
      </c>
      <c r="AF74" s="112">
        <v>-6328</v>
      </c>
      <c r="AG74" s="112">
        <v>-2990</v>
      </c>
      <c r="AH74" s="112">
        <v>189</v>
      </c>
      <c r="AI74" s="112">
        <v>-7366</v>
      </c>
      <c r="AJ74" s="112">
        <v>-2598</v>
      </c>
      <c r="AK74" s="112">
        <v>-7634</v>
      </c>
      <c r="AL74" s="112">
        <v>-6271</v>
      </c>
      <c r="AM74" s="112">
        <v>-7621</v>
      </c>
      <c r="AN74" s="112">
        <v>10592</v>
      </c>
      <c r="AO74" s="112">
        <v>15943</v>
      </c>
      <c r="AP74" s="112">
        <v>12302</v>
      </c>
      <c r="AQ74" s="112">
        <v>31640</v>
      </c>
      <c r="AR74" s="112">
        <v>28905</v>
      </c>
      <c r="AS74" s="112">
        <v>87175</v>
      </c>
      <c r="AT74" s="112">
        <v>165468</v>
      </c>
      <c r="AU74" s="112">
        <v>221933</v>
      </c>
      <c r="AV74" s="112">
        <v>-68490</v>
      </c>
      <c r="AW74" s="112">
        <v>53041</v>
      </c>
      <c r="AX74" s="112">
        <v>127901</v>
      </c>
      <c r="AY74" s="112">
        <v>-128558</v>
      </c>
      <c r="AZ74" s="112">
        <v>28883.300999999999</v>
      </c>
      <c r="BA74" s="112">
        <v>76727</v>
      </c>
      <c r="BB74" s="112">
        <v>68584</v>
      </c>
      <c r="BC74" s="112">
        <v>122636</v>
      </c>
      <c r="BD74" s="112">
        <v>-55326</v>
      </c>
      <c r="BE74" s="112">
        <v>-2972</v>
      </c>
      <c r="BF74" s="112">
        <f>+BF49+BF61+BF72</f>
        <v>59217</v>
      </c>
      <c r="BG74" s="112">
        <f>+BG49+BG61+BG72</f>
        <v>68469</v>
      </c>
      <c r="BH74" s="112">
        <f>+BH49+BH61+BH72</f>
        <v>-3201</v>
      </c>
      <c r="BI74" s="112">
        <f>+BI49+BI61+BI72</f>
        <v>125519</v>
      </c>
      <c r="BJ74" s="112">
        <f>+BJ49+BJ61+BJ72</f>
        <v>104144</v>
      </c>
      <c r="BK74" s="112"/>
      <c r="BL74" s="112">
        <v>40031</v>
      </c>
      <c r="BM74" s="112">
        <v>51686</v>
      </c>
      <c r="BN74" s="112">
        <v>-106611</v>
      </c>
      <c r="BO74" s="112">
        <v>-50354</v>
      </c>
      <c r="BP74" s="112">
        <v>267</v>
      </c>
      <c r="BQ74" s="112">
        <v>-1502</v>
      </c>
      <c r="BR74" s="112">
        <v>12279</v>
      </c>
      <c r="BS74" s="112">
        <v>-7366</v>
      </c>
      <c r="BT74" s="112">
        <v>-7621</v>
      </c>
      <c r="BU74" s="112">
        <v>31640</v>
      </c>
      <c r="BV74" s="112">
        <v>221933</v>
      </c>
      <c r="BW74" s="112">
        <v>-128558</v>
      </c>
      <c r="BX74" s="112">
        <v>122636</v>
      </c>
      <c r="BY74" s="112">
        <f>+BY49+BY61+BY72</f>
        <v>68469</v>
      </c>
      <c r="BZ74" s="112">
        <f>+BZ49+BZ61+BZ72</f>
        <v>104144</v>
      </c>
    </row>
    <row r="75" spans="2:78">
      <c r="B75" s="185"/>
      <c r="C75" s="182"/>
      <c r="D75" s="122">
        <v>0</v>
      </c>
      <c r="E75" s="122">
        <v>0</v>
      </c>
      <c r="F75" s="122">
        <v>0</v>
      </c>
      <c r="G75" s="122">
        <v>0</v>
      </c>
      <c r="H75" s="122">
        <v>0</v>
      </c>
      <c r="I75" s="122">
        <v>0</v>
      </c>
      <c r="J75" s="122">
        <v>0</v>
      </c>
      <c r="K75" s="122">
        <v>0</v>
      </c>
      <c r="L75" s="122">
        <v>0</v>
      </c>
      <c r="M75" s="122">
        <v>0</v>
      </c>
      <c r="N75" s="122">
        <v>0</v>
      </c>
      <c r="O75" s="122">
        <v>0</v>
      </c>
      <c r="P75" s="122">
        <v>0</v>
      </c>
      <c r="Q75" s="122">
        <v>0</v>
      </c>
      <c r="R75" s="122">
        <v>0</v>
      </c>
      <c r="S75" s="122">
        <v>0</v>
      </c>
      <c r="T75" s="122">
        <v>0</v>
      </c>
      <c r="U75" s="122">
        <v>0</v>
      </c>
      <c r="V75" s="122">
        <v>0</v>
      </c>
      <c r="W75" s="122">
        <v>0</v>
      </c>
      <c r="X75" s="122">
        <v>0</v>
      </c>
      <c r="Y75" s="122">
        <v>0</v>
      </c>
      <c r="Z75" s="122">
        <v>0</v>
      </c>
      <c r="AA75" s="122">
        <v>0</v>
      </c>
      <c r="AB75" s="122">
        <v>0</v>
      </c>
      <c r="AC75" s="122">
        <v>0</v>
      </c>
      <c r="AD75" s="122">
        <v>0</v>
      </c>
      <c r="AE75" s="122">
        <v>0</v>
      </c>
      <c r="AF75" s="122">
        <v>0</v>
      </c>
      <c r="AG75" s="122">
        <v>0</v>
      </c>
      <c r="AH75" s="122">
        <v>0</v>
      </c>
      <c r="AI75" s="122">
        <v>0</v>
      </c>
      <c r="AJ75" s="122">
        <v>0</v>
      </c>
      <c r="AK75" s="122">
        <v>0</v>
      </c>
      <c r="AL75" s="122">
        <v>0</v>
      </c>
      <c r="AM75" s="122">
        <v>0</v>
      </c>
      <c r="AN75" s="122">
        <v>0</v>
      </c>
      <c r="AO75" s="122">
        <v>0</v>
      </c>
      <c r="AP75" s="122">
        <v>0</v>
      </c>
      <c r="AQ75" s="122">
        <v>0</v>
      </c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</row>
    <row r="76" spans="2:78">
      <c r="B76" s="177" t="s">
        <v>469</v>
      </c>
      <c r="C76" s="107" t="s">
        <v>219</v>
      </c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>
        <v>0</v>
      </c>
      <c r="BM76" s="112">
        <v>0</v>
      </c>
      <c r="BN76" s="112">
        <v>0</v>
      </c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</row>
    <row r="77" spans="2:78">
      <c r="B77" s="186" t="s">
        <v>470</v>
      </c>
      <c r="C77" s="183" t="s">
        <v>220</v>
      </c>
      <c r="D77" s="123">
        <v>75994</v>
      </c>
      <c r="E77" s="123">
        <v>75994</v>
      </c>
      <c r="F77" s="123">
        <v>75994</v>
      </c>
      <c r="G77" s="123">
        <v>75994</v>
      </c>
      <c r="H77" s="123">
        <v>116025</v>
      </c>
      <c r="I77" s="123">
        <v>116025</v>
      </c>
      <c r="J77" s="123">
        <v>116025</v>
      </c>
      <c r="K77" s="123">
        <v>116025</v>
      </c>
      <c r="L77" s="123">
        <v>167711</v>
      </c>
      <c r="M77" s="123">
        <v>167711</v>
      </c>
      <c r="N77" s="123">
        <v>167711</v>
      </c>
      <c r="O77" s="123">
        <v>167711</v>
      </c>
      <c r="P77" s="123">
        <v>61100</v>
      </c>
      <c r="Q77" s="123">
        <v>61100</v>
      </c>
      <c r="R77" s="123">
        <v>61100</v>
      </c>
      <c r="S77" s="123">
        <v>61100</v>
      </c>
      <c r="T77" s="123">
        <v>10746</v>
      </c>
      <c r="U77" s="123">
        <v>10746</v>
      </c>
      <c r="V77" s="123">
        <v>10746</v>
      </c>
      <c r="W77" s="123">
        <v>10746</v>
      </c>
      <c r="X77" s="123">
        <v>11013</v>
      </c>
      <c r="Y77" s="123">
        <v>11013</v>
      </c>
      <c r="Z77" s="123">
        <v>11013</v>
      </c>
      <c r="AA77" s="123">
        <v>11013</v>
      </c>
      <c r="AB77" s="123">
        <v>9511</v>
      </c>
      <c r="AC77" s="123">
        <v>9511</v>
      </c>
      <c r="AD77" s="123">
        <v>9511</v>
      </c>
      <c r="AE77" s="123">
        <v>9511</v>
      </c>
      <c r="AF77" s="123">
        <v>21790</v>
      </c>
      <c r="AG77" s="123">
        <v>21790</v>
      </c>
      <c r="AH77" s="123">
        <v>21790</v>
      </c>
      <c r="AI77" s="123">
        <v>21790</v>
      </c>
      <c r="AJ77" s="123">
        <v>14424</v>
      </c>
      <c r="AK77" s="123">
        <v>14424</v>
      </c>
      <c r="AL77" s="123">
        <v>14424</v>
      </c>
      <c r="AM77" s="123">
        <v>14424</v>
      </c>
      <c r="AN77" s="123">
        <v>6803</v>
      </c>
      <c r="AO77" s="123">
        <v>6803</v>
      </c>
      <c r="AP77" s="123">
        <v>6803</v>
      </c>
      <c r="AQ77" s="123">
        <v>6803</v>
      </c>
      <c r="AR77" s="123">
        <v>38443</v>
      </c>
      <c r="AS77" s="123">
        <v>38443</v>
      </c>
      <c r="AT77" s="123">
        <v>38443</v>
      </c>
      <c r="AU77" s="123">
        <v>38443</v>
      </c>
      <c r="AV77" s="123">
        <v>260376</v>
      </c>
      <c r="AW77" s="123">
        <v>260376</v>
      </c>
      <c r="AX77" s="123">
        <v>260376</v>
      </c>
      <c r="AY77" s="123">
        <v>260376</v>
      </c>
      <c r="AZ77" s="123">
        <v>131818</v>
      </c>
      <c r="BA77" s="123">
        <v>131818</v>
      </c>
      <c r="BB77" s="123">
        <v>131818</v>
      </c>
      <c r="BC77" s="123">
        <v>131818</v>
      </c>
      <c r="BD77" s="123">
        <v>254454</v>
      </c>
      <c r="BE77" s="123">
        <v>254454</v>
      </c>
      <c r="BF77" s="123">
        <v>254454</v>
      </c>
      <c r="BG77" s="123">
        <f>+BF77</f>
        <v>254454</v>
      </c>
      <c r="BH77" s="123">
        <f>+BG78</f>
        <v>322923</v>
      </c>
      <c r="BI77" s="123">
        <f>+BH77</f>
        <v>322923</v>
      </c>
      <c r="BJ77" s="123">
        <f>+BH77</f>
        <v>322923</v>
      </c>
      <c r="BK77" s="123">
        <f>+BH77</f>
        <v>322923</v>
      </c>
      <c r="BL77" s="123">
        <v>75994</v>
      </c>
      <c r="BM77" s="123">
        <v>116025</v>
      </c>
      <c r="BN77" s="123">
        <v>167711</v>
      </c>
      <c r="BO77" s="123">
        <v>61100</v>
      </c>
      <c r="BP77" s="123">
        <v>10746</v>
      </c>
      <c r="BQ77" s="123">
        <v>11013</v>
      </c>
      <c r="BR77" s="123">
        <v>9511</v>
      </c>
      <c r="BS77" s="123">
        <v>21790</v>
      </c>
      <c r="BT77" s="123">
        <v>14424</v>
      </c>
      <c r="BU77" s="123">
        <v>6803</v>
      </c>
      <c r="BV77" s="123">
        <v>38443</v>
      </c>
      <c r="BW77" s="123">
        <v>260376</v>
      </c>
      <c r="BX77" s="123">
        <v>131818</v>
      </c>
      <c r="BY77" s="123">
        <f>+BG77</f>
        <v>254454</v>
      </c>
      <c r="BZ77" s="123">
        <f>+BH77</f>
        <v>322923</v>
      </c>
    </row>
    <row r="78" spans="2:78">
      <c r="B78" s="186" t="s">
        <v>471</v>
      </c>
      <c r="C78" s="183" t="s">
        <v>221</v>
      </c>
      <c r="D78" s="123">
        <v>64809</v>
      </c>
      <c r="E78" s="123">
        <v>68514</v>
      </c>
      <c r="F78" s="123">
        <v>101852</v>
      </c>
      <c r="G78" s="123">
        <v>116025</v>
      </c>
      <c r="H78" s="123">
        <v>108323</v>
      </c>
      <c r="I78" s="123">
        <v>102845</v>
      </c>
      <c r="J78" s="123">
        <v>138199</v>
      </c>
      <c r="K78" s="123">
        <v>167711</v>
      </c>
      <c r="L78" s="123">
        <v>149074</v>
      </c>
      <c r="M78" s="123">
        <v>125470</v>
      </c>
      <c r="N78" s="123">
        <v>97538</v>
      </c>
      <c r="O78" s="123">
        <v>61100</v>
      </c>
      <c r="P78" s="123">
        <v>15938</v>
      </c>
      <c r="Q78" s="123">
        <v>4743</v>
      </c>
      <c r="R78" s="123">
        <v>58497</v>
      </c>
      <c r="S78" s="123">
        <v>10746</v>
      </c>
      <c r="T78" s="123">
        <v>5966</v>
      </c>
      <c r="U78" s="123">
        <v>9210</v>
      </c>
      <c r="V78" s="123">
        <v>39787</v>
      </c>
      <c r="W78" s="123">
        <v>11013</v>
      </c>
      <c r="X78" s="123">
        <v>27231</v>
      </c>
      <c r="Y78" s="123">
        <v>12584</v>
      </c>
      <c r="Z78" s="123">
        <v>9012</v>
      </c>
      <c r="AA78" s="123">
        <v>9511</v>
      </c>
      <c r="AB78" s="123">
        <v>17646</v>
      </c>
      <c r="AC78" s="123">
        <v>8267</v>
      </c>
      <c r="AD78" s="123">
        <v>22072</v>
      </c>
      <c r="AE78" s="123">
        <v>21790</v>
      </c>
      <c r="AF78" s="123">
        <v>15462</v>
      </c>
      <c r="AG78" s="123">
        <v>18800</v>
      </c>
      <c r="AH78" s="123">
        <v>21979</v>
      </c>
      <c r="AI78" s="123">
        <v>14424</v>
      </c>
      <c r="AJ78" s="123">
        <v>11826</v>
      </c>
      <c r="AK78" s="123">
        <v>6790</v>
      </c>
      <c r="AL78" s="123">
        <v>8153</v>
      </c>
      <c r="AM78" s="123">
        <v>6803</v>
      </c>
      <c r="AN78" s="123">
        <v>17395</v>
      </c>
      <c r="AO78" s="123">
        <v>22746</v>
      </c>
      <c r="AP78" s="123">
        <v>19105</v>
      </c>
      <c r="AQ78" s="123">
        <v>38443</v>
      </c>
      <c r="AR78" s="123">
        <v>67348</v>
      </c>
      <c r="AS78" s="123">
        <v>125618</v>
      </c>
      <c r="AT78" s="123">
        <v>203911</v>
      </c>
      <c r="AU78" s="123">
        <v>260376</v>
      </c>
      <c r="AV78" s="123">
        <v>191886</v>
      </c>
      <c r="AW78" s="123">
        <v>313417</v>
      </c>
      <c r="AX78" s="123">
        <v>388277</v>
      </c>
      <c r="AY78" s="123">
        <v>131818</v>
      </c>
      <c r="AZ78" s="123">
        <v>160701</v>
      </c>
      <c r="BA78" s="123">
        <v>208545</v>
      </c>
      <c r="BB78" s="123">
        <v>200402</v>
      </c>
      <c r="BC78" s="123">
        <v>254454</v>
      </c>
      <c r="BD78" s="123">
        <v>199128</v>
      </c>
      <c r="BE78" s="123">
        <v>251482</v>
      </c>
      <c r="BF78" s="123">
        <v>313671</v>
      </c>
      <c r="BG78" s="123">
        <v>322923</v>
      </c>
      <c r="BH78" s="123">
        <v>319722</v>
      </c>
      <c r="BI78" s="123">
        <v>448442</v>
      </c>
      <c r="BJ78" s="123">
        <v>427067</v>
      </c>
      <c r="BK78" s="123"/>
      <c r="BL78" s="123">
        <v>116025</v>
      </c>
      <c r="BM78" s="123">
        <v>167711</v>
      </c>
      <c r="BN78" s="123">
        <v>61100</v>
      </c>
      <c r="BO78" s="123">
        <v>10746</v>
      </c>
      <c r="BP78" s="123">
        <v>11013</v>
      </c>
      <c r="BQ78" s="123">
        <v>9511</v>
      </c>
      <c r="BR78" s="123">
        <v>21790</v>
      </c>
      <c r="BS78" s="123">
        <v>14424</v>
      </c>
      <c r="BT78" s="123">
        <v>6803</v>
      </c>
      <c r="BU78" s="123">
        <v>38443</v>
      </c>
      <c r="BV78" s="123">
        <v>260376</v>
      </c>
      <c r="BW78" s="123">
        <v>131818</v>
      </c>
      <c r="BX78" s="123">
        <v>254454</v>
      </c>
      <c r="BY78" s="123">
        <f>+BG78</f>
        <v>322923</v>
      </c>
      <c r="BZ78" s="123">
        <f>BJ78</f>
        <v>427067</v>
      </c>
    </row>
    <row r="79" spans="2:78">
      <c r="B79" s="187"/>
      <c r="C79" s="120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</row>
    <row r="80" spans="2:78">
      <c r="B80" s="177" t="s">
        <v>472</v>
      </c>
      <c r="C80" s="107" t="s">
        <v>222</v>
      </c>
      <c r="D80" s="112">
        <v>-11185</v>
      </c>
      <c r="E80" s="112">
        <v>-7480</v>
      </c>
      <c r="F80" s="112">
        <v>25858</v>
      </c>
      <c r="G80" s="112">
        <v>40031</v>
      </c>
      <c r="H80" s="112">
        <v>-7702</v>
      </c>
      <c r="I80" s="112">
        <v>-13180</v>
      </c>
      <c r="J80" s="112">
        <v>22174</v>
      </c>
      <c r="K80" s="112">
        <v>51686</v>
      </c>
      <c r="L80" s="112">
        <v>-18637</v>
      </c>
      <c r="M80" s="112">
        <v>-42241</v>
      </c>
      <c r="N80" s="112">
        <v>-70173</v>
      </c>
      <c r="O80" s="112">
        <v>-106611</v>
      </c>
      <c r="P80" s="112">
        <v>-45162</v>
      </c>
      <c r="Q80" s="112">
        <v>-56357</v>
      </c>
      <c r="R80" s="112">
        <v>-2603</v>
      </c>
      <c r="S80" s="112">
        <v>-50354</v>
      </c>
      <c r="T80" s="112">
        <v>-4780</v>
      </c>
      <c r="U80" s="112">
        <v>-1536</v>
      </c>
      <c r="V80" s="112">
        <v>29041</v>
      </c>
      <c r="W80" s="112">
        <v>267</v>
      </c>
      <c r="X80" s="112">
        <v>16218</v>
      </c>
      <c r="Y80" s="112">
        <v>1571</v>
      </c>
      <c r="Z80" s="112">
        <v>-2001</v>
      </c>
      <c r="AA80" s="112">
        <v>-1502</v>
      </c>
      <c r="AB80" s="112">
        <v>8135</v>
      </c>
      <c r="AC80" s="112">
        <v>-1244</v>
      </c>
      <c r="AD80" s="112">
        <v>12561</v>
      </c>
      <c r="AE80" s="112">
        <v>12279</v>
      </c>
      <c r="AF80" s="112">
        <v>-6328</v>
      </c>
      <c r="AG80" s="112">
        <v>-2990</v>
      </c>
      <c r="AH80" s="112">
        <v>189</v>
      </c>
      <c r="AI80" s="112">
        <v>-7366</v>
      </c>
      <c r="AJ80" s="112">
        <v>-2598</v>
      </c>
      <c r="AK80" s="112">
        <v>-7634</v>
      </c>
      <c r="AL80" s="112">
        <v>-6271</v>
      </c>
      <c r="AM80" s="112">
        <v>-7621</v>
      </c>
      <c r="AN80" s="112">
        <v>10592</v>
      </c>
      <c r="AO80" s="112">
        <v>15943</v>
      </c>
      <c r="AP80" s="112">
        <v>12302</v>
      </c>
      <c r="AQ80" s="112">
        <v>31640</v>
      </c>
      <c r="AR80" s="112">
        <v>28905</v>
      </c>
      <c r="AS80" s="112">
        <v>87175</v>
      </c>
      <c r="AT80" s="112">
        <v>165468</v>
      </c>
      <c r="AU80" s="112">
        <v>221933</v>
      </c>
      <c r="AV80" s="112">
        <v>-68490</v>
      </c>
      <c r="AW80" s="112">
        <v>53041</v>
      </c>
      <c r="AX80" s="112">
        <v>127901</v>
      </c>
      <c r="AY80" s="112">
        <v>-128558</v>
      </c>
      <c r="AZ80" s="112">
        <v>28883</v>
      </c>
      <c r="BA80" s="112">
        <v>76727</v>
      </c>
      <c r="BB80" s="112">
        <v>68584</v>
      </c>
      <c r="BC80" s="112">
        <v>122636</v>
      </c>
      <c r="BD80" s="112">
        <v>-55326</v>
      </c>
      <c r="BE80" s="112">
        <v>-2972</v>
      </c>
      <c r="BF80" s="112">
        <f>+BF78-BF77</f>
        <v>59217</v>
      </c>
      <c r="BG80" s="112">
        <f>+BG78-BG77</f>
        <v>68469</v>
      </c>
      <c r="BH80" s="112">
        <f>+BH78-BH77</f>
        <v>-3201</v>
      </c>
      <c r="BI80" s="112">
        <f>+BI78-BI77</f>
        <v>125519</v>
      </c>
      <c r="BJ80" s="112">
        <f>+BJ78-BJ77</f>
        <v>104144</v>
      </c>
      <c r="BK80" s="112"/>
      <c r="BL80" s="112">
        <v>40031</v>
      </c>
      <c r="BM80" s="112">
        <v>51686</v>
      </c>
      <c r="BN80" s="112">
        <v>-106611</v>
      </c>
      <c r="BO80" s="112">
        <v>-50354</v>
      </c>
      <c r="BP80" s="112">
        <v>267</v>
      </c>
      <c r="BQ80" s="112">
        <v>-1502</v>
      </c>
      <c r="BR80" s="112">
        <v>12279</v>
      </c>
      <c r="BS80" s="112">
        <v>-7366</v>
      </c>
      <c r="BT80" s="112">
        <v>-7621</v>
      </c>
      <c r="BU80" s="112">
        <v>31640</v>
      </c>
      <c r="BV80" s="112">
        <v>221933</v>
      </c>
      <c r="BW80" s="112">
        <v>-128558</v>
      </c>
      <c r="BX80" s="112">
        <v>122636</v>
      </c>
      <c r="BY80" s="112">
        <f>+BY78-BY77</f>
        <v>68469</v>
      </c>
      <c r="BZ80" s="112">
        <f>+BZ78-BZ77</f>
        <v>104144</v>
      </c>
    </row>
    <row r="81" spans="2:78" ht="15" thickBot="1">
      <c r="B81" s="18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</row>
    <row r="82" spans="2:78" ht="15">
      <c r="B82" s="189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</sheetData>
  <mergeCells count="25">
    <mergeCell ref="BE3:BE4"/>
    <mergeCell ref="B3:B4"/>
    <mergeCell ref="C3:C4"/>
    <mergeCell ref="BA3:BA4"/>
    <mergeCell ref="BB3:BB4"/>
    <mergeCell ref="BC3:BC4"/>
    <mergeCell ref="BS3:BS4"/>
    <mergeCell ref="BF3:BF4"/>
    <mergeCell ref="BG3:BG4"/>
    <mergeCell ref="BI3:BI4"/>
    <mergeCell ref="BJ3:BJ4"/>
    <mergeCell ref="BL3:BL4"/>
    <mergeCell ref="BM3:BM4"/>
    <mergeCell ref="BN3:BN4"/>
    <mergeCell ref="BO3:BO4"/>
    <mergeCell ref="BP3:BP4"/>
    <mergeCell ref="BQ3:BQ4"/>
    <mergeCell ref="BR3:BR4"/>
    <mergeCell ref="BZ3:BZ4"/>
    <mergeCell ref="BT3:BT4"/>
    <mergeCell ref="BU3:BU4"/>
    <mergeCell ref="BV3:BV4"/>
    <mergeCell ref="BW3:BW4"/>
    <mergeCell ref="BX3:BX4"/>
    <mergeCell ref="BY3:BY4"/>
  </mergeCells>
  <phoneticPr fontId="0" type="noConversion"/>
  <pageMargins left="0.51181102362204722" right="0.51181102362204722" top="0.78740157480314965" bottom="0.78740157480314965" header="0.31496062992125984" footer="0.31496062992125984"/>
  <pageSetup scale="55" fitToWidth="2" orientation="landscape" r:id="rId1"/>
  <headerFooter>
    <oddHeader>&amp;A</oddHeader>
    <oddFooter>&amp;F</oddFooter>
  </headerFooter>
  <colBreaks count="1" manualBreakCount="1">
    <brk id="61" min="1" max="80" man="1"/>
  </colBreaks>
  <ignoredErrors>
    <ignoredError sqref="BY10 BY79:BY80 BZ10" formula="1"/>
    <ignoredError sqref="BY11 BY17:BY19 BY68:BY74 BY76:BY78 BZ30 BZ36 BZ49 BZ61 BZ72:BZ77 BY21:BY66" formula="1" unlockedFormula="1"/>
    <ignoredError sqref="BY12:BY16 BY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EC51-BF96-432C-873C-0A79BE3B5708}">
  <sheetPr>
    <tabColor theme="3" tint="-0.249977111117893"/>
    <pageSetUpPr fitToPage="1"/>
  </sheetPr>
  <dimension ref="B1:BZ25"/>
  <sheetViews>
    <sheetView showGridLines="0" zoomScale="85" zoomScaleNormal="85" workbookViewId="0">
      <pane xSplit="3" ySplit="5" topLeftCell="BQ6" activePane="bottomRight" state="frozen"/>
      <selection activeCell="B20" sqref="B20"/>
      <selection pane="topRight" activeCell="B20" sqref="B20"/>
      <selection pane="bottomLeft" activeCell="B20" sqref="B20"/>
      <selection pane="bottomRight" activeCell="BZ16" sqref="BZ16:BZ22"/>
    </sheetView>
  </sheetViews>
  <sheetFormatPr defaultColWidth="12.85546875" defaultRowHeight="15" outlineLevelCol="1"/>
  <cols>
    <col min="1" max="1" width="7.7109375" customWidth="1"/>
    <col min="2" max="2" width="37" bestFit="1" customWidth="1"/>
    <col min="3" max="3" width="36.28515625" customWidth="1"/>
    <col min="4" max="15" width="12" customWidth="1" outlineLevel="1"/>
    <col min="16" max="47" width="12.85546875" customWidth="1" outlineLevel="1"/>
    <col min="48" max="48" width="12.85546875" customWidth="1" outlineLevel="1" collapsed="1"/>
    <col min="49" max="50" width="12.85546875" customWidth="1" outlineLevel="1"/>
    <col min="51" max="55" width="12.85546875" style="62" customWidth="1" outlineLevel="1"/>
    <col min="56" max="62" width="12.85546875" style="62" customWidth="1"/>
    <col min="63" max="63" width="12.85546875" style="62" hidden="1" customWidth="1"/>
    <col min="64" max="66" width="12.85546875" style="62" customWidth="1" outlineLevel="1"/>
    <col min="67" max="74" width="12.85546875" customWidth="1" outlineLevel="1"/>
    <col min="75" max="75" width="12.85546875" style="62" customWidth="1" outlineLevel="1" collapsed="1"/>
    <col min="76" max="76" width="12.85546875" style="62" customWidth="1" outlineLevel="1"/>
    <col min="77" max="77" width="12.85546875" style="62" customWidth="1"/>
    <col min="78" max="78" width="12.85546875" style="62"/>
  </cols>
  <sheetData>
    <row r="1" spans="2:78" ht="15" customHeight="1">
      <c r="AK1">
        <v>-1</v>
      </c>
    </row>
    <row r="2" spans="2:78" ht="15" customHeight="1" thickBot="1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2:78" ht="8.85" customHeight="1">
      <c r="B3" s="215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</row>
    <row r="4" spans="2:78" ht="15" customHeight="1">
      <c r="B4" s="244" t="s">
        <v>475</v>
      </c>
      <c r="C4" s="244" t="s">
        <v>170</v>
      </c>
      <c r="D4" s="152" t="s">
        <v>289</v>
      </c>
      <c r="E4" s="152" t="s">
        <v>290</v>
      </c>
      <c r="F4" s="152" t="s">
        <v>291</v>
      </c>
      <c r="G4" s="152" t="s">
        <v>293</v>
      </c>
      <c r="H4" s="152" t="s">
        <v>292</v>
      </c>
      <c r="I4" s="152" t="s">
        <v>294</v>
      </c>
      <c r="J4" s="152" t="s">
        <v>295</v>
      </c>
      <c r="K4" s="152" t="s">
        <v>296</v>
      </c>
      <c r="L4" s="152" t="s">
        <v>297</v>
      </c>
      <c r="M4" s="152" t="s">
        <v>298</v>
      </c>
      <c r="N4" s="152" t="s">
        <v>299</v>
      </c>
      <c r="O4" s="152" t="s">
        <v>300</v>
      </c>
      <c r="P4" s="152" t="s">
        <v>301</v>
      </c>
      <c r="Q4" s="152" t="s">
        <v>302</v>
      </c>
      <c r="R4" s="152" t="s">
        <v>303</v>
      </c>
      <c r="S4" s="152" t="s">
        <v>304</v>
      </c>
      <c r="T4" s="152" t="s">
        <v>305</v>
      </c>
      <c r="U4" s="152" t="s">
        <v>306</v>
      </c>
      <c r="V4" s="152" t="s">
        <v>307</v>
      </c>
      <c r="W4" s="152" t="s">
        <v>308</v>
      </c>
      <c r="X4" s="152" t="s">
        <v>309</v>
      </c>
      <c r="Y4" s="152" t="s">
        <v>310</v>
      </c>
      <c r="Z4" s="152" t="s">
        <v>311</v>
      </c>
      <c r="AA4" s="152" t="s">
        <v>312</v>
      </c>
      <c r="AB4" s="152" t="s">
        <v>313</v>
      </c>
      <c r="AC4" s="152" t="s">
        <v>314</v>
      </c>
      <c r="AD4" s="152" t="s">
        <v>315</v>
      </c>
      <c r="AE4" s="152" t="s">
        <v>316</v>
      </c>
      <c r="AF4" s="152" t="s">
        <v>317</v>
      </c>
      <c r="AG4" s="152" t="s">
        <v>318</v>
      </c>
      <c r="AH4" s="152" t="s">
        <v>319</v>
      </c>
      <c r="AI4" s="152" t="s">
        <v>320</v>
      </c>
      <c r="AJ4" s="152" t="s">
        <v>321</v>
      </c>
      <c r="AK4" s="152" t="s">
        <v>322</v>
      </c>
      <c r="AL4" s="152" t="s">
        <v>323</v>
      </c>
      <c r="AM4" s="152" t="s">
        <v>324</v>
      </c>
      <c r="AN4" s="152" t="s">
        <v>325</v>
      </c>
      <c r="AO4" s="152" t="s">
        <v>326</v>
      </c>
      <c r="AP4" s="152" t="s">
        <v>327</v>
      </c>
      <c r="AQ4" s="152" t="s">
        <v>328</v>
      </c>
      <c r="AR4" s="152" t="s">
        <v>329</v>
      </c>
      <c r="AS4" s="152" t="s">
        <v>330</v>
      </c>
      <c r="AT4" s="152" t="s">
        <v>331</v>
      </c>
      <c r="AU4" s="152" t="s">
        <v>332</v>
      </c>
      <c r="AV4" s="152" t="s">
        <v>333</v>
      </c>
      <c r="AW4" s="152" t="s">
        <v>334</v>
      </c>
      <c r="AX4" s="152" t="s">
        <v>335</v>
      </c>
      <c r="AY4" s="152" t="s">
        <v>336</v>
      </c>
      <c r="AZ4" s="152" t="s">
        <v>337</v>
      </c>
      <c r="BA4" s="152" t="s">
        <v>338</v>
      </c>
      <c r="BB4" s="152" t="s">
        <v>339</v>
      </c>
      <c r="BC4" s="152" t="s">
        <v>340</v>
      </c>
      <c r="BD4" s="152" t="s">
        <v>341</v>
      </c>
      <c r="BE4" s="152" t="s">
        <v>342</v>
      </c>
      <c r="BF4" s="152" t="s">
        <v>343</v>
      </c>
      <c r="BG4" s="152" t="s">
        <v>344</v>
      </c>
      <c r="BH4" s="152" t="s">
        <v>345</v>
      </c>
      <c r="BI4" s="152" t="s">
        <v>346</v>
      </c>
      <c r="BJ4" s="152" t="s">
        <v>347</v>
      </c>
      <c r="BK4" s="152" t="s">
        <v>348</v>
      </c>
      <c r="BL4" s="238">
        <v>2010</v>
      </c>
      <c r="BM4" s="238">
        <v>2011</v>
      </c>
      <c r="BN4" s="238">
        <v>2012</v>
      </c>
      <c r="BO4" s="238">
        <v>2013</v>
      </c>
      <c r="BP4" s="238">
        <v>2014</v>
      </c>
      <c r="BQ4" s="238">
        <v>2015</v>
      </c>
      <c r="BR4" s="238">
        <v>2016</v>
      </c>
      <c r="BS4" s="238">
        <v>2017</v>
      </c>
      <c r="BT4" s="238">
        <v>2018</v>
      </c>
      <c r="BU4" s="238">
        <v>2019</v>
      </c>
      <c r="BV4" s="238">
        <v>2020</v>
      </c>
      <c r="BW4" s="238">
        <v>2021</v>
      </c>
      <c r="BX4" s="238">
        <v>2022</v>
      </c>
      <c r="BY4" s="238">
        <v>2023</v>
      </c>
      <c r="BZ4" s="238">
        <v>2024</v>
      </c>
    </row>
    <row r="5" spans="2:78" ht="12.75" customHeight="1">
      <c r="B5" s="244"/>
      <c r="C5" s="263"/>
      <c r="D5" s="152" t="s">
        <v>58</v>
      </c>
      <c r="E5" s="152" t="s">
        <v>57</v>
      </c>
      <c r="F5" s="152" t="s">
        <v>56</v>
      </c>
      <c r="G5" s="152" t="s">
        <v>47</v>
      </c>
      <c r="H5" s="152" t="s">
        <v>55</v>
      </c>
      <c r="I5" s="152" t="s">
        <v>54</v>
      </c>
      <c r="J5" s="152" t="s">
        <v>53</v>
      </c>
      <c r="K5" s="152" t="s">
        <v>52</v>
      </c>
      <c r="L5" s="152" t="s">
        <v>51</v>
      </c>
      <c r="M5" s="152" t="s">
        <v>50</v>
      </c>
      <c r="N5" s="152" t="s">
        <v>49</v>
      </c>
      <c r="O5" s="152" t="s">
        <v>48</v>
      </c>
      <c r="P5" s="152" t="s">
        <v>10</v>
      </c>
      <c r="Q5" s="152" t="s">
        <v>11</v>
      </c>
      <c r="R5" s="152" t="s">
        <v>12</v>
      </c>
      <c r="S5" s="152" t="s">
        <v>13</v>
      </c>
      <c r="T5" s="152" t="s">
        <v>14</v>
      </c>
      <c r="U5" s="152" t="s">
        <v>15</v>
      </c>
      <c r="V5" s="152" t="s">
        <v>16</v>
      </c>
      <c r="W5" s="152" t="s">
        <v>17</v>
      </c>
      <c r="X5" s="152" t="s">
        <v>18</v>
      </c>
      <c r="Y5" s="152" t="s">
        <v>19</v>
      </c>
      <c r="Z5" s="152" t="s">
        <v>20</v>
      </c>
      <c r="AA5" s="152" t="s">
        <v>21</v>
      </c>
      <c r="AB5" s="152" t="s">
        <v>22</v>
      </c>
      <c r="AC5" s="152" t="s">
        <v>23</v>
      </c>
      <c r="AD5" s="152" t="s">
        <v>24</v>
      </c>
      <c r="AE5" s="152" t="s">
        <v>25</v>
      </c>
      <c r="AF5" s="152" t="s">
        <v>26</v>
      </c>
      <c r="AG5" s="152" t="s">
        <v>27</v>
      </c>
      <c r="AH5" s="152" t="s">
        <v>28</v>
      </c>
      <c r="AI5" s="152" t="s">
        <v>29</v>
      </c>
      <c r="AJ5" s="152" t="s">
        <v>30</v>
      </c>
      <c r="AK5" s="152" t="s">
        <v>31</v>
      </c>
      <c r="AL5" s="152" t="s">
        <v>32</v>
      </c>
      <c r="AM5" s="152" t="s">
        <v>33</v>
      </c>
      <c r="AN5" s="152" t="s">
        <v>34</v>
      </c>
      <c r="AO5" s="152" t="s">
        <v>35</v>
      </c>
      <c r="AP5" s="152" t="s">
        <v>36</v>
      </c>
      <c r="AQ5" s="152" t="s">
        <v>37</v>
      </c>
      <c r="AR5" s="152" t="s">
        <v>3</v>
      </c>
      <c r="AS5" s="152" t="s">
        <v>38</v>
      </c>
      <c r="AT5" s="152" t="s">
        <v>39</v>
      </c>
      <c r="AU5" s="152" t="s">
        <v>8</v>
      </c>
      <c r="AV5" s="152" t="s">
        <v>9</v>
      </c>
      <c r="AW5" s="152" t="s">
        <v>40</v>
      </c>
      <c r="AX5" s="152" t="s">
        <v>41</v>
      </c>
      <c r="AY5" s="152" t="s">
        <v>42</v>
      </c>
      <c r="AZ5" s="152" t="s">
        <v>71</v>
      </c>
      <c r="BA5" s="152" t="s">
        <v>75</v>
      </c>
      <c r="BB5" s="152" t="s">
        <v>76</v>
      </c>
      <c r="BC5" s="152" t="s">
        <v>77</v>
      </c>
      <c r="BD5" s="152" t="s">
        <v>91</v>
      </c>
      <c r="BE5" s="152" t="s">
        <v>92</v>
      </c>
      <c r="BF5" s="152" t="s">
        <v>93</v>
      </c>
      <c r="BG5" s="152" t="s">
        <v>94</v>
      </c>
      <c r="BH5" s="152" t="s">
        <v>256</v>
      </c>
      <c r="BI5" s="152" t="s">
        <v>257</v>
      </c>
      <c r="BJ5" s="152" t="s">
        <v>258</v>
      </c>
      <c r="BK5" s="152" t="s">
        <v>259</v>
      </c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</row>
    <row r="6" spans="2:78" ht="12.75" customHeight="1">
      <c r="B6" s="213" t="s">
        <v>403</v>
      </c>
      <c r="C6" s="217" t="s">
        <v>171</v>
      </c>
      <c r="D6" s="153">
        <v>-3863</v>
      </c>
      <c r="E6" s="153">
        <v>-5835</v>
      </c>
      <c r="F6" s="153">
        <v>-4592</v>
      </c>
      <c r="G6" s="153">
        <v>-4987</v>
      </c>
      <c r="H6" s="153">
        <v>-4546</v>
      </c>
      <c r="I6" s="153">
        <v>-5562</v>
      </c>
      <c r="J6" s="153">
        <v>-4433</v>
      </c>
      <c r="K6" s="153">
        <v>-7720</v>
      </c>
      <c r="L6" s="153">
        <v>-5361</v>
      </c>
      <c r="M6" s="153">
        <v>-7188</v>
      </c>
      <c r="N6" s="153">
        <v>-6390</v>
      </c>
      <c r="O6" s="153">
        <v>-7677</v>
      </c>
      <c r="P6" s="153">
        <v>-7007</v>
      </c>
      <c r="Q6" s="153">
        <v>-7889</v>
      </c>
      <c r="R6" s="153">
        <v>-9073</v>
      </c>
      <c r="S6" s="153">
        <v>-12786</v>
      </c>
      <c r="T6" s="153">
        <v>-8170</v>
      </c>
      <c r="U6" s="153">
        <v>-9037</v>
      </c>
      <c r="V6" s="153">
        <v>-10782</v>
      </c>
      <c r="W6" s="153">
        <v>-12894</v>
      </c>
      <c r="X6" s="153">
        <v>-9092</v>
      </c>
      <c r="Y6" s="153">
        <v>-9860</v>
      </c>
      <c r="Z6" s="153">
        <v>-10282</v>
      </c>
      <c r="AA6" s="153">
        <v>-11623</v>
      </c>
      <c r="AB6" s="153">
        <v>-9612</v>
      </c>
      <c r="AC6" s="153">
        <v>-7610</v>
      </c>
      <c r="AD6" s="153">
        <v>-7933</v>
      </c>
      <c r="AE6" s="153">
        <v>-10974</v>
      </c>
      <c r="AF6" s="153">
        <v>-7395</v>
      </c>
      <c r="AG6" s="153">
        <v>-9396</v>
      </c>
      <c r="AH6" s="153">
        <v>-9474</v>
      </c>
      <c r="AI6" s="153">
        <v>-9608</v>
      </c>
      <c r="AJ6" s="153">
        <v>-7829</v>
      </c>
      <c r="AK6" s="153">
        <v>-8284</v>
      </c>
      <c r="AL6" s="153">
        <v>-9059</v>
      </c>
      <c r="AM6" s="153">
        <v>-10000</v>
      </c>
      <c r="AN6" s="153">
        <v>-8043</v>
      </c>
      <c r="AO6" s="153">
        <v>-8717</v>
      </c>
      <c r="AP6" s="153">
        <v>-9725</v>
      </c>
      <c r="AQ6" s="153">
        <v>-11934</v>
      </c>
      <c r="AR6" s="153">
        <v>-10626</v>
      </c>
      <c r="AS6" s="153">
        <v>-8808</v>
      </c>
      <c r="AT6" s="153">
        <v>-12712</v>
      </c>
      <c r="AU6" s="153">
        <v>-12884</v>
      </c>
      <c r="AV6" s="153">
        <v>-13798</v>
      </c>
      <c r="AW6" s="153">
        <v>-15394</v>
      </c>
      <c r="AX6" s="153">
        <v>-19047</v>
      </c>
      <c r="AY6" s="153">
        <v>-22336</v>
      </c>
      <c r="AZ6" s="153">
        <v>-21459</v>
      </c>
      <c r="BA6" s="153">
        <v>-22459</v>
      </c>
      <c r="BB6" s="153">
        <v>-25134</v>
      </c>
      <c r="BC6" s="153">
        <v>-25437</v>
      </c>
      <c r="BD6" s="153">
        <v>-22344</v>
      </c>
      <c r="BE6" s="153">
        <v>-20397</v>
      </c>
      <c r="BF6" s="153">
        <v>-25288</v>
      </c>
      <c r="BG6" s="153">
        <v>-26030</v>
      </c>
      <c r="BH6" s="153">
        <f>+DRE!BH13</f>
        <v>-23749</v>
      </c>
      <c r="BI6" s="153">
        <v>-22439</v>
      </c>
      <c r="BJ6" s="153">
        <f>+DRE!BJ13</f>
        <v>-25694</v>
      </c>
      <c r="BK6" s="153"/>
      <c r="BL6" s="153">
        <v>-19277</v>
      </c>
      <c r="BM6" s="153">
        <v>-22261</v>
      </c>
      <c r="BN6" s="153">
        <v>-26616</v>
      </c>
      <c r="BO6" s="153">
        <v>-36755</v>
      </c>
      <c r="BP6" s="153">
        <v>-40883</v>
      </c>
      <c r="BQ6" s="153">
        <v>-40857</v>
      </c>
      <c r="BR6" s="153">
        <v>-36129</v>
      </c>
      <c r="BS6" s="153">
        <v>-35873</v>
      </c>
      <c r="BT6" s="153">
        <v>-35172</v>
      </c>
      <c r="BU6" s="153">
        <v>-38419</v>
      </c>
      <c r="BV6" s="153">
        <v>-45030</v>
      </c>
      <c r="BW6" s="153">
        <v>-70575</v>
      </c>
      <c r="BX6" s="153">
        <v>-94489</v>
      </c>
      <c r="BY6" s="153">
        <f>SUM(BD6:BG6)</f>
        <v>-94059</v>
      </c>
      <c r="BZ6" s="153">
        <f>SUM(BH6:BK6)</f>
        <v>-71882</v>
      </c>
    </row>
    <row r="7" spans="2:78" s="35" customFormat="1" ht="12.75" customHeight="1">
      <c r="B7" s="151" t="s">
        <v>476</v>
      </c>
      <c r="C7" s="218" t="s">
        <v>172</v>
      </c>
      <c r="D7" s="154">
        <v>5.2741521489814869E-2</v>
      </c>
      <c r="E7" s="154">
        <v>7.6937276670929977E-2</v>
      </c>
      <c r="F7" s="154">
        <v>4.6923218409597185E-2</v>
      </c>
      <c r="G7" s="154">
        <v>4.1773116775420283E-2</v>
      </c>
      <c r="H7" s="154">
        <v>7.4870713791626867E-2</v>
      </c>
      <c r="I7" s="154">
        <v>6.4645854157465307E-2</v>
      </c>
      <c r="J7" s="154">
        <v>3.5272400321453866E-2</v>
      </c>
      <c r="K7" s="154">
        <v>5.1572906854787527E-2</v>
      </c>
      <c r="L7" s="154">
        <v>5.4870934064809321E-2</v>
      </c>
      <c r="M7" s="154">
        <v>9.7802571603510441E-2</v>
      </c>
      <c r="N7" s="154">
        <v>6.7392267291020685E-2</v>
      </c>
      <c r="O7" s="154">
        <v>4.8457955133627058E-2</v>
      </c>
      <c r="P7" s="154">
        <v>5.8625680842697099E-2</v>
      </c>
      <c r="Q7" s="154">
        <v>6.1259988041528511E-2</v>
      </c>
      <c r="R7" s="154">
        <v>5.4353426069036578E-2</v>
      </c>
      <c r="S7" s="154">
        <v>7.1216914713483653E-2</v>
      </c>
      <c r="T7" s="154">
        <v>4.7151843942979166E-2</v>
      </c>
      <c r="U7" s="154">
        <v>3.9866244932350463E-2</v>
      </c>
      <c r="V7" s="154">
        <v>4.2390740245647693E-2</v>
      </c>
      <c r="W7" s="154">
        <v>5.1260236940446846E-2</v>
      </c>
      <c r="X7" s="154">
        <v>8.4256178817336824E-2</v>
      </c>
      <c r="Y7" s="154">
        <v>5.7486007462686568E-2</v>
      </c>
      <c r="Z7" s="154">
        <v>5.0708948783074005E-2</v>
      </c>
      <c r="AA7" s="154">
        <v>5.1938244296981476E-2</v>
      </c>
      <c r="AB7" s="154">
        <v>8.3010199234841486E-2</v>
      </c>
      <c r="AC7" s="154">
        <v>8.6190298211636263E-2</v>
      </c>
      <c r="AD7" s="154">
        <v>6.5609699616249836E-2</v>
      </c>
      <c r="AE7" s="154">
        <v>7.3013972055888221E-2</v>
      </c>
      <c r="AF7" s="154">
        <v>6.3080584487038405E-2</v>
      </c>
      <c r="AG7" s="154">
        <v>7.5149362957986424E-2</v>
      </c>
      <c r="AH7" s="154">
        <v>5.8564990820243683E-2</v>
      </c>
      <c r="AI7" s="154">
        <v>5.5109438810627263E-2</v>
      </c>
      <c r="AJ7" s="154">
        <v>7.209355863529629E-2</v>
      </c>
      <c r="AK7" s="154">
        <v>7.6953803565290899E-2</v>
      </c>
      <c r="AL7" s="154">
        <v>5.4539434075857915E-2</v>
      </c>
      <c r="AM7" s="154">
        <v>5.1558085338942856E-2</v>
      </c>
      <c r="AN7" s="154">
        <v>5.8481360565981487E-2</v>
      </c>
      <c r="AO7" s="154">
        <v>7.4471175204182755E-2</v>
      </c>
      <c r="AP7" s="154">
        <v>6.5040596032690842E-2</v>
      </c>
      <c r="AQ7" s="154">
        <v>6.6536574487065125E-2</v>
      </c>
      <c r="AR7" s="154">
        <v>8.3000000000000004E-2</v>
      </c>
      <c r="AS7" s="154">
        <v>9.3710102987488303E-2</v>
      </c>
      <c r="AT7" s="154">
        <v>6.3041483795779715E-2</v>
      </c>
      <c r="AU7" s="154">
        <v>5.1925650078186711E-2</v>
      </c>
      <c r="AV7" s="154">
        <v>5.8421542891015324E-2</v>
      </c>
      <c r="AW7" s="154">
        <v>6.344012462188961E-2</v>
      </c>
      <c r="AX7" s="154">
        <v>5.7636617271921251E-2</v>
      </c>
      <c r="AY7" s="154">
        <v>5.3579224617274115E-2</v>
      </c>
      <c r="AZ7" s="154">
        <v>4.8023857676618792E-2</v>
      </c>
      <c r="BA7" s="154">
        <v>6.2864855557468749E-2</v>
      </c>
      <c r="BB7" s="154">
        <v>4.8373837139411423E-2</v>
      </c>
      <c r="BC7" s="154">
        <v>5.0673535493587371E-2</v>
      </c>
      <c r="BD7" s="154">
        <v>6.9154204219074977E-2</v>
      </c>
      <c r="BE7" s="154">
        <v>7.2536335736156504E-2</v>
      </c>
      <c r="BF7" s="154">
        <v>6.2342836293352528E-2</v>
      </c>
      <c r="BG7" s="154">
        <v>5.1999999999999998E-2</v>
      </c>
      <c r="BH7" s="154">
        <f>-BH6/DRE!BH$8</f>
        <v>6.244626108632146E-2</v>
      </c>
      <c r="BI7" s="154">
        <f>-BI6/DRE!BI$8</f>
        <v>6.8446225833806135E-2</v>
      </c>
      <c r="BJ7" s="154">
        <f>-BJ6/DRE!BJ$8</f>
        <v>5.8521541867478113E-2</v>
      </c>
      <c r="BK7" s="154"/>
      <c r="BL7" s="154">
        <v>5.2621952884011683E-2</v>
      </c>
      <c r="BM7" s="154">
        <v>5.2735439181666136E-2</v>
      </c>
      <c r="BN7" s="154">
        <v>6.2708362292992426E-2</v>
      </c>
      <c r="BO7" s="154">
        <v>6.1797828375047499E-2</v>
      </c>
      <c r="BP7" s="154">
        <v>4.513264469150767E-2</v>
      </c>
      <c r="BQ7" s="154">
        <v>5.7872826245539882E-2</v>
      </c>
      <c r="BR7" s="154">
        <v>7.6013364247272244E-2</v>
      </c>
      <c r="BS7" s="154">
        <v>6.2023773503349901E-2</v>
      </c>
      <c r="BT7" s="154">
        <v>6.1030713170223842E-2</v>
      </c>
      <c r="BU7" s="154">
        <v>6.5846280410992941E-2</v>
      </c>
      <c r="BV7" s="154">
        <v>6.7084498460319136E-2</v>
      </c>
      <c r="BW7" s="154">
        <v>5.7556849367017375E-2</v>
      </c>
      <c r="BX7" s="154">
        <v>5.2048555663459478E-2</v>
      </c>
      <c r="BY7" s="154">
        <v>6.2E-2</v>
      </c>
      <c r="BZ7" s="164">
        <f>-BZ6/DRE!$BZ$8</f>
        <v>6.2658810997588035E-2</v>
      </c>
    </row>
    <row r="8" spans="2:78" ht="12.75" customHeight="1">
      <c r="B8" s="132" t="s">
        <v>404</v>
      </c>
      <c r="C8" s="217" t="s">
        <v>173</v>
      </c>
      <c r="D8" s="155">
        <v>-5350</v>
      </c>
      <c r="E8" s="155">
        <v>-4918</v>
      </c>
      <c r="F8" s="155">
        <v>-5294</v>
      </c>
      <c r="G8" s="155">
        <v>-6648</v>
      </c>
      <c r="H8" s="155">
        <v>-6661</v>
      </c>
      <c r="I8" s="155">
        <v>-6725</v>
      </c>
      <c r="J8" s="155">
        <v>-6838</v>
      </c>
      <c r="K8" s="155">
        <v>-9446</v>
      </c>
      <c r="L8" s="155">
        <v>-6260</v>
      </c>
      <c r="M8" s="155">
        <v>-6201</v>
      </c>
      <c r="N8" s="155">
        <v>-5969</v>
      </c>
      <c r="O8" s="155">
        <v>-10731</v>
      </c>
      <c r="P8" s="155">
        <v>-7998</v>
      </c>
      <c r="Q8" s="155">
        <v>-8855</v>
      </c>
      <c r="R8" s="155">
        <v>-9121</v>
      </c>
      <c r="S8" s="155">
        <v>-12729</v>
      </c>
      <c r="T8" s="155">
        <v>-9532</v>
      </c>
      <c r="U8" s="155">
        <v>-10709</v>
      </c>
      <c r="V8" s="155">
        <v>-12974</v>
      </c>
      <c r="W8" s="155">
        <v>-18698</v>
      </c>
      <c r="X8" s="155">
        <v>-11470</v>
      </c>
      <c r="Y8" s="155">
        <v>-14256</v>
      </c>
      <c r="Z8" s="155">
        <v>-13622</v>
      </c>
      <c r="AA8" s="155">
        <v>-14204</v>
      </c>
      <c r="AB8" s="155">
        <v>-11868</v>
      </c>
      <c r="AC8" s="155">
        <v>-12039</v>
      </c>
      <c r="AD8" s="155">
        <v>-10516</v>
      </c>
      <c r="AE8" s="155">
        <v>-15215</v>
      </c>
      <c r="AF8" s="155">
        <v>-11111</v>
      </c>
      <c r="AG8" s="155">
        <v>-10906</v>
      </c>
      <c r="AH8" s="155">
        <v>-11581</v>
      </c>
      <c r="AI8" s="155">
        <v>-8449</v>
      </c>
      <c r="AJ8" s="155">
        <v>-9864</v>
      </c>
      <c r="AK8" s="155">
        <v>-11735</v>
      </c>
      <c r="AL8" s="155">
        <v>-11079</v>
      </c>
      <c r="AM8" s="155">
        <v>-11835</v>
      </c>
      <c r="AN8" s="155">
        <v>-11044</v>
      </c>
      <c r="AO8" s="155">
        <v>-12055</v>
      </c>
      <c r="AP8" s="155">
        <v>-12697</v>
      </c>
      <c r="AQ8" s="155">
        <v>-12172</v>
      </c>
      <c r="AR8" s="155">
        <v>-10826</v>
      </c>
      <c r="AS8" s="155">
        <v>-11705</v>
      </c>
      <c r="AT8" s="155">
        <v>-10863</v>
      </c>
      <c r="AU8" s="155">
        <v>-14860</v>
      </c>
      <c r="AV8" s="155">
        <v>-12687</v>
      </c>
      <c r="AW8" s="155">
        <v>-13773</v>
      </c>
      <c r="AX8" s="155">
        <v>-14210</v>
      </c>
      <c r="AY8" s="155">
        <v>-16622</v>
      </c>
      <c r="AZ8" s="155">
        <v>-16204</v>
      </c>
      <c r="BA8" s="155">
        <v>-16277</v>
      </c>
      <c r="BB8" s="155">
        <v>-17775</v>
      </c>
      <c r="BC8" s="155">
        <v>-21150</v>
      </c>
      <c r="BD8" s="155">
        <v>-18357</v>
      </c>
      <c r="BE8" s="155">
        <v>-22835</v>
      </c>
      <c r="BF8" s="155">
        <v>-23125</v>
      </c>
      <c r="BG8" s="155">
        <v>-27119</v>
      </c>
      <c r="BH8" s="155">
        <f>+DRE!BH14</f>
        <v>-24982</v>
      </c>
      <c r="BI8" s="155">
        <v>-24868</v>
      </c>
      <c r="BJ8" s="155">
        <f>+DRE!BJ14</f>
        <v>-24269</v>
      </c>
      <c r="BK8" s="155"/>
      <c r="BL8" s="155">
        <v>-22210</v>
      </c>
      <c r="BM8" s="155">
        <v>-29670</v>
      </c>
      <c r="BN8" s="155">
        <v>-29161</v>
      </c>
      <c r="BO8" s="155">
        <v>-38703</v>
      </c>
      <c r="BP8" s="155">
        <v>-51913</v>
      </c>
      <c r="BQ8" s="155">
        <v>-53552</v>
      </c>
      <c r="BR8" s="155">
        <v>-49638</v>
      </c>
      <c r="BS8" s="155">
        <v>-42047</v>
      </c>
      <c r="BT8" s="155">
        <v>-44513</v>
      </c>
      <c r="BU8" s="155">
        <v>-47968</v>
      </c>
      <c r="BV8" s="155">
        <v>-48254</v>
      </c>
      <c r="BW8" s="155">
        <v>-57292</v>
      </c>
      <c r="BX8" s="155">
        <v>-71406</v>
      </c>
      <c r="BY8" s="153">
        <f>SUM(BD8:BG8)</f>
        <v>-91436</v>
      </c>
      <c r="BZ8" s="153">
        <f>SUM(BH8:BK8)</f>
        <v>-74119</v>
      </c>
    </row>
    <row r="9" spans="2:78" s="35" customFormat="1" ht="12.75" customHeight="1">
      <c r="B9" s="214" t="s">
        <v>477</v>
      </c>
      <c r="C9" s="219" t="s">
        <v>174</v>
      </c>
      <c r="D9" s="156">
        <v>7.3043525749549448E-2</v>
      </c>
      <c r="E9" s="156">
        <v>6.4846191374058892E-2</v>
      </c>
      <c r="F9" s="156">
        <v>5.4096584987022543E-2</v>
      </c>
      <c r="G9" s="156">
        <v>5.5686320497893335E-2</v>
      </c>
      <c r="H9" s="156">
        <v>0.10970387693929312</v>
      </c>
      <c r="I9" s="156">
        <v>7.8163137218438358E-2</v>
      </c>
      <c r="J9" s="156">
        <v>5.4408453281773406E-2</v>
      </c>
      <c r="K9" s="156">
        <v>6.3103326185275005E-2</v>
      </c>
      <c r="L9" s="156">
        <v>6.4072383369838892E-2</v>
      </c>
      <c r="M9" s="156">
        <v>8.4373086604530925E-2</v>
      </c>
      <c r="N9" s="156">
        <v>6.2952182075133409E-2</v>
      </c>
      <c r="O9" s="156">
        <v>6.773509398709808E-2</v>
      </c>
      <c r="P9" s="156">
        <v>6.6917110800612439E-2</v>
      </c>
      <c r="Q9" s="156">
        <v>6.8761211067021794E-2</v>
      </c>
      <c r="R9" s="156">
        <v>5.4640978637240455E-2</v>
      </c>
      <c r="S9" s="156">
        <v>7.0899429640851969E-2</v>
      </c>
      <c r="T9" s="156">
        <v>5.5012408379984994E-2</v>
      </c>
      <c r="U9" s="156">
        <v>4.7242184019092741E-2</v>
      </c>
      <c r="V9" s="156">
        <v>5.1008854011039995E-2</v>
      </c>
      <c r="W9" s="156">
        <v>7.4334101932098273E-2</v>
      </c>
      <c r="X9" s="156">
        <v>0.10629326562195925</v>
      </c>
      <c r="Y9" s="156">
        <v>8.3115671641791039E-2</v>
      </c>
      <c r="Z9" s="156">
        <v>6.7181219638497769E-2</v>
      </c>
      <c r="AA9" s="156">
        <v>6.3471635721786532E-2</v>
      </c>
      <c r="AB9" s="156">
        <v>0.10249324225125871</v>
      </c>
      <c r="AC9" s="156">
        <v>0.13635282525228501</v>
      </c>
      <c r="AD9" s="156">
        <v>8.6972343522561862E-2</v>
      </c>
      <c r="AE9" s="156">
        <v>0.10123087159015302</v>
      </c>
      <c r="AF9" s="156">
        <v>9.4778684818861911E-2</v>
      </c>
      <c r="AG9" s="156">
        <v>8.7226367860770523E-2</v>
      </c>
      <c r="AH9" s="156">
        <v>7.1589735981553951E-2</v>
      </c>
      <c r="AI9" s="156">
        <v>4.8461662001560137E-2</v>
      </c>
      <c r="AJ9" s="156">
        <v>9.0832911275841435E-2</v>
      </c>
      <c r="AK9" s="156">
        <v>0.10901169541751433</v>
      </c>
      <c r="AL9" s="156">
        <v>6.6700782661047564E-2</v>
      </c>
      <c r="AM9" s="156">
        <v>6.1018993998638867E-2</v>
      </c>
      <c r="AN9" s="156">
        <v>8.0301895572634535E-2</v>
      </c>
      <c r="AO9" s="156">
        <v>0.10298841540511909</v>
      </c>
      <c r="AP9" s="156">
        <v>8.4917269699442216E-2</v>
      </c>
      <c r="AQ9" s="156">
        <v>6.7863514719000886E-2</v>
      </c>
      <c r="AR9" s="156">
        <v>8.5000000000000006E-2</v>
      </c>
      <c r="AS9" s="156">
        <v>0.12453187505319602</v>
      </c>
      <c r="AT9" s="156">
        <v>5.3871903592948002E-2</v>
      </c>
      <c r="AU9" s="156">
        <v>5.9889410133642858E-2</v>
      </c>
      <c r="AV9" s="156">
        <v>5.3717503598949952E-2</v>
      </c>
      <c r="AW9" s="156">
        <v>5.6759830870292682E-2</v>
      </c>
      <c r="AX9" s="156">
        <v>4.2999754892319053E-2</v>
      </c>
      <c r="AY9" s="156">
        <v>3.9872576629133703E-2</v>
      </c>
      <c r="AZ9" s="156">
        <v>3.7029673556599141E-2</v>
      </c>
      <c r="BA9" s="156">
        <v>4.5204596832873242E-2</v>
      </c>
      <c r="BB9" s="156">
        <v>3.4464104980281296E-2</v>
      </c>
      <c r="BC9" s="156">
        <v>4.2133320583770603E-2</v>
      </c>
      <c r="BD9" s="156">
        <v>5.6814524116074079E-2</v>
      </c>
      <c r="BE9" s="156">
        <v>8.1206414008684308E-2</v>
      </c>
      <c r="BF9" s="156">
        <v>5.7010364176043077E-2</v>
      </c>
      <c r="BG9" s="156">
        <v>5.3999999999999999E-2</v>
      </c>
      <c r="BH9" s="154">
        <f>-BH8/DRE!BH$8</f>
        <v>6.56883445390746E-2</v>
      </c>
      <c r="BI9" s="154">
        <f>-BI8/DRE!BI$8</f>
        <v>7.5855463435763215E-2</v>
      </c>
      <c r="BJ9" s="154">
        <f>-BJ8/DRE!BJ$8</f>
        <v>5.5275912648160126E-2</v>
      </c>
      <c r="BK9" s="156"/>
      <c r="BL9" s="156">
        <v>6.0628395162831326E-2</v>
      </c>
      <c r="BM9" s="156">
        <v>7.0287070685056116E-2</v>
      </c>
      <c r="BN9" s="156">
        <v>6.8704484251050205E-2</v>
      </c>
      <c r="BO9" s="156">
        <v>6.5073088058752906E-2</v>
      </c>
      <c r="BP9" s="156">
        <v>5.7309174568163729E-2</v>
      </c>
      <c r="BQ9" s="156">
        <v>7.5854947526767788E-2</v>
      </c>
      <c r="BR9" s="156">
        <v>0.10443553307609121</v>
      </c>
      <c r="BS9" s="156">
        <v>7.2698508752971694E-2</v>
      </c>
      <c r="BT9" s="156">
        <v>7.7239285094568802E-2</v>
      </c>
      <c r="BU9" s="156">
        <v>8.2212300652138512E-2</v>
      </c>
      <c r="BV9" s="156">
        <v>7.1887528063607362E-2</v>
      </c>
      <c r="BW9" s="156">
        <v>4.6724010115978175E-2</v>
      </c>
      <c r="BX9" s="156">
        <v>3.9333458558191828E-2</v>
      </c>
      <c r="BY9" s="156">
        <v>0.06</v>
      </c>
      <c r="BZ9" s="164">
        <f>-BZ8/DRE!$BZ$8</f>
        <v>6.4608781229379089E-2</v>
      </c>
    </row>
    <row r="10" spans="2:78" ht="12.75" customHeight="1">
      <c r="B10" s="107" t="s">
        <v>2</v>
      </c>
      <c r="C10" s="193" t="s">
        <v>175</v>
      </c>
      <c r="D10" s="112">
        <v>-9213</v>
      </c>
      <c r="E10" s="112">
        <v>-10753</v>
      </c>
      <c r="F10" s="112">
        <v>-9886</v>
      </c>
      <c r="G10" s="112">
        <v>-11635</v>
      </c>
      <c r="H10" s="112">
        <v>-11207</v>
      </c>
      <c r="I10" s="112">
        <v>-12287</v>
      </c>
      <c r="J10" s="112">
        <v>-11271</v>
      </c>
      <c r="K10" s="112">
        <v>-17166</v>
      </c>
      <c r="L10" s="112">
        <v>-11621</v>
      </c>
      <c r="M10" s="112">
        <v>-13389</v>
      </c>
      <c r="N10" s="112">
        <v>-12359</v>
      </c>
      <c r="O10" s="112">
        <v>-18408</v>
      </c>
      <c r="P10" s="112">
        <v>-15005</v>
      </c>
      <c r="Q10" s="112">
        <v>-16744</v>
      </c>
      <c r="R10" s="112">
        <v>-18194</v>
      </c>
      <c r="S10" s="112">
        <v>-25515</v>
      </c>
      <c r="T10" s="112">
        <v>-17702</v>
      </c>
      <c r="U10" s="112">
        <v>-19746</v>
      </c>
      <c r="V10" s="112">
        <v>-23756</v>
      </c>
      <c r="W10" s="112">
        <v>-31592</v>
      </c>
      <c r="X10" s="112">
        <v>-20562</v>
      </c>
      <c r="Y10" s="112">
        <v>-24116</v>
      </c>
      <c r="Z10" s="112">
        <v>-23904</v>
      </c>
      <c r="AA10" s="112">
        <v>-25827</v>
      </c>
      <c r="AB10" s="112">
        <v>-21480</v>
      </c>
      <c r="AC10" s="112">
        <v>-19649</v>
      </c>
      <c r="AD10" s="112">
        <v>-18449</v>
      </c>
      <c r="AE10" s="112">
        <v>-26189</v>
      </c>
      <c r="AF10" s="112">
        <v>-18506</v>
      </c>
      <c r="AG10" s="112">
        <v>-20302</v>
      </c>
      <c r="AH10" s="112">
        <v>-21055</v>
      </c>
      <c r="AI10" s="112">
        <v>-18057</v>
      </c>
      <c r="AJ10" s="112">
        <v>-17693</v>
      </c>
      <c r="AK10" s="112">
        <v>-20019</v>
      </c>
      <c r="AL10" s="112">
        <v>-20138</v>
      </c>
      <c r="AM10" s="112">
        <v>-21835</v>
      </c>
      <c r="AN10" s="112">
        <v>-19087</v>
      </c>
      <c r="AO10" s="112">
        <v>-20772</v>
      </c>
      <c r="AP10" s="112">
        <v>-22422</v>
      </c>
      <c r="AQ10" s="112">
        <v>-24106</v>
      </c>
      <c r="AR10" s="112">
        <v>-21452</v>
      </c>
      <c r="AS10" s="112">
        <v>-20513</v>
      </c>
      <c r="AT10" s="112">
        <v>-23575</v>
      </c>
      <c r="AU10" s="112">
        <v>-27744</v>
      </c>
      <c r="AV10" s="112">
        <v>-26485</v>
      </c>
      <c r="AW10" s="112">
        <v>-29167</v>
      </c>
      <c r="AX10" s="112">
        <v>-33257</v>
      </c>
      <c r="AY10" s="112">
        <v>-38958</v>
      </c>
      <c r="AZ10" s="112">
        <v>-37663</v>
      </c>
      <c r="BA10" s="112">
        <v>-38736</v>
      </c>
      <c r="BB10" s="112">
        <v>-42909</v>
      </c>
      <c r="BC10" s="112">
        <v>-46587</v>
      </c>
      <c r="BD10" s="112">
        <v>-40701</v>
      </c>
      <c r="BE10" s="112">
        <v>-43232</v>
      </c>
      <c r="BF10" s="112">
        <v>-48413</v>
      </c>
      <c r="BG10" s="112">
        <v>-53149</v>
      </c>
      <c r="BH10" s="112">
        <f>+BH6+BH8</f>
        <v>-48731</v>
      </c>
      <c r="BI10" s="112">
        <f>+BI6+BI8</f>
        <v>-47307</v>
      </c>
      <c r="BJ10" s="112">
        <f>+BJ6+BJ8</f>
        <v>-49963</v>
      </c>
      <c r="BK10" s="112"/>
      <c r="BL10" s="112">
        <v>-41487</v>
      </c>
      <c r="BM10" s="112">
        <v>-51931</v>
      </c>
      <c r="BN10" s="112">
        <v>-55777</v>
      </c>
      <c r="BO10" s="112">
        <v>-75458</v>
      </c>
      <c r="BP10" s="112">
        <v>-92796</v>
      </c>
      <c r="BQ10" s="112">
        <v>-94409</v>
      </c>
      <c r="BR10" s="112">
        <v>-85767</v>
      </c>
      <c r="BS10" s="112">
        <v>-77920</v>
      </c>
      <c r="BT10" s="112">
        <v>-79685</v>
      </c>
      <c r="BU10" s="112">
        <v>-86387</v>
      </c>
      <c r="BV10" s="112">
        <v>-93284</v>
      </c>
      <c r="BW10" s="112">
        <v>-127867</v>
      </c>
      <c r="BX10" s="112">
        <v>-165895</v>
      </c>
      <c r="BY10" s="112">
        <f>+BY6+BY8</f>
        <v>-185495</v>
      </c>
      <c r="BZ10" s="112">
        <f>+BZ6+BZ8</f>
        <v>-146001</v>
      </c>
    </row>
    <row r="11" spans="2:78" ht="15.75" thickBot="1">
      <c r="B11" s="117"/>
      <c r="C11" s="220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</row>
    <row r="12" spans="2:78">
      <c r="C12" s="221"/>
      <c r="AY12"/>
      <c r="AZ12"/>
      <c r="BA12"/>
      <c r="BB12"/>
      <c r="BC12"/>
      <c r="BD12"/>
      <c r="BE12"/>
      <c r="BF12"/>
      <c r="BG12"/>
      <c r="BH12"/>
      <c r="BI12"/>
      <c r="BJ12"/>
      <c r="BK12"/>
      <c r="BO12" s="62"/>
      <c r="BP12" s="62"/>
      <c r="BQ12" s="62"/>
      <c r="BR12" s="62"/>
      <c r="BS12" s="62"/>
      <c r="BT12" s="62"/>
      <c r="BU12" s="62"/>
      <c r="BV12" s="62"/>
    </row>
    <row r="13" spans="2:78">
      <c r="B13" s="12"/>
      <c r="C13" s="22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O13" s="62"/>
      <c r="BP13" s="62"/>
      <c r="BQ13" s="62"/>
      <c r="BR13" s="62"/>
      <c r="BS13" s="62"/>
      <c r="BT13" s="62"/>
      <c r="BU13" s="62"/>
      <c r="BV13" s="62"/>
    </row>
    <row r="14" spans="2:78" ht="15.75" thickBot="1">
      <c r="B14" s="100"/>
      <c r="C14" s="196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</row>
    <row r="15" spans="2:78" ht="5.25" customHeight="1">
      <c r="B15" s="34"/>
      <c r="C15" s="22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</row>
    <row r="16" spans="2:78" ht="14.25" customHeight="1">
      <c r="B16" s="240" t="s">
        <v>478</v>
      </c>
      <c r="C16" s="246" t="s">
        <v>176</v>
      </c>
      <c r="D16" s="152" t="s">
        <v>289</v>
      </c>
      <c r="E16" s="152" t="s">
        <v>290</v>
      </c>
      <c r="F16" s="152" t="s">
        <v>291</v>
      </c>
      <c r="G16" s="152" t="s">
        <v>293</v>
      </c>
      <c r="H16" s="152" t="s">
        <v>292</v>
      </c>
      <c r="I16" s="152" t="s">
        <v>294</v>
      </c>
      <c r="J16" s="152" t="s">
        <v>295</v>
      </c>
      <c r="K16" s="152" t="s">
        <v>296</v>
      </c>
      <c r="L16" s="152" t="s">
        <v>297</v>
      </c>
      <c r="M16" s="152" t="s">
        <v>298</v>
      </c>
      <c r="N16" s="152" t="s">
        <v>299</v>
      </c>
      <c r="O16" s="152" t="s">
        <v>300</v>
      </c>
      <c r="P16" s="152" t="s">
        <v>301</v>
      </c>
      <c r="Q16" s="152" t="s">
        <v>302</v>
      </c>
      <c r="R16" s="152" t="s">
        <v>303</v>
      </c>
      <c r="S16" s="152" t="s">
        <v>304</v>
      </c>
      <c r="T16" s="152" t="s">
        <v>305</v>
      </c>
      <c r="U16" s="152" t="s">
        <v>306</v>
      </c>
      <c r="V16" s="152" t="s">
        <v>307</v>
      </c>
      <c r="W16" s="152" t="s">
        <v>308</v>
      </c>
      <c r="X16" s="152" t="s">
        <v>309</v>
      </c>
      <c r="Y16" s="152" t="s">
        <v>310</v>
      </c>
      <c r="Z16" s="152" t="s">
        <v>311</v>
      </c>
      <c r="AA16" s="152" t="s">
        <v>312</v>
      </c>
      <c r="AB16" s="152" t="s">
        <v>313</v>
      </c>
      <c r="AC16" s="152" t="s">
        <v>314</v>
      </c>
      <c r="AD16" s="152" t="s">
        <v>315</v>
      </c>
      <c r="AE16" s="152" t="s">
        <v>316</v>
      </c>
      <c r="AF16" s="152" t="s">
        <v>317</v>
      </c>
      <c r="AG16" s="152" t="s">
        <v>318</v>
      </c>
      <c r="AH16" s="152" t="s">
        <v>319</v>
      </c>
      <c r="AI16" s="152" t="s">
        <v>320</v>
      </c>
      <c r="AJ16" s="152" t="s">
        <v>321</v>
      </c>
      <c r="AK16" s="152" t="s">
        <v>322</v>
      </c>
      <c r="AL16" s="152" t="s">
        <v>323</v>
      </c>
      <c r="AM16" s="152" t="s">
        <v>324</v>
      </c>
      <c r="AN16" s="152" t="s">
        <v>325</v>
      </c>
      <c r="AO16" s="152" t="s">
        <v>326</v>
      </c>
      <c r="AP16" s="152" t="s">
        <v>327</v>
      </c>
      <c r="AQ16" s="152" t="s">
        <v>328</v>
      </c>
      <c r="AR16" s="152" t="s">
        <v>329</v>
      </c>
      <c r="AS16" s="152" t="s">
        <v>330</v>
      </c>
      <c r="AT16" s="152" t="s">
        <v>331</v>
      </c>
      <c r="AU16" s="152" t="s">
        <v>332</v>
      </c>
      <c r="AV16" s="152" t="s">
        <v>333</v>
      </c>
      <c r="AW16" s="152" t="s">
        <v>334</v>
      </c>
      <c r="AX16" s="152" t="s">
        <v>335</v>
      </c>
      <c r="AY16" s="152" t="s">
        <v>336</v>
      </c>
      <c r="AZ16" s="152" t="s">
        <v>337</v>
      </c>
      <c r="BA16" s="152" t="s">
        <v>338</v>
      </c>
      <c r="BB16" s="152" t="s">
        <v>339</v>
      </c>
      <c r="BC16" s="152" t="s">
        <v>340</v>
      </c>
      <c r="BD16" s="152" t="s">
        <v>341</v>
      </c>
      <c r="BE16" s="152" t="s">
        <v>342</v>
      </c>
      <c r="BF16" s="152" t="s">
        <v>343</v>
      </c>
      <c r="BG16" s="152" t="s">
        <v>344</v>
      </c>
      <c r="BH16" s="152" t="s">
        <v>345</v>
      </c>
      <c r="BI16" s="152" t="s">
        <v>346</v>
      </c>
      <c r="BJ16" s="152" t="s">
        <v>347</v>
      </c>
      <c r="BK16" s="152" t="s">
        <v>348</v>
      </c>
      <c r="BL16" s="238">
        <v>2010</v>
      </c>
      <c r="BM16" s="238">
        <v>2011</v>
      </c>
      <c r="BN16" s="238">
        <v>2012</v>
      </c>
      <c r="BO16" s="238">
        <v>2013</v>
      </c>
      <c r="BP16" s="238">
        <v>2014</v>
      </c>
      <c r="BQ16" s="238">
        <v>2015</v>
      </c>
      <c r="BR16" s="238">
        <v>2016</v>
      </c>
      <c r="BS16" s="238">
        <v>2017</v>
      </c>
      <c r="BT16" s="238">
        <v>2018</v>
      </c>
      <c r="BU16" s="238">
        <v>2019</v>
      </c>
      <c r="BV16" s="238">
        <v>2020</v>
      </c>
      <c r="BW16" s="238">
        <v>2021</v>
      </c>
      <c r="BX16" s="238">
        <v>2022</v>
      </c>
      <c r="BY16" s="238">
        <v>2023</v>
      </c>
      <c r="BZ16" s="238">
        <v>2024</v>
      </c>
    </row>
    <row r="17" spans="2:78" ht="12.75" customHeight="1">
      <c r="B17" s="240"/>
      <c r="C17" s="264"/>
      <c r="D17" s="152" t="s">
        <v>58</v>
      </c>
      <c r="E17" s="152" t="s">
        <v>57</v>
      </c>
      <c r="F17" s="152" t="s">
        <v>56</v>
      </c>
      <c r="G17" s="152" t="s">
        <v>47</v>
      </c>
      <c r="H17" s="152" t="s">
        <v>55</v>
      </c>
      <c r="I17" s="152" t="s">
        <v>54</v>
      </c>
      <c r="J17" s="152" t="s">
        <v>53</v>
      </c>
      <c r="K17" s="152" t="s">
        <v>52</v>
      </c>
      <c r="L17" s="152" t="s">
        <v>51</v>
      </c>
      <c r="M17" s="152" t="s">
        <v>50</v>
      </c>
      <c r="N17" s="152" t="s">
        <v>49</v>
      </c>
      <c r="O17" s="152" t="s">
        <v>48</v>
      </c>
      <c r="P17" s="152" t="s">
        <v>10</v>
      </c>
      <c r="Q17" s="152" t="s">
        <v>11</v>
      </c>
      <c r="R17" s="152" t="s">
        <v>12</v>
      </c>
      <c r="S17" s="152" t="s">
        <v>13</v>
      </c>
      <c r="T17" s="152" t="s">
        <v>14</v>
      </c>
      <c r="U17" s="152" t="s">
        <v>15</v>
      </c>
      <c r="V17" s="152" t="s">
        <v>16</v>
      </c>
      <c r="W17" s="152" t="s">
        <v>17</v>
      </c>
      <c r="X17" s="152" t="s">
        <v>18</v>
      </c>
      <c r="Y17" s="152" t="s">
        <v>19</v>
      </c>
      <c r="Z17" s="152" t="s">
        <v>20</v>
      </c>
      <c r="AA17" s="152" t="s">
        <v>21</v>
      </c>
      <c r="AB17" s="152" t="s">
        <v>22</v>
      </c>
      <c r="AC17" s="152" t="s">
        <v>23</v>
      </c>
      <c r="AD17" s="152" t="s">
        <v>24</v>
      </c>
      <c r="AE17" s="152" t="s">
        <v>25</v>
      </c>
      <c r="AF17" s="152" t="s">
        <v>26</v>
      </c>
      <c r="AG17" s="152" t="s">
        <v>27</v>
      </c>
      <c r="AH17" s="152" t="s">
        <v>28</v>
      </c>
      <c r="AI17" s="152" t="s">
        <v>29</v>
      </c>
      <c r="AJ17" s="152" t="s">
        <v>30</v>
      </c>
      <c r="AK17" s="152" t="s">
        <v>31</v>
      </c>
      <c r="AL17" s="152" t="s">
        <v>32</v>
      </c>
      <c r="AM17" s="152" t="s">
        <v>33</v>
      </c>
      <c r="AN17" s="152" t="s">
        <v>34</v>
      </c>
      <c r="AO17" s="152" t="s">
        <v>35</v>
      </c>
      <c r="AP17" s="152" t="s">
        <v>36</v>
      </c>
      <c r="AQ17" s="152" t="s">
        <v>37</v>
      </c>
      <c r="AR17" s="152" t="s">
        <v>3</v>
      </c>
      <c r="AS17" s="152" t="s">
        <v>38</v>
      </c>
      <c r="AT17" s="152" t="s">
        <v>39</v>
      </c>
      <c r="AU17" s="152" t="s">
        <v>8</v>
      </c>
      <c r="AV17" s="152" t="s">
        <v>9</v>
      </c>
      <c r="AW17" s="152" t="s">
        <v>40</v>
      </c>
      <c r="AX17" s="152" t="s">
        <v>41</v>
      </c>
      <c r="AY17" s="152" t="s">
        <v>42</v>
      </c>
      <c r="AZ17" s="152" t="s">
        <v>71</v>
      </c>
      <c r="BA17" s="152" t="s">
        <v>75</v>
      </c>
      <c r="BB17" s="152" t="s">
        <v>76</v>
      </c>
      <c r="BC17" s="152" t="s">
        <v>77</v>
      </c>
      <c r="BD17" s="152" t="s">
        <v>91</v>
      </c>
      <c r="BE17" s="152" t="s">
        <v>92</v>
      </c>
      <c r="BF17" s="152" t="s">
        <v>93</v>
      </c>
      <c r="BG17" s="152" t="s">
        <v>94</v>
      </c>
      <c r="BH17" s="163" t="str">
        <f>BH5</f>
        <v>1T24</v>
      </c>
      <c r="BI17" s="163" t="str">
        <f t="shared" ref="BI17:BK17" si="0">BI5</f>
        <v>2T24</v>
      </c>
      <c r="BJ17" s="163" t="str">
        <f t="shared" si="0"/>
        <v>3T24</v>
      </c>
      <c r="BK17" s="163" t="str">
        <f t="shared" si="0"/>
        <v>4T24</v>
      </c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39"/>
      <c r="BZ17" s="239"/>
    </row>
    <row r="18" spans="2:78" ht="12.75" customHeight="1">
      <c r="B18" s="213" t="s">
        <v>408</v>
      </c>
      <c r="C18" s="217" t="s">
        <v>177</v>
      </c>
      <c r="D18" s="153">
        <v>3988</v>
      </c>
      <c r="E18" s="153">
        <v>3562</v>
      </c>
      <c r="F18" s="153">
        <v>4046</v>
      </c>
      <c r="G18" s="153">
        <v>5119</v>
      </c>
      <c r="H18" s="153">
        <v>4051</v>
      </c>
      <c r="I18" s="153">
        <v>4827</v>
      </c>
      <c r="J18" s="153">
        <v>6809</v>
      </c>
      <c r="K18" s="153">
        <v>7623</v>
      </c>
      <c r="L18" s="153">
        <v>7547</v>
      </c>
      <c r="M18" s="153">
        <v>4628</v>
      </c>
      <c r="N18" s="153">
        <v>3634</v>
      </c>
      <c r="O18" s="153">
        <v>2973</v>
      </c>
      <c r="P18" s="153">
        <v>2868</v>
      </c>
      <c r="Q18" s="153">
        <v>4101</v>
      </c>
      <c r="R18" s="153">
        <v>6360</v>
      </c>
      <c r="S18" s="153">
        <v>4206</v>
      </c>
      <c r="T18" s="153">
        <v>7454</v>
      </c>
      <c r="U18" s="153">
        <v>4789</v>
      </c>
      <c r="V18" s="153">
        <v>7410</v>
      </c>
      <c r="W18" s="153">
        <v>9652</v>
      </c>
      <c r="X18" s="153">
        <v>7073</v>
      </c>
      <c r="Y18" s="153">
        <v>4521</v>
      </c>
      <c r="Z18" s="153">
        <v>6342</v>
      </c>
      <c r="AA18" s="153">
        <v>5219</v>
      </c>
      <c r="AB18" s="153">
        <v>8750</v>
      </c>
      <c r="AC18" s="153">
        <v>7842</v>
      </c>
      <c r="AD18" s="153">
        <v>5941</v>
      </c>
      <c r="AE18" s="153">
        <v>8540</v>
      </c>
      <c r="AF18" s="153">
        <v>6816</v>
      </c>
      <c r="AG18" s="153">
        <v>4088</v>
      </c>
      <c r="AH18" s="153">
        <v>6998</v>
      </c>
      <c r="AI18" s="153">
        <v>3709</v>
      </c>
      <c r="AJ18" s="153">
        <v>3413</v>
      </c>
      <c r="AK18" s="153">
        <v>5312</v>
      </c>
      <c r="AL18" s="153">
        <v>3645</v>
      </c>
      <c r="AM18" s="153">
        <v>2599</v>
      </c>
      <c r="AN18" s="153">
        <v>3246</v>
      </c>
      <c r="AO18" s="153">
        <v>1116</v>
      </c>
      <c r="AP18" s="153">
        <v>1898</v>
      </c>
      <c r="AQ18" s="153">
        <v>3181</v>
      </c>
      <c r="AR18" s="153">
        <v>10492</v>
      </c>
      <c r="AS18" s="153">
        <v>15578</v>
      </c>
      <c r="AT18" s="153">
        <v>11816</v>
      </c>
      <c r="AU18" s="153">
        <v>5304</v>
      </c>
      <c r="AV18" s="153">
        <v>6540</v>
      </c>
      <c r="AW18" s="153">
        <v>4339</v>
      </c>
      <c r="AX18" s="153">
        <v>8188</v>
      </c>
      <c r="AY18" s="153">
        <v>4780</v>
      </c>
      <c r="AZ18" s="153">
        <v>5043</v>
      </c>
      <c r="BA18" s="153">
        <v>6857</v>
      </c>
      <c r="BB18" s="153">
        <v>15866</v>
      </c>
      <c r="BC18" s="153">
        <v>13428</v>
      </c>
      <c r="BD18" s="153">
        <v>15624</v>
      </c>
      <c r="BE18" s="153">
        <v>12230</v>
      </c>
      <c r="BF18" s="153">
        <v>11177</v>
      </c>
      <c r="BG18" s="153">
        <v>14622</v>
      </c>
      <c r="BH18" s="153">
        <f>+DRE!BH18</f>
        <v>8597</v>
      </c>
      <c r="BI18" s="153">
        <v>13907</v>
      </c>
      <c r="BJ18" s="153">
        <f>+DRE!BJ18</f>
        <v>22140</v>
      </c>
      <c r="BK18" s="153"/>
      <c r="BL18" s="153">
        <v>16715</v>
      </c>
      <c r="BM18" s="153">
        <v>23310</v>
      </c>
      <c r="BN18" s="153">
        <v>18782</v>
      </c>
      <c r="BO18" s="153">
        <v>17535</v>
      </c>
      <c r="BP18" s="153">
        <v>29305</v>
      </c>
      <c r="BQ18" s="153">
        <v>23155</v>
      </c>
      <c r="BR18" s="153">
        <v>31073</v>
      </c>
      <c r="BS18" s="153">
        <v>21611</v>
      </c>
      <c r="BT18" s="153">
        <v>14969</v>
      </c>
      <c r="BU18" s="153">
        <v>9441</v>
      </c>
      <c r="BV18" s="153">
        <v>43190</v>
      </c>
      <c r="BW18" s="153">
        <v>23847</v>
      </c>
      <c r="BX18" s="153">
        <v>41194</v>
      </c>
      <c r="BY18" s="153">
        <f>+SUM(BD18:BG18)</f>
        <v>53653</v>
      </c>
      <c r="BZ18" s="153">
        <f>+SUM(BH18:BK18)</f>
        <v>44644</v>
      </c>
    </row>
    <row r="19" spans="2:78" s="35" customFormat="1" ht="12.75" customHeight="1">
      <c r="B19" s="151" t="s">
        <v>476</v>
      </c>
      <c r="C19" s="218" t="s">
        <v>178</v>
      </c>
      <c r="D19" s="154">
        <v>5.4448145923215556E-2</v>
      </c>
      <c r="E19" s="154">
        <v>4.6966680291662823E-2</v>
      </c>
      <c r="F19" s="154">
        <v>4.1343933293821911E-2</v>
      </c>
      <c r="G19" s="154">
        <v>4.2878801839457879E-2</v>
      </c>
      <c r="H19" s="154">
        <v>6.6718271352811359E-2</v>
      </c>
      <c r="I19" s="154">
        <v>5.6103117227271668E-2</v>
      </c>
      <c r="J19" s="154">
        <v>5.4177706697220697E-2</v>
      </c>
      <c r="K19" s="154">
        <v>5.0924905304928152E-2</v>
      </c>
      <c r="L19" s="154">
        <v>7.7245092219197148E-2</v>
      </c>
      <c r="M19" s="154">
        <v>6.2970270086400437E-2</v>
      </c>
      <c r="N19" s="154">
        <v>3.8326056234048389E-2</v>
      </c>
      <c r="O19" s="154">
        <v>1.8765859139282692E-2</v>
      </c>
      <c r="P19" s="154">
        <v>2.3995783167811514E-2</v>
      </c>
      <c r="Q19" s="154">
        <v>3.1845254272823982E-2</v>
      </c>
      <c r="R19" s="154">
        <v>3.8100715287013406E-2</v>
      </c>
      <c r="S19" s="154">
        <v>2.3427056412084483E-2</v>
      </c>
      <c r="T19" s="154">
        <v>4.3019564840999593E-2</v>
      </c>
      <c r="U19" s="154">
        <v>2.1126418831584195E-2</v>
      </c>
      <c r="V19" s="154">
        <v>2.9133313413119033E-2</v>
      </c>
      <c r="W19" s="154">
        <v>3.8371630754551959E-2</v>
      </c>
      <c r="X19" s="154">
        <v>6.5545969288937897E-2</v>
      </c>
      <c r="Y19" s="154">
        <v>2.6358442164179104E-2</v>
      </c>
      <c r="Z19" s="154">
        <v>3.1277587354819621E-2</v>
      </c>
      <c r="AA19" s="154">
        <v>2.3321491610250912E-2</v>
      </c>
      <c r="AB19" s="154">
        <v>7.5565880493639506E-2</v>
      </c>
      <c r="AC19" s="154">
        <v>8.8817913084842506E-2</v>
      </c>
      <c r="AD19" s="154">
        <v>4.9134908032287948E-2</v>
      </c>
      <c r="AE19" s="154">
        <v>5.6819693945442451E-2</v>
      </c>
      <c r="AF19" s="154">
        <v>5.8141617831460962E-2</v>
      </c>
      <c r="AG19" s="154">
        <v>3.2695891418928105E-2</v>
      </c>
      <c r="AH19" s="154">
        <v>4.3259215300830198E-2</v>
      </c>
      <c r="AI19" s="154">
        <v>2.1274032946358924E-2</v>
      </c>
      <c r="AJ19" s="154">
        <v>3.1428702978958514E-2</v>
      </c>
      <c r="AK19" s="154">
        <v>4.9345558249496047E-2</v>
      </c>
      <c r="AL19" s="154">
        <v>2.1944611679711016E-2</v>
      </c>
      <c r="AM19" s="154">
        <v>1.3399946379591247E-2</v>
      </c>
      <c r="AN19" s="154">
        <v>2.3601951560011925E-2</v>
      </c>
      <c r="AO19" s="154">
        <v>9.5342241055257487E-3</v>
      </c>
      <c r="AP19" s="154">
        <v>1.2693784192292773E-2</v>
      </c>
      <c r="AQ19" s="154">
        <v>1.7735280999107938E-2</v>
      </c>
      <c r="AR19" s="154">
        <v>8.2000000000000003E-2</v>
      </c>
      <c r="AS19" s="154">
        <v>0.16573750957528299</v>
      </c>
      <c r="AT19" s="154">
        <v>5.8598031193434007E-2</v>
      </c>
      <c r="AU19" s="154">
        <v>2.1376408569908596E-2</v>
      </c>
      <c r="AV19" s="154">
        <v>2.7690744347531545E-2</v>
      </c>
      <c r="AW19" s="154">
        <v>1.7881427876729829E-2</v>
      </c>
      <c r="AX19" s="154">
        <v>2.4777057921063224E-2</v>
      </c>
      <c r="AY19" s="154">
        <v>1.1466184351297022E-2</v>
      </c>
      <c r="AZ19" s="154">
        <v>1.152435471154835E-2</v>
      </c>
      <c r="BA19" s="154">
        <v>1.9043307764515072E-2</v>
      </c>
      <c r="BB19" s="154">
        <v>3.0762727967209174E-2</v>
      </c>
      <c r="BC19" s="154">
        <v>2.6750176302547123E-2</v>
      </c>
      <c r="BD19" s="154">
        <v>4.8355947311082496E-2</v>
      </c>
      <c r="BE19" s="154">
        <v>4.3492640390900332E-2</v>
      </c>
      <c r="BF19" s="154">
        <v>2.7554803909000364E-2</v>
      </c>
      <c r="BG19" s="154">
        <v>2.9000000000000001E-2</v>
      </c>
      <c r="BH19" s="154">
        <f>BH18/DRE!BH$8</f>
        <v>2.2605183652326648E-2</v>
      </c>
      <c r="BI19" s="154">
        <f>BI18/DRE!BI$8</f>
        <v>4.2420859337347558E-2</v>
      </c>
      <c r="BJ19" s="154">
        <f>BJ18/DRE!BJ$8</f>
        <v>5.0426828712772064E-2</v>
      </c>
      <c r="BK19" s="154"/>
      <c r="BL19" s="154">
        <v>4.5628258673873281E-2</v>
      </c>
      <c r="BM19" s="154">
        <v>5.5220479193416182E-2</v>
      </c>
      <c r="BN19" s="154">
        <v>4.4251144446460167E-2</v>
      </c>
      <c r="BO19" s="154">
        <v>2.9482381187769226E-2</v>
      </c>
      <c r="BP19" s="154">
        <v>3.2351152133762988E-2</v>
      </c>
      <c r="BQ19" s="154">
        <v>3.2798426015504707E-2</v>
      </c>
      <c r="BR19" s="154">
        <v>6.5375827375667481E-2</v>
      </c>
      <c r="BS19" s="154">
        <v>3.7365031337799871E-2</v>
      </c>
      <c r="BT19" s="154">
        <v>2.5974318931112267E-2</v>
      </c>
      <c r="BU19" s="154">
        <v>1.6180919163960136E-2</v>
      </c>
      <c r="BV19" s="154">
        <v>6.4343315312040503E-2</v>
      </c>
      <c r="BW19" s="154">
        <v>1.9448220855193248E-2</v>
      </c>
      <c r="BX19" s="154">
        <v>2.269140536994306E-2</v>
      </c>
      <c r="BY19" s="154">
        <v>3.5000000000000003E-2</v>
      </c>
      <c r="BZ19" s="164">
        <f>BZ18/DRE!$BZ$8</f>
        <v>3.8915722408618569E-2</v>
      </c>
    </row>
    <row r="20" spans="2:78" ht="12.75" customHeight="1">
      <c r="B20" s="132" t="s">
        <v>407</v>
      </c>
      <c r="C20" s="217" t="s">
        <v>179</v>
      </c>
      <c r="D20" s="155">
        <v>-6904</v>
      </c>
      <c r="E20" s="155">
        <v>-6989</v>
      </c>
      <c r="F20" s="155">
        <v>-6066</v>
      </c>
      <c r="G20" s="155">
        <v>-7839</v>
      </c>
      <c r="H20" s="155">
        <v>-4990</v>
      </c>
      <c r="I20" s="155">
        <v>-5143</v>
      </c>
      <c r="J20" s="155">
        <v>-11989</v>
      </c>
      <c r="K20" s="155">
        <v>-11058</v>
      </c>
      <c r="L20" s="155">
        <v>-8038</v>
      </c>
      <c r="M20" s="155">
        <v>-8243</v>
      </c>
      <c r="N20" s="155">
        <v>-5234</v>
      </c>
      <c r="O20" s="155">
        <v>-5097</v>
      </c>
      <c r="P20" s="155">
        <v>-4601</v>
      </c>
      <c r="Q20" s="155">
        <v>-6242</v>
      </c>
      <c r="R20" s="155">
        <v>-5768</v>
      </c>
      <c r="S20" s="155">
        <v>-6357</v>
      </c>
      <c r="T20" s="155">
        <v>-7807</v>
      </c>
      <c r="U20" s="155">
        <v>-6573</v>
      </c>
      <c r="V20" s="155">
        <v>-13707</v>
      </c>
      <c r="W20" s="155">
        <v>-9246</v>
      </c>
      <c r="X20" s="155">
        <v>-10870</v>
      </c>
      <c r="Y20" s="155">
        <v>-4060</v>
      </c>
      <c r="Z20" s="155">
        <v>-12654</v>
      </c>
      <c r="AA20" s="155">
        <v>-4748</v>
      </c>
      <c r="AB20" s="155">
        <v>-6151</v>
      </c>
      <c r="AC20" s="155">
        <v>-4858</v>
      </c>
      <c r="AD20" s="155">
        <v>-4132</v>
      </c>
      <c r="AE20" s="155">
        <v>-5922</v>
      </c>
      <c r="AF20" s="155">
        <v>-4869</v>
      </c>
      <c r="AG20" s="155">
        <v>-4357</v>
      </c>
      <c r="AH20" s="155">
        <v>-5192</v>
      </c>
      <c r="AI20" s="155">
        <v>-4989</v>
      </c>
      <c r="AJ20" s="155">
        <v>-3411</v>
      </c>
      <c r="AK20" s="155">
        <v>-7218</v>
      </c>
      <c r="AL20" s="155">
        <v>-5257</v>
      </c>
      <c r="AM20" s="155">
        <v>-4813</v>
      </c>
      <c r="AN20" s="155">
        <v>-4470</v>
      </c>
      <c r="AO20" s="155">
        <v>-1598</v>
      </c>
      <c r="AP20" s="155">
        <v>-3694</v>
      </c>
      <c r="AQ20" s="155">
        <v>-4580</v>
      </c>
      <c r="AR20" s="155">
        <v>-7735</v>
      </c>
      <c r="AS20" s="155">
        <v>-9077</v>
      </c>
      <c r="AT20" s="155">
        <v>-12377</v>
      </c>
      <c r="AU20" s="155">
        <v>-5263</v>
      </c>
      <c r="AV20" s="155">
        <v>-6758</v>
      </c>
      <c r="AW20" s="155">
        <v>-4858</v>
      </c>
      <c r="AX20" s="155">
        <v>-4069</v>
      </c>
      <c r="AY20" s="155">
        <v>-6074</v>
      </c>
      <c r="AZ20" s="155">
        <v>-10372</v>
      </c>
      <c r="BA20" s="155">
        <v>-6720</v>
      </c>
      <c r="BB20" s="155">
        <v>-10829</v>
      </c>
      <c r="BC20" s="155">
        <v>-11689</v>
      </c>
      <c r="BD20" s="155">
        <v>-13545</v>
      </c>
      <c r="BE20" s="155">
        <v>-12613</v>
      </c>
      <c r="BF20" s="155">
        <v>-8200</v>
      </c>
      <c r="BG20" s="155">
        <v>-15356</v>
      </c>
      <c r="BH20" s="155">
        <f>+DRE!BH17</f>
        <v>-9141</v>
      </c>
      <c r="BI20" s="155">
        <v>-12649</v>
      </c>
      <c r="BJ20" s="155">
        <f>+DRE!BJ17</f>
        <v>-22373</v>
      </c>
      <c r="BK20" s="155"/>
      <c r="BL20" s="155">
        <v>-27798</v>
      </c>
      <c r="BM20" s="155">
        <v>-33180</v>
      </c>
      <c r="BN20" s="155">
        <v>-26612</v>
      </c>
      <c r="BO20" s="155">
        <v>-22968</v>
      </c>
      <c r="BP20" s="155">
        <v>-37333</v>
      </c>
      <c r="BQ20" s="155">
        <v>-32332</v>
      </c>
      <c r="BR20" s="155">
        <v>-21063</v>
      </c>
      <c r="BS20" s="155">
        <v>-19407</v>
      </c>
      <c r="BT20" s="155">
        <v>-20699</v>
      </c>
      <c r="BU20" s="155">
        <v>-14342</v>
      </c>
      <c r="BV20" s="155">
        <v>-34452</v>
      </c>
      <c r="BW20" s="155">
        <v>-21759</v>
      </c>
      <c r="BX20" s="155">
        <v>-39610</v>
      </c>
      <c r="BY20" s="153">
        <f>+SUM(BD20:BG20)</f>
        <v>-49714</v>
      </c>
      <c r="BZ20" s="153">
        <f>+SUM(BH20:BK20)</f>
        <v>-44163</v>
      </c>
    </row>
    <row r="21" spans="2:78" s="35" customFormat="1" ht="12.75" customHeight="1">
      <c r="B21" s="214" t="s">
        <v>477</v>
      </c>
      <c r="C21" s="219" t="s">
        <v>174</v>
      </c>
      <c r="D21" s="157">
        <v>9.4260280705586799E-2</v>
      </c>
      <c r="E21" s="157">
        <v>9.2153320763175589E-2</v>
      </c>
      <c r="F21" s="157">
        <v>6.1985244528008826E-2</v>
      </c>
      <c r="G21" s="157">
        <v>6.5662615280232525E-2</v>
      </c>
      <c r="H21" s="157">
        <v>8.2183207615534104E-2</v>
      </c>
      <c r="I21" s="157">
        <v>5.9775912968688255E-2</v>
      </c>
      <c r="J21" s="157">
        <v>9.5393820765601253E-2</v>
      </c>
      <c r="K21" s="157">
        <v>7.3872176683968976E-2</v>
      </c>
      <c r="L21" s="157">
        <v>8.2270577879674928E-2</v>
      </c>
      <c r="M21" s="157">
        <v>0.1121572896115382</v>
      </c>
      <c r="N21" s="157">
        <v>5.520048935856061E-2</v>
      </c>
      <c r="O21" s="157">
        <v>3.2172749422443289E-2</v>
      </c>
      <c r="P21" s="157">
        <v>3.8495327180997484E-2</v>
      </c>
      <c r="Q21" s="157">
        <v>4.8470635740299271E-2</v>
      </c>
      <c r="R21" s="157">
        <v>3.4554233612498951E-2</v>
      </c>
      <c r="S21" s="157">
        <v>3.5407940468763922E-2</v>
      </c>
      <c r="T21" s="157">
        <v>4.5056847694349859E-2</v>
      </c>
      <c r="U21" s="157">
        <v>2.8996439962414473E-2</v>
      </c>
      <c r="V21" s="157">
        <v>5.3890732382405208E-2</v>
      </c>
      <c r="W21" s="157">
        <v>3.675757334817524E-2</v>
      </c>
      <c r="X21" s="157">
        <v>0.10073302504888378</v>
      </c>
      <c r="Y21" s="157">
        <v>2.3670708955223881E-2</v>
      </c>
      <c r="Z21" s="157">
        <v>6.2407220180997709E-2</v>
      </c>
      <c r="AA21" s="157">
        <v>2.1216792903903301E-2</v>
      </c>
      <c r="AB21" s="157">
        <v>5.3120654961871613E-2</v>
      </c>
      <c r="AC21" s="157">
        <v>5.5021349370844803E-2</v>
      </c>
      <c r="AD21" s="157">
        <v>3.4173613867937012E-2</v>
      </c>
      <c r="AE21" s="157">
        <v>3.9401197604790418E-2</v>
      </c>
      <c r="AF21" s="157">
        <v>4.1533382808301558E-2</v>
      </c>
      <c r="AG21" s="157">
        <v>3.4847357855251899E-2</v>
      </c>
      <c r="AH21" s="157">
        <v>3.2095148019707115E-2</v>
      </c>
      <c r="AI21" s="157">
        <v>2.8615839948607349E-2</v>
      </c>
      <c r="AJ21" s="157">
        <v>3.1410285924766336E-2</v>
      </c>
      <c r="AK21" s="157">
        <v>6.7051249895493686E-2</v>
      </c>
      <c r="AL21" s="157">
        <v>3.164960866947622E-2</v>
      </c>
      <c r="AM21" s="157">
        <v>2.4814906473633196E-2</v>
      </c>
      <c r="AN21" s="157">
        <v>3.2501763238833428E-2</v>
      </c>
      <c r="AO21" s="157">
        <v>1.3652052079417694E-2</v>
      </c>
      <c r="AP21" s="157">
        <v>2.4705394523882773E-2</v>
      </c>
      <c r="AQ21" s="157">
        <v>2.5535236396074933E-2</v>
      </c>
      <c r="AR21" s="157">
        <v>6.0675232581854692E-2</v>
      </c>
      <c r="AS21" s="157">
        <v>9.6572048684994471E-2</v>
      </c>
      <c r="AT21" s="157">
        <v>6.1380148280393759E-2</v>
      </c>
      <c r="AU21" s="157">
        <v>2.1211168609243766E-2</v>
      </c>
      <c r="AV21" s="157">
        <v>2.8613769159115929E-2</v>
      </c>
      <c r="AW21" s="157">
        <v>2.0020275783626067E-2</v>
      </c>
      <c r="AX21" s="157">
        <v>1.2312878441720354E-2</v>
      </c>
      <c r="AY21" s="157">
        <v>1.4570209989493328E-2</v>
      </c>
      <c r="AZ21" s="157">
        <v>2.3702281790239834E-2</v>
      </c>
      <c r="BA21" s="157">
        <v>1.8662830418191816E-2</v>
      </c>
      <c r="BB21" s="157">
        <v>2.0996444041151401E-2</v>
      </c>
      <c r="BC21" s="157">
        <v>2.3285881054548208E-2</v>
      </c>
      <c r="BD21" s="157">
        <v>4.1921486580172328E-2</v>
      </c>
      <c r="BE21" s="157">
        <v>4.4854674836502524E-2</v>
      </c>
      <c r="BF21" s="157">
        <v>2.0215566972694193E-2</v>
      </c>
      <c r="BG21" s="157">
        <v>3.1E-2</v>
      </c>
      <c r="BH21" s="154">
        <f>-BH20/DRE!BH$8</f>
        <v>2.4035591923452122E-2</v>
      </c>
      <c r="BI21" s="154">
        <f>-BI20/DRE!BI$8</f>
        <v>3.858355143151717E-2</v>
      </c>
      <c r="BJ21" s="154">
        <f>-BJ20/DRE!BJ$8</f>
        <v>5.0957517560562306E-2</v>
      </c>
      <c r="BK21" s="157"/>
      <c r="BL21" s="156">
        <v>7.58824011137499E-2</v>
      </c>
      <c r="BM21" s="156">
        <v>7.8602123536574392E-2</v>
      </c>
      <c r="BN21" s="156">
        <v>6.2698938132744006E-2</v>
      </c>
      <c r="BO21" s="156">
        <v>3.861712752327822E-2</v>
      </c>
      <c r="BP21" s="156">
        <v>4.1213634622411663E-2</v>
      </c>
      <c r="BQ21" s="156">
        <v>4.5797396239831499E-2</v>
      </c>
      <c r="BR21" s="156">
        <v>4.4315355839915166E-2</v>
      </c>
      <c r="BS21" s="156">
        <v>3.3554354873568185E-2</v>
      </c>
      <c r="BT21" s="156">
        <v>3.5917057088322053E-2</v>
      </c>
      <c r="BU21" s="156">
        <v>2.4580737490680675E-2</v>
      </c>
      <c r="BV21" s="156">
        <v>5.1325674904617258E-2</v>
      </c>
      <c r="BW21" s="156">
        <v>1.774536996637522E-2</v>
      </c>
      <c r="BX21" s="156">
        <v>2.1818870872055265E-2</v>
      </c>
      <c r="BY21" s="156">
        <v>3.3000000000000002E-2</v>
      </c>
      <c r="BZ21" s="164">
        <f>-BZ20/DRE!$BZ$8</f>
        <v>3.8496439582739496E-2</v>
      </c>
    </row>
    <row r="22" spans="2:78" ht="12.75" customHeight="1">
      <c r="B22" s="107" t="s">
        <v>2</v>
      </c>
      <c r="C22" s="193" t="s">
        <v>180</v>
      </c>
      <c r="D22" s="112">
        <v>-2916</v>
      </c>
      <c r="E22" s="112">
        <v>-3427</v>
      </c>
      <c r="F22" s="112">
        <v>-2020</v>
      </c>
      <c r="G22" s="112">
        <v>-2720</v>
      </c>
      <c r="H22" s="112">
        <v>-939</v>
      </c>
      <c r="I22" s="112">
        <v>-316</v>
      </c>
      <c r="J22" s="112">
        <v>-5180</v>
      </c>
      <c r="K22" s="112">
        <v>-3435</v>
      </c>
      <c r="L22" s="112">
        <v>-491</v>
      </c>
      <c r="M22" s="112">
        <v>-3615</v>
      </c>
      <c r="N22" s="112">
        <v>-1600</v>
      </c>
      <c r="O22" s="112">
        <v>-2124</v>
      </c>
      <c r="P22" s="112">
        <v>-1733</v>
      </c>
      <c r="Q22" s="112">
        <v>-2141</v>
      </c>
      <c r="R22" s="112">
        <v>592</v>
      </c>
      <c r="S22" s="112">
        <v>-2151</v>
      </c>
      <c r="T22" s="112">
        <v>-353</v>
      </c>
      <c r="U22" s="112">
        <v>-1784</v>
      </c>
      <c r="V22" s="112">
        <v>-6297</v>
      </c>
      <c r="W22" s="112">
        <v>406</v>
      </c>
      <c r="X22" s="112">
        <v>-3797</v>
      </c>
      <c r="Y22" s="112">
        <v>461</v>
      </c>
      <c r="Z22" s="112">
        <v>-6312</v>
      </c>
      <c r="AA22" s="112">
        <v>471</v>
      </c>
      <c r="AB22" s="112">
        <v>2599</v>
      </c>
      <c r="AC22" s="112">
        <v>2984</v>
      </c>
      <c r="AD22" s="112">
        <v>1809</v>
      </c>
      <c r="AE22" s="112">
        <v>2618</v>
      </c>
      <c r="AF22" s="112">
        <v>1947</v>
      </c>
      <c r="AG22" s="112">
        <v>-269</v>
      </c>
      <c r="AH22" s="112">
        <v>1806</v>
      </c>
      <c r="AI22" s="112">
        <v>-1280</v>
      </c>
      <c r="AJ22" s="112">
        <v>2</v>
      </c>
      <c r="AK22" s="112">
        <v>-1906</v>
      </c>
      <c r="AL22" s="112">
        <v>-1612</v>
      </c>
      <c r="AM22" s="112">
        <v>-2214</v>
      </c>
      <c r="AN22" s="112">
        <v>-1224</v>
      </c>
      <c r="AO22" s="112">
        <v>-482</v>
      </c>
      <c r="AP22" s="112">
        <v>-1796</v>
      </c>
      <c r="AQ22" s="112">
        <v>-1399</v>
      </c>
      <c r="AR22" s="112">
        <v>2757</v>
      </c>
      <c r="AS22" s="112">
        <v>6501</v>
      </c>
      <c r="AT22" s="112">
        <v>-561</v>
      </c>
      <c r="AU22" s="112">
        <v>41</v>
      </c>
      <c r="AV22" s="112">
        <v>-218</v>
      </c>
      <c r="AW22" s="112">
        <v>-519</v>
      </c>
      <c r="AX22" s="112">
        <v>4119</v>
      </c>
      <c r="AY22" s="112">
        <v>-1294</v>
      </c>
      <c r="AZ22" s="112">
        <v>-5329</v>
      </c>
      <c r="BA22" s="112">
        <v>137</v>
      </c>
      <c r="BB22" s="112">
        <v>5037</v>
      </c>
      <c r="BC22" s="112">
        <v>1739</v>
      </c>
      <c r="BD22" s="112">
        <v>2079</v>
      </c>
      <c r="BE22" s="112">
        <v>-383</v>
      </c>
      <c r="BF22" s="112">
        <v>2977</v>
      </c>
      <c r="BG22" s="112">
        <f>+BG18+BG20</f>
        <v>-734</v>
      </c>
      <c r="BH22" s="112">
        <f>+BH18+BH20</f>
        <v>-544</v>
      </c>
      <c r="BI22" s="112">
        <f>+BI18+BI20</f>
        <v>1258</v>
      </c>
      <c r="BJ22" s="112">
        <f>+BJ18+BJ20</f>
        <v>-233</v>
      </c>
      <c r="BK22" s="112">
        <f>+BK18+BK20</f>
        <v>0</v>
      </c>
      <c r="BL22" s="112">
        <v>-11083</v>
      </c>
      <c r="BM22" s="112">
        <v>-9870</v>
      </c>
      <c r="BN22" s="112">
        <v>-7830</v>
      </c>
      <c r="BO22" s="112">
        <v>-5433</v>
      </c>
      <c r="BP22" s="112">
        <v>-8028</v>
      </c>
      <c r="BQ22" s="112">
        <v>-9177</v>
      </c>
      <c r="BR22" s="112">
        <v>10010</v>
      </c>
      <c r="BS22" s="112">
        <v>2204</v>
      </c>
      <c r="BT22" s="112">
        <v>-5730</v>
      </c>
      <c r="BU22" s="112">
        <v>-4901</v>
      </c>
      <c r="BV22" s="112">
        <v>8738</v>
      </c>
      <c r="BW22" s="112">
        <v>2088</v>
      </c>
      <c r="BX22" s="112">
        <v>1584</v>
      </c>
      <c r="BY22" s="112">
        <f>+BY18+BY20</f>
        <v>3939</v>
      </c>
      <c r="BZ22" s="112">
        <f>+BZ18+BZ20</f>
        <v>481</v>
      </c>
    </row>
    <row r="23" spans="2:78" ht="15.75" thickBot="1">
      <c r="B23" s="117"/>
      <c r="C23" s="220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</row>
    <row r="24" spans="2:78"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</row>
    <row r="25" spans="2:78"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</row>
  </sheetData>
  <mergeCells count="34">
    <mergeCell ref="BM4:BM5"/>
    <mergeCell ref="B4:B5"/>
    <mergeCell ref="C4:C5"/>
    <mergeCell ref="B16:B17"/>
    <mergeCell ref="C16:C17"/>
    <mergeCell ref="BL4:BL5"/>
    <mergeCell ref="BY4:BY5"/>
    <mergeCell ref="BN4:BN5"/>
    <mergeCell ref="BO4:BO5"/>
    <mergeCell ref="BP4:BP5"/>
    <mergeCell ref="BQ4:BQ5"/>
    <mergeCell ref="BR4:BR5"/>
    <mergeCell ref="BS4:BS5"/>
    <mergeCell ref="BZ16:BZ17"/>
    <mergeCell ref="BZ4:BZ5"/>
    <mergeCell ref="BL16:BL17"/>
    <mergeCell ref="BM16:BM17"/>
    <mergeCell ref="BN16:BN17"/>
    <mergeCell ref="BO16:BO17"/>
    <mergeCell ref="BP16:BP17"/>
    <mergeCell ref="BQ16:BQ17"/>
    <mergeCell ref="BR16:BR17"/>
    <mergeCell ref="BS16:BS17"/>
    <mergeCell ref="BT16:BT17"/>
    <mergeCell ref="BT4:BT5"/>
    <mergeCell ref="BU4:BU5"/>
    <mergeCell ref="BV4:BV5"/>
    <mergeCell ref="BW4:BW5"/>
    <mergeCell ref="BX4:BX5"/>
    <mergeCell ref="BU16:BU17"/>
    <mergeCell ref="BV16:BV17"/>
    <mergeCell ref="BW16:BW17"/>
    <mergeCell ref="BX16:BX17"/>
    <mergeCell ref="BY16:BY17"/>
  </mergeCells>
  <pageMargins left="0.51181102362204722" right="0.51181102362204722" top="0.78740157480314965" bottom="0.78740157480314965" header="0.31496062992125984" footer="0.31496062992125984"/>
  <pageSetup paperSize="9" scale="66" orientation="landscape" r:id="rId1"/>
  <headerFooter>
    <oddHeader>&amp;A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theme="3" tint="-0.249977111117893"/>
    <pageSetUpPr fitToPage="1"/>
  </sheetPr>
  <dimension ref="A1:BZ13"/>
  <sheetViews>
    <sheetView showGridLines="0" zoomScaleNormal="100" workbookViewId="0">
      <pane xSplit="3" ySplit="5" topLeftCell="BS6" activePane="bottomRight" state="frozen"/>
      <selection activeCell="B20" sqref="B20"/>
      <selection pane="topRight" activeCell="B20" sqref="B20"/>
      <selection pane="bottomLeft" activeCell="B20" sqref="B20"/>
      <selection pane="bottomRight" activeCell="BZ4" sqref="BL4:BZ5"/>
    </sheetView>
  </sheetViews>
  <sheetFormatPr defaultColWidth="12.85546875" defaultRowHeight="15" outlineLevelCol="1"/>
  <cols>
    <col min="1" max="1" width="7.7109375" style="22" customWidth="1"/>
    <col min="2" max="2" width="36" style="22" customWidth="1"/>
    <col min="3" max="3" width="60.7109375" style="13" customWidth="1"/>
    <col min="4" max="4" width="7.7109375" style="13" customWidth="1" outlineLevel="1"/>
    <col min="5" max="7" width="8.42578125" style="13" customWidth="1" outlineLevel="1"/>
    <col min="8" max="8" width="7.85546875" style="13" customWidth="1" outlineLevel="1"/>
    <col min="9" max="12" width="8.42578125" style="13" customWidth="1" outlineLevel="1"/>
    <col min="13" max="13" width="7.85546875" style="13" customWidth="1" outlineLevel="1"/>
    <col min="14" max="15" width="8.42578125" style="13" customWidth="1" outlineLevel="1"/>
    <col min="16" max="21" width="8.42578125" style="53" customWidth="1" outlineLevel="1"/>
    <col min="22" max="22" width="8.42578125" style="13" customWidth="1" outlineLevel="1"/>
    <col min="23" max="24" width="9" style="13" customWidth="1" outlineLevel="1"/>
    <col min="25" max="25" width="7.85546875" style="13" customWidth="1" outlineLevel="1"/>
    <col min="26" max="27" width="8.42578125" style="13" customWidth="1" outlineLevel="1"/>
    <col min="28" max="30" width="7.85546875" style="13" customWidth="1" outlineLevel="1"/>
    <col min="31" max="31" width="9" style="13" customWidth="1" outlineLevel="1"/>
    <col min="32" max="34" width="7.85546875" style="13" customWidth="1" outlineLevel="1"/>
    <col min="35" max="37" width="9" style="13" customWidth="1" outlineLevel="1"/>
    <col min="38" max="43" width="8.42578125" style="13" customWidth="1" outlineLevel="1"/>
    <col min="44" max="46" width="9" style="13" customWidth="1" outlineLevel="1"/>
    <col min="47" max="47" width="8.42578125" style="13" customWidth="1" outlineLevel="1"/>
    <col min="48" max="48" width="8.42578125" style="13" customWidth="1" outlineLevel="1" collapsed="1"/>
    <col min="49" max="50" width="8.42578125" style="13" customWidth="1" outlineLevel="1"/>
    <col min="51" max="52" width="9.5703125" style="64" customWidth="1" outlineLevel="1"/>
    <col min="53" max="53" width="8.42578125" style="64" customWidth="1" outlineLevel="1"/>
    <col min="54" max="55" width="9.5703125" style="64" customWidth="1" outlineLevel="1"/>
    <col min="56" max="58" width="9" style="64" bestFit="1" customWidth="1"/>
    <col min="59" max="59" width="8.7109375" style="64" bestFit="1" customWidth="1"/>
    <col min="60" max="62" width="8.7109375" style="64" customWidth="1"/>
    <col min="63" max="63" width="8.7109375" style="64" hidden="1" customWidth="1"/>
    <col min="64" max="64" width="9" style="64" customWidth="1" outlineLevel="1"/>
    <col min="65" max="67" width="9" style="13" customWidth="1" outlineLevel="1"/>
    <col min="68" max="68" width="9.5703125" style="13" customWidth="1" outlineLevel="1"/>
    <col min="69" max="72" width="8.7109375" style="13" customWidth="1" outlineLevel="1"/>
    <col min="73" max="73" width="8.42578125" style="13" customWidth="1" outlineLevel="1"/>
    <col min="74" max="74" width="9.5703125" style="13" customWidth="1" outlineLevel="1"/>
    <col min="75" max="75" width="9.5703125" style="13" customWidth="1" outlineLevel="1" collapsed="1"/>
    <col min="76" max="76" width="9.5703125" style="13" customWidth="1" outlineLevel="1"/>
    <col min="77" max="78" width="9.5703125" style="13" bestFit="1" customWidth="1"/>
    <col min="79" max="16384" width="12.85546875" style="13"/>
  </cols>
  <sheetData>
    <row r="1" spans="1:78" customFormat="1" ht="15" customHeight="1">
      <c r="A1" s="22"/>
      <c r="B1" s="22"/>
      <c r="P1" s="52"/>
      <c r="Q1" s="52"/>
      <c r="R1" s="52"/>
      <c r="S1" s="52"/>
      <c r="T1" s="52"/>
      <c r="U1" s="5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</row>
    <row r="2" spans="1:78" customFormat="1" ht="15" customHeight="1" thickBot="1">
      <c r="A2" s="22"/>
      <c r="B2" s="224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1:78" customFormat="1" ht="8.25" customHeight="1">
      <c r="A3" s="28"/>
      <c r="B3" s="22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</row>
    <row r="4" spans="1:78" customFormat="1" ht="16.5" customHeight="1">
      <c r="A4" s="28"/>
      <c r="B4" s="240" t="s">
        <v>479</v>
      </c>
      <c r="C4" s="244" t="s">
        <v>235</v>
      </c>
      <c r="D4" s="99" t="s">
        <v>289</v>
      </c>
      <c r="E4" s="99" t="s">
        <v>290</v>
      </c>
      <c r="F4" s="99" t="s">
        <v>291</v>
      </c>
      <c r="G4" s="99" t="s">
        <v>293</v>
      </c>
      <c r="H4" s="99" t="s">
        <v>292</v>
      </c>
      <c r="I4" s="99" t="s">
        <v>294</v>
      </c>
      <c r="J4" s="99" t="s">
        <v>295</v>
      </c>
      <c r="K4" s="99" t="s">
        <v>296</v>
      </c>
      <c r="L4" s="99" t="s">
        <v>297</v>
      </c>
      <c r="M4" s="99" t="s">
        <v>298</v>
      </c>
      <c r="N4" s="99" t="s">
        <v>299</v>
      </c>
      <c r="O4" s="99" t="s">
        <v>300</v>
      </c>
      <c r="P4" s="99" t="s">
        <v>301</v>
      </c>
      <c r="Q4" s="99" t="s">
        <v>302</v>
      </c>
      <c r="R4" s="99" t="s">
        <v>303</v>
      </c>
      <c r="S4" s="99" t="s">
        <v>304</v>
      </c>
      <c r="T4" s="99" t="s">
        <v>305</v>
      </c>
      <c r="U4" s="99" t="s">
        <v>306</v>
      </c>
      <c r="V4" s="99" t="s">
        <v>307</v>
      </c>
      <c r="W4" s="99" t="s">
        <v>308</v>
      </c>
      <c r="X4" s="99" t="s">
        <v>309</v>
      </c>
      <c r="Y4" s="99" t="s">
        <v>310</v>
      </c>
      <c r="Z4" s="99" t="s">
        <v>311</v>
      </c>
      <c r="AA4" s="99" t="s">
        <v>312</v>
      </c>
      <c r="AB4" s="99" t="s">
        <v>313</v>
      </c>
      <c r="AC4" s="99" t="s">
        <v>314</v>
      </c>
      <c r="AD4" s="99" t="s">
        <v>315</v>
      </c>
      <c r="AE4" s="99" t="s">
        <v>316</v>
      </c>
      <c r="AF4" s="99" t="s">
        <v>317</v>
      </c>
      <c r="AG4" s="99" t="s">
        <v>318</v>
      </c>
      <c r="AH4" s="99" t="s">
        <v>319</v>
      </c>
      <c r="AI4" s="99" t="s">
        <v>320</v>
      </c>
      <c r="AJ4" s="99" t="s">
        <v>321</v>
      </c>
      <c r="AK4" s="99" t="s">
        <v>322</v>
      </c>
      <c r="AL4" s="99" t="s">
        <v>323</v>
      </c>
      <c r="AM4" s="99" t="s">
        <v>324</v>
      </c>
      <c r="AN4" s="99" t="s">
        <v>325</v>
      </c>
      <c r="AO4" s="99" t="s">
        <v>326</v>
      </c>
      <c r="AP4" s="99" t="s">
        <v>327</v>
      </c>
      <c r="AQ4" s="99" t="s">
        <v>328</v>
      </c>
      <c r="AR4" s="99" t="s">
        <v>329</v>
      </c>
      <c r="AS4" s="99" t="s">
        <v>330</v>
      </c>
      <c r="AT4" s="99" t="s">
        <v>331</v>
      </c>
      <c r="AU4" s="99" t="s">
        <v>332</v>
      </c>
      <c r="AV4" s="99" t="s">
        <v>333</v>
      </c>
      <c r="AW4" s="99" t="s">
        <v>334</v>
      </c>
      <c r="AX4" s="99" t="s">
        <v>335</v>
      </c>
      <c r="AY4" s="99" t="s">
        <v>336</v>
      </c>
      <c r="AZ4" s="99" t="s">
        <v>337</v>
      </c>
      <c r="BA4" s="99" t="s">
        <v>338</v>
      </c>
      <c r="BB4" s="99" t="s">
        <v>339</v>
      </c>
      <c r="BC4" s="99" t="s">
        <v>340</v>
      </c>
      <c r="BD4" s="99" t="s">
        <v>341</v>
      </c>
      <c r="BE4" s="99" t="s">
        <v>342</v>
      </c>
      <c r="BF4" s="99" t="s">
        <v>343</v>
      </c>
      <c r="BG4" s="99" t="s">
        <v>344</v>
      </c>
      <c r="BH4" s="99" t="s">
        <v>345</v>
      </c>
      <c r="BI4" s="99" t="s">
        <v>346</v>
      </c>
      <c r="BJ4" s="99" t="s">
        <v>347</v>
      </c>
      <c r="BK4" s="99" t="s">
        <v>348</v>
      </c>
      <c r="BL4" s="238">
        <v>2010</v>
      </c>
      <c r="BM4" s="238">
        <v>2011</v>
      </c>
      <c r="BN4" s="238">
        <v>2012</v>
      </c>
      <c r="BO4" s="238">
        <v>2013</v>
      </c>
      <c r="BP4" s="238">
        <v>2014</v>
      </c>
      <c r="BQ4" s="238">
        <v>2015</v>
      </c>
      <c r="BR4" s="238">
        <v>2016</v>
      </c>
      <c r="BS4" s="238">
        <v>2017</v>
      </c>
      <c r="BT4" s="238">
        <v>2018</v>
      </c>
      <c r="BU4" s="238">
        <v>2019</v>
      </c>
      <c r="BV4" s="238">
        <v>2020</v>
      </c>
      <c r="BW4" s="238">
        <v>2021</v>
      </c>
      <c r="BX4" s="238">
        <v>2022</v>
      </c>
      <c r="BY4" s="238">
        <v>2023</v>
      </c>
      <c r="BZ4" s="238">
        <v>2024</v>
      </c>
    </row>
    <row r="5" spans="1:78">
      <c r="A5" s="28"/>
      <c r="B5" s="265"/>
      <c r="C5" s="263"/>
      <c r="D5" s="99" t="s">
        <v>58</v>
      </c>
      <c r="E5" s="99" t="s">
        <v>57</v>
      </c>
      <c r="F5" s="99" t="s">
        <v>56</v>
      </c>
      <c r="G5" s="99" t="s">
        <v>47</v>
      </c>
      <c r="H5" s="99" t="s">
        <v>55</v>
      </c>
      <c r="I5" s="99" t="s">
        <v>54</v>
      </c>
      <c r="J5" s="99" t="s">
        <v>53</v>
      </c>
      <c r="K5" s="99" t="s">
        <v>52</v>
      </c>
      <c r="L5" s="99" t="s">
        <v>51</v>
      </c>
      <c r="M5" s="99" t="s">
        <v>50</v>
      </c>
      <c r="N5" s="99" t="s">
        <v>49</v>
      </c>
      <c r="O5" s="99" t="s">
        <v>48</v>
      </c>
      <c r="P5" s="99" t="s">
        <v>10</v>
      </c>
      <c r="Q5" s="99" t="s">
        <v>11</v>
      </c>
      <c r="R5" s="99" t="s">
        <v>12</v>
      </c>
      <c r="S5" s="99" t="s">
        <v>13</v>
      </c>
      <c r="T5" s="99" t="s">
        <v>14</v>
      </c>
      <c r="U5" s="99" t="s">
        <v>15</v>
      </c>
      <c r="V5" s="99" t="s">
        <v>16</v>
      </c>
      <c r="W5" s="99" t="s">
        <v>17</v>
      </c>
      <c r="X5" s="99" t="s">
        <v>18</v>
      </c>
      <c r="Y5" s="99" t="s">
        <v>19</v>
      </c>
      <c r="Z5" s="99" t="s">
        <v>20</v>
      </c>
      <c r="AA5" s="99" t="s">
        <v>21</v>
      </c>
      <c r="AB5" s="99" t="s">
        <v>22</v>
      </c>
      <c r="AC5" s="99" t="s">
        <v>23</v>
      </c>
      <c r="AD5" s="99" t="s">
        <v>24</v>
      </c>
      <c r="AE5" s="99" t="s">
        <v>25</v>
      </c>
      <c r="AF5" s="99" t="s">
        <v>26</v>
      </c>
      <c r="AG5" s="99" t="s">
        <v>27</v>
      </c>
      <c r="AH5" s="99" t="s">
        <v>28</v>
      </c>
      <c r="AI5" s="99" t="s">
        <v>29</v>
      </c>
      <c r="AJ5" s="99" t="s">
        <v>30</v>
      </c>
      <c r="AK5" s="99" t="s">
        <v>31</v>
      </c>
      <c r="AL5" s="99" t="s">
        <v>32</v>
      </c>
      <c r="AM5" s="99" t="s">
        <v>33</v>
      </c>
      <c r="AN5" s="99" t="s">
        <v>34</v>
      </c>
      <c r="AO5" s="99" t="s">
        <v>35</v>
      </c>
      <c r="AP5" s="99" t="s">
        <v>36</v>
      </c>
      <c r="AQ5" s="99" t="s">
        <v>37</v>
      </c>
      <c r="AR5" s="99" t="s">
        <v>3</v>
      </c>
      <c r="AS5" s="99" t="s">
        <v>38</v>
      </c>
      <c r="AT5" s="99" t="s">
        <v>39</v>
      </c>
      <c r="AU5" s="99" t="s">
        <v>8</v>
      </c>
      <c r="AV5" s="99" t="s">
        <v>9</v>
      </c>
      <c r="AW5" s="99" t="s">
        <v>40</v>
      </c>
      <c r="AX5" s="99" t="s">
        <v>41</v>
      </c>
      <c r="AY5" s="99" t="s">
        <v>42</v>
      </c>
      <c r="AZ5" s="99" t="s">
        <v>71</v>
      </c>
      <c r="BA5" s="99" t="s">
        <v>75</v>
      </c>
      <c r="BB5" s="99" t="s">
        <v>76</v>
      </c>
      <c r="BC5" s="99" t="s">
        <v>77</v>
      </c>
      <c r="BD5" s="99" t="s">
        <v>91</v>
      </c>
      <c r="BE5" s="99" t="s">
        <v>92</v>
      </c>
      <c r="BF5" s="99" t="s">
        <v>93</v>
      </c>
      <c r="BG5" s="99" t="s">
        <v>94</v>
      </c>
      <c r="BH5" s="99" t="s">
        <v>256</v>
      </c>
      <c r="BI5" s="99" t="s">
        <v>257</v>
      </c>
      <c r="BJ5" s="99" t="s">
        <v>258</v>
      </c>
      <c r="BK5" s="99" t="s">
        <v>259</v>
      </c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</row>
    <row r="6" spans="1:78" ht="12.75" customHeight="1">
      <c r="A6" s="26"/>
      <c r="B6" s="225" t="s">
        <v>480</v>
      </c>
      <c r="C6" s="132" t="s">
        <v>236</v>
      </c>
      <c r="D6" s="130">
        <v>-2192</v>
      </c>
      <c r="E6" s="130">
        <v>3654</v>
      </c>
      <c r="F6" s="130">
        <v>6577</v>
      </c>
      <c r="G6" s="130">
        <v>17365</v>
      </c>
      <c r="H6" s="130">
        <v>-3155</v>
      </c>
      <c r="I6" s="130">
        <v>6206</v>
      </c>
      <c r="J6" s="130">
        <v>8164</v>
      </c>
      <c r="K6" s="130">
        <v>17039</v>
      </c>
      <c r="L6" s="130">
        <v>3419</v>
      </c>
      <c r="M6" s="130">
        <v>561</v>
      </c>
      <c r="N6" s="130">
        <v>7255</v>
      </c>
      <c r="O6" s="130">
        <v>20046</v>
      </c>
      <c r="P6" s="130">
        <v>8600</v>
      </c>
      <c r="Q6" s="130">
        <v>8699</v>
      </c>
      <c r="R6" s="130">
        <v>19751</v>
      </c>
      <c r="S6" s="130">
        <v>25048</v>
      </c>
      <c r="T6" s="130">
        <v>23774</v>
      </c>
      <c r="U6" s="130">
        <v>25067</v>
      </c>
      <c r="V6" s="130">
        <v>34247</v>
      </c>
      <c r="W6" s="130">
        <v>49596</v>
      </c>
      <c r="X6" s="130">
        <v>-14281</v>
      </c>
      <c r="Y6" s="130">
        <v>648</v>
      </c>
      <c r="Z6" s="130">
        <v>6743</v>
      </c>
      <c r="AA6" s="130">
        <v>13127</v>
      </c>
      <c r="AB6" s="130">
        <v>-5728</v>
      </c>
      <c r="AC6" s="130">
        <v>-7522</v>
      </c>
      <c r="AD6" s="130">
        <v>2326</v>
      </c>
      <c r="AE6" s="130">
        <v>-11200</v>
      </c>
      <c r="AF6" s="130">
        <v>-5802</v>
      </c>
      <c r="AG6" s="130">
        <v>-5218</v>
      </c>
      <c r="AH6" s="130">
        <v>-3834</v>
      </c>
      <c r="AI6" s="130">
        <v>-19403</v>
      </c>
      <c r="AJ6" s="130">
        <v>-10604</v>
      </c>
      <c r="AK6" s="130">
        <v>-13983</v>
      </c>
      <c r="AL6" s="130">
        <v>4105</v>
      </c>
      <c r="AM6" s="130">
        <v>28748</v>
      </c>
      <c r="AN6" s="130">
        <v>4082</v>
      </c>
      <c r="AO6" s="130">
        <v>-3518</v>
      </c>
      <c r="AP6" s="130">
        <v>15899</v>
      </c>
      <c r="AQ6" s="130">
        <v>21109</v>
      </c>
      <c r="AR6" s="130">
        <v>8749</v>
      </c>
      <c r="AS6" s="130">
        <v>15198</v>
      </c>
      <c r="AT6" s="130">
        <v>22958</v>
      </c>
      <c r="AU6" s="130">
        <v>20745</v>
      </c>
      <c r="AV6" s="130">
        <v>17208</v>
      </c>
      <c r="AW6" s="130">
        <v>11823</v>
      </c>
      <c r="AX6" s="130">
        <v>41133</v>
      </c>
      <c r="AY6" s="130">
        <v>84471</v>
      </c>
      <c r="AZ6" s="130">
        <v>93640</v>
      </c>
      <c r="BA6" s="130">
        <v>60168</v>
      </c>
      <c r="BB6" s="130">
        <v>115648</v>
      </c>
      <c r="BC6" s="130">
        <v>113012</v>
      </c>
      <c r="BD6" s="130">
        <v>51241</v>
      </c>
      <c r="BE6" s="130">
        <v>33358</v>
      </c>
      <c r="BF6" s="130">
        <v>66591</v>
      </c>
      <c r="BG6" s="130">
        <v>94024</v>
      </c>
      <c r="BH6" s="130">
        <f>+DRE!BH29</f>
        <v>52156</v>
      </c>
      <c r="BI6" s="130">
        <f>+DRE!BI29</f>
        <v>37004</v>
      </c>
      <c r="BJ6" s="130">
        <f>+DRE!BJ29</f>
        <v>59641</v>
      </c>
      <c r="BK6" s="130"/>
      <c r="BL6" s="130">
        <v>25404</v>
      </c>
      <c r="BM6" s="130">
        <v>28254</v>
      </c>
      <c r="BN6" s="130">
        <v>31281</v>
      </c>
      <c r="BO6" s="130">
        <v>62098</v>
      </c>
      <c r="BP6" s="130">
        <v>132684</v>
      </c>
      <c r="BQ6" s="130">
        <v>6237</v>
      </c>
      <c r="BR6" s="130">
        <v>-22124</v>
      </c>
      <c r="BS6" s="130">
        <v>-34257</v>
      </c>
      <c r="BT6" s="130">
        <v>8266</v>
      </c>
      <c r="BU6" s="130">
        <v>37572</v>
      </c>
      <c r="BV6" s="130">
        <v>67650</v>
      </c>
      <c r="BW6" s="130">
        <v>154635</v>
      </c>
      <c r="BX6" s="130">
        <v>382468</v>
      </c>
      <c r="BY6" s="130">
        <f>+SUM(BD6:BG6)</f>
        <v>245214</v>
      </c>
      <c r="BZ6" s="130">
        <f>+SUM(BH6:BK6)</f>
        <v>148801</v>
      </c>
    </row>
    <row r="7" spans="1:78" ht="12.75" customHeight="1">
      <c r="A7" s="29"/>
      <c r="B7" s="210" t="s">
        <v>481</v>
      </c>
      <c r="C7" s="102" t="s">
        <v>237</v>
      </c>
      <c r="D7" s="130">
        <v>2511</v>
      </c>
      <c r="E7" s="130">
        <v>496</v>
      </c>
      <c r="F7" s="130">
        <v>2425</v>
      </c>
      <c r="G7" s="130">
        <v>-2941</v>
      </c>
      <c r="H7" s="130">
        <v>-298</v>
      </c>
      <c r="I7" s="130">
        <v>391</v>
      </c>
      <c r="J7" s="130">
        <v>1928</v>
      </c>
      <c r="K7" s="130">
        <v>-1082</v>
      </c>
      <c r="L7" s="130">
        <v>2915</v>
      </c>
      <c r="M7" s="130">
        <v>-531</v>
      </c>
      <c r="N7" s="130">
        <v>77</v>
      </c>
      <c r="O7" s="130">
        <v>558</v>
      </c>
      <c r="P7" s="130">
        <v>2077</v>
      </c>
      <c r="Q7" s="130">
        <v>5210</v>
      </c>
      <c r="R7" s="130">
        <v>12826</v>
      </c>
      <c r="S7" s="130">
        <v>-3525</v>
      </c>
      <c r="T7" s="130">
        <v>6596</v>
      </c>
      <c r="U7" s="130">
        <v>13711</v>
      </c>
      <c r="V7" s="130">
        <v>13322</v>
      </c>
      <c r="W7" s="130">
        <v>-30902</v>
      </c>
      <c r="X7" s="130">
        <v>-5954</v>
      </c>
      <c r="Y7" s="130">
        <v>-2353</v>
      </c>
      <c r="Z7" s="130">
        <v>3723</v>
      </c>
      <c r="AA7" s="130">
        <v>-7124</v>
      </c>
      <c r="AB7" s="130">
        <v>-3075</v>
      </c>
      <c r="AC7" s="130">
        <v>-2717</v>
      </c>
      <c r="AD7" s="130">
        <v>828</v>
      </c>
      <c r="AE7" s="130">
        <v>-11543</v>
      </c>
      <c r="AF7" s="130">
        <v>-1336</v>
      </c>
      <c r="AG7" s="130">
        <v>-2732</v>
      </c>
      <c r="AH7" s="130">
        <v>-1612</v>
      </c>
      <c r="AI7" s="130">
        <v>2737</v>
      </c>
      <c r="AJ7" s="130">
        <v>768</v>
      </c>
      <c r="AK7" s="130">
        <v>265</v>
      </c>
      <c r="AL7" s="130">
        <v>697</v>
      </c>
      <c r="AM7" s="130">
        <v>5269</v>
      </c>
      <c r="AN7" s="130">
        <v>3202</v>
      </c>
      <c r="AO7" s="130">
        <v>5541</v>
      </c>
      <c r="AP7" s="130">
        <v>349</v>
      </c>
      <c r="AQ7" s="130">
        <v>862</v>
      </c>
      <c r="AR7" s="130">
        <v>4222</v>
      </c>
      <c r="AS7" s="130">
        <v>7568</v>
      </c>
      <c r="AT7" s="130">
        <v>6918</v>
      </c>
      <c r="AU7" s="130">
        <v>2805</v>
      </c>
      <c r="AV7" s="130">
        <v>8570</v>
      </c>
      <c r="AW7" s="130">
        <v>2045</v>
      </c>
      <c r="AX7" s="130">
        <v>15756</v>
      </c>
      <c r="AY7" s="130">
        <v>25955</v>
      </c>
      <c r="AZ7" s="130">
        <v>40543</v>
      </c>
      <c r="BA7" s="130">
        <v>26826</v>
      </c>
      <c r="BB7" s="130">
        <v>37711</v>
      </c>
      <c r="BC7" s="130">
        <v>32184</v>
      </c>
      <c r="BD7" s="130">
        <v>20536</v>
      </c>
      <c r="BE7" s="130">
        <v>11276</v>
      </c>
      <c r="BF7" s="130">
        <v>15620</v>
      </c>
      <c r="BG7" s="130">
        <f>-DRE!BG22</f>
        <v>13070</v>
      </c>
      <c r="BH7" s="130">
        <f>-DRE!BH22</f>
        <v>27866</v>
      </c>
      <c r="BI7" s="130">
        <f>-DRE!BI22</f>
        <v>17626</v>
      </c>
      <c r="BJ7" s="130">
        <f>-DRE!BJ22</f>
        <v>23220</v>
      </c>
      <c r="BK7" s="130"/>
      <c r="BL7" s="130">
        <v>2491</v>
      </c>
      <c r="BM7" s="130">
        <v>939</v>
      </c>
      <c r="BN7" s="130">
        <v>3019</v>
      </c>
      <c r="BO7" s="130">
        <v>16588</v>
      </c>
      <c r="BP7" s="130">
        <v>2727</v>
      </c>
      <c r="BQ7" s="130">
        <v>-11708</v>
      </c>
      <c r="BR7" s="130">
        <v>-16507</v>
      </c>
      <c r="BS7" s="130">
        <v>-2943</v>
      </c>
      <c r="BT7" s="130">
        <v>6999</v>
      </c>
      <c r="BU7" s="130">
        <v>9954</v>
      </c>
      <c r="BV7" s="130">
        <v>21513</v>
      </c>
      <c r="BW7" s="130">
        <v>52326</v>
      </c>
      <c r="BX7" s="130">
        <v>137264</v>
      </c>
      <c r="BY7" s="130">
        <f>+SUM(BD7:BG7)</f>
        <v>60502</v>
      </c>
      <c r="BZ7" s="130">
        <f>+SUM(BH7:BK7)</f>
        <v>68712</v>
      </c>
    </row>
    <row r="8" spans="1:78" ht="12.75" customHeight="1">
      <c r="A8" s="23"/>
      <c r="B8" s="210" t="s">
        <v>482</v>
      </c>
      <c r="C8" s="102" t="s">
        <v>238</v>
      </c>
      <c r="D8" s="130">
        <v>-3988</v>
      </c>
      <c r="E8" s="130">
        <v>-3562</v>
      </c>
      <c r="F8" s="130">
        <v>-4046</v>
      </c>
      <c r="G8" s="130">
        <v>-5119</v>
      </c>
      <c r="H8" s="130">
        <v>-4051</v>
      </c>
      <c r="I8" s="130">
        <v>-4827</v>
      </c>
      <c r="J8" s="130">
        <v>-6809</v>
      </c>
      <c r="K8" s="130">
        <v>-7623</v>
      </c>
      <c r="L8" s="130">
        <v>-7547</v>
      </c>
      <c r="M8" s="130">
        <v>-4628</v>
      </c>
      <c r="N8" s="130">
        <v>-3634</v>
      </c>
      <c r="O8" s="130">
        <v>-2973</v>
      </c>
      <c r="P8" s="130">
        <v>-2868</v>
      </c>
      <c r="Q8" s="130">
        <v>-4101</v>
      </c>
      <c r="R8" s="130">
        <v>-6360</v>
      </c>
      <c r="S8" s="130">
        <v>-4206</v>
      </c>
      <c r="T8" s="130">
        <v>-7454</v>
      </c>
      <c r="U8" s="130">
        <v>-4789</v>
      </c>
      <c r="V8" s="130">
        <v>-7410</v>
      </c>
      <c r="W8" s="130">
        <v>-9652</v>
      </c>
      <c r="X8" s="130">
        <v>-7073</v>
      </c>
      <c r="Y8" s="130">
        <v>-4521</v>
      </c>
      <c r="Z8" s="130">
        <v>-6342</v>
      </c>
      <c r="AA8" s="130">
        <v>-5219</v>
      </c>
      <c r="AB8" s="130">
        <v>-8750</v>
      </c>
      <c r="AC8" s="130">
        <v>-7842</v>
      </c>
      <c r="AD8" s="130">
        <v>-5941</v>
      </c>
      <c r="AE8" s="130">
        <v>-8540</v>
      </c>
      <c r="AF8" s="130">
        <v>-6816</v>
      </c>
      <c r="AG8" s="130">
        <v>-4088</v>
      </c>
      <c r="AH8" s="130">
        <v>-6998</v>
      </c>
      <c r="AI8" s="130">
        <v>-3709</v>
      </c>
      <c r="AJ8" s="130">
        <v>-3413</v>
      </c>
      <c r="AK8" s="130">
        <v>-5312</v>
      </c>
      <c r="AL8" s="130">
        <v>-3645</v>
      </c>
      <c r="AM8" s="130">
        <v>-2599</v>
      </c>
      <c r="AN8" s="130">
        <v>-3246</v>
      </c>
      <c r="AO8" s="130">
        <v>-1116</v>
      </c>
      <c r="AP8" s="130">
        <v>-1898</v>
      </c>
      <c r="AQ8" s="130">
        <v>-3181</v>
      </c>
      <c r="AR8" s="130">
        <v>-10492</v>
      </c>
      <c r="AS8" s="130">
        <v>-15578</v>
      </c>
      <c r="AT8" s="130">
        <v>-11816</v>
      </c>
      <c r="AU8" s="130">
        <v>-5304</v>
      </c>
      <c r="AV8" s="130">
        <v>-6540</v>
      </c>
      <c r="AW8" s="130">
        <v>-4339</v>
      </c>
      <c r="AX8" s="130">
        <v>-8188</v>
      </c>
      <c r="AY8" s="130">
        <v>-4780</v>
      </c>
      <c r="AZ8" s="130">
        <v>-5043</v>
      </c>
      <c r="BA8" s="130">
        <v>-6857</v>
      </c>
      <c r="BB8" s="130">
        <v>-15866</v>
      </c>
      <c r="BC8" s="130">
        <v>-13428</v>
      </c>
      <c r="BD8" s="130">
        <v>-15624</v>
      </c>
      <c r="BE8" s="130">
        <v>-12230</v>
      </c>
      <c r="BF8" s="130">
        <v>-11177</v>
      </c>
      <c r="BG8" s="130">
        <f>-DRE!BG18</f>
        <v>-14622</v>
      </c>
      <c r="BH8" s="130">
        <f>-DRE!BH18</f>
        <v>-8597</v>
      </c>
      <c r="BI8" s="130">
        <f>-DRE!BI18</f>
        <v>-13907</v>
      </c>
      <c r="BJ8" s="130">
        <f>-DRE!BJ18</f>
        <v>-22140</v>
      </c>
      <c r="BK8" s="130"/>
      <c r="BL8" s="130">
        <v>-16715</v>
      </c>
      <c r="BM8" s="130">
        <v>-23310</v>
      </c>
      <c r="BN8" s="130">
        <v>-18782</v>
      </c>
      <c r="BO8" s="130">
        <v>-17535</v>
      </c>
      <c r="BP8" s="130">
        <v>-29305</v>
      </c>
      <c r="BQ8" s="130">
        <v>-23155</v>
      </c>
      <c r="BR8" s="130">
        <v>-31073</v>
      </c>
      <c r="BS8" s="130">
        <v>-21611</v>
      </c>
      <c r="BT8" s="130">
        <v>-14969</v>
      </c>
      <c r="BU8" s="130">
        <v>-9441</v>
      </c>
      <c r="BV8" s="130">
        <v>-43190</v>
      </c>
      <c r="BW8" s="130">
        <v>-23847</v>
      </c>
      <c r="BX8" s="130">
        <v>-41194</v>
      </c>
      <c r="BY8" s="130">
        <f t="shared" ref="BY8:BY10" si="0">+SUM(BD8:BG8)</f>
        <v>-53653</v>
      </c>
      <c r="BZ8" s="130">
        <f>+SUM(BH8:BK8)</f>
        <v>-44644</v>
      </c>
    </row>
    <row r="9" spans="1:78" ht="12.75" customHeight="1">
      <c r="B9" s="210" t="s">
        <v>483</v>
      </c>
      <c r="C9" s="102" t="s">
        <v>239</v>
      </c>
      <c r="D9" s="130">
        <v>6904</v>
      </c>
      <c r="E9" s="130">
        <v>6989</v>
      </c>
      <c r="F9" s="130">
        <v>6066</v>
      </c>
      <c r="G9" s="130">
        <v>7839</v>
      </c>
      <c r="H9" s="130">
        <v>4990</v>
      </c>
      <c r="I9" s="130">
        <v>5143</v>
      </c>
      <c r="J9" s="130">
        <v>11989</v>
      </c>
      <c r="K9" s="130">
        <v>11058</v>
      </c>
      <c r="L9" s="130">
        <v>8038</v>
      </c>
      <c r="M9" s="130">
        <v>8243</v>
      </c>
      <c r="N9" s="130">
        <v>5234</v>
      </c>
      <c r="O9" s="130">
        <v>5097</v>
      </c>
      <c r="P9" s="130">
        <v>4601</v>
      </c>
      <c r="Q9" s="130">
        <v>6242</v>
      </c>
      <c r="R9" s="130">
        <v>5768</v>
      </c>
      <c r="S9" s="130">
        <v>6357</v>
      </c>
      <c r="T9" s="130">
        <v>7807</v>
      </c>
      <c r="U9" s="130">
        <v>6573</v>
      </c>
      <c r="V9" s="130">
        <v>13707</v>
      </c>
      <c r="W9" s="130">
        <v>9246</v>
      </c>
      <c r="X9" s="130">
        <v>10870</v>
      </c>
      <c r="Y9" s="130">
        <v>4060</v>
      </c>
      <c r="Z9" s="130">
        <v>12654</v>
      </c>
      <c r="AA9" s="130">
        <v>4748</v>
      </c>
      <c r="AB9" s="130">
        <v>6151</v>
      </c>
      <c r="AC9" s="130">
        <v>4858</v>
      </c>
      <c r="AD9" s="130">
        <v>4132</v>
      </c>
      <c r="AE9" s="130">
        <v>5922</v>
      </c>
      <c r="AF9" s="130">
        <v>4869</v>
      </c>
      <c r="AG9" s="130">
        <v>4347</v>
      </c>
      <c r="AH9" s="130">
        <v>5202</v>
      </c>
      <c r="AI9" s="130">
        <v>4989</v>
      </c>
      <c r="AJ9" s="130">
        <v>3411</v>
      </c>
      <c r="AK9" s="130">
        <v>7218</v>
      </c>
      <c r="AL9" s="130">
        <v>5257</v>
      </c>
      <c r="AM9" s="130">
        <v>4813</v>
      </c>
      <c r="AN9" s="130">
        <v>4470</v>
      </c>
      <c r="AO9" s="130">
        <v>1598</v>
      </c>
      <c r="AP9" s="130">
        <v>3694</v>
      </c>
      <c r="AQ9" s="130">
        <v>4580</v>
      </c>
      <c r="AR9" s="130">
        <v>7735</v>
      </c>
      <c r="AS9" s="130">
        <v>9077</v>
      </c>
      <c r="AT9" s="130">
        <v>12377</v>
      </c>
      <c r="AU9" s="130">
        <v>5263</v>
      </c>
      <c r="AV9" s="130">
        <v>6758</v>
      </c>
      <c r="AW9" s="130">
        <v>4858</v>
      </c>
      <c r="AX9" s="130">
        <v>4069</v>
      </c>
      <c r="AY9" s="130">
        <v>6074</v>
      </c>
      <c r="AZ9" s="130">
        <v>10372</v>
      </c>
      <c r="BA9" s="130">
        <v>6720</v>
      </c>
      <c r="BB9" s="130">
        <v>10829</v>
      </c>
      <c r="BC9" s="130">
        <v>11689</v>
      </c>
      <c r="BD9" s="130">
        <v>13545</v>
      </c>
      <c r="BE9" s="130">
        <v>12613</v>
      </c>
      <c r="BF9" s="130">
        <v>8200</v>
      </c>
      <c r="BG9" s="130">
        <f>-DRE!BG17</f>
        <v>15356</v>
      </c>
      <c r="BH9" s="130">
        <f>-DRE!BH17</f>
        <v>9141</v>
      </c>
      <c r="BI9" s="130">
        <f>-DRE!BI17</f>
        <v>12649</v>
      </c>
      <c r="BJ9" s="130">
        <f>-DRE!BJ17</f>
        <v>22373</v>
      </c>
      <c r="BK9" s="130"/>
      <c r="BL9" s="130">
        <v>27798</v>
      </c>
      <c r="BM9" s="130">
        <v>33180</v>
      </c>
      <c r="BN9" s="130">
        <v>26612</v>
      </c>
      <c r="BO9" s="130">
        <v>22968</v>
      </c>
      <c r="BP9" s="130">
        <v>37333</v>
      </c>
      <c r="BQ9" s="130">
        <v>32332</v>
      </c>
      <c r="BR9" s="130">
        <v>21063</v>
      </c>
      <c r="BS9" s="130">
        <v>19407</v>
      </c>
      <c r="BT9" s="130">
        <v>20699</v>
      </c>
      <c r="BU9" s="130">
        <v>14342</v>
      </c>
      <c r="BV9" s="130">
        <v>34452</v>
      </c>
      <c r="BW9" s="130">
        <v>21759</v>
      </c>
      <c r="BX9" s="130">
        <v>39610</v>
      </c>
      <c r="BY9" s="130">
        <f t="shared" si="0"/>
        <v>49714</v>
      </c>
      <c r="BZ9" s="130">
        <f>+SUM(BH9:BK9)</f>
        <v>44163</v>
      </c>
    </row>
    <row r="10" spans="1:78" ht="12.75" customHeight="1">
      <c r="B10" s="210" t="s">
        <v>484</v>
      </c>
      <c r="C10" s="102" t="s">
        <v>240</v>
      </c>
      <c r="D10" s="130">
        <v>4029</v>
      </c>
      <c r="E10" s="130">
        <v>3010</v>
      </c>
      <c r="F10" s="130">
        <v>3485</v>
      </c>
      <c r="G10" s="130">
        <v>3793</v>
      </c>
      <c r="H10" s="130">
        <v>3676</v>
      </c>
      <c r="I10" s="130">
        <v>3383</v>
      </c>
      <c r="J10" s="130">
        <v>3029</v>
      </c>
      <c r="K10" s="130">
        <v>3240</v>
      </c>
      <c r="L10" s="130">
        <v>3313</v>
      </c>
      <c r="M10" s="130">
        <v>3334</v>
      </c>
      <c r="N10" s="130">
        <v>3297</v>
      </c>
      <c r="O10" s="130">
        <v>4825</v>
      </c>
      <c r="P10" s="130">
        <v>3017</v>
      </c>
      <c r="Q10" s="130">
        <v>4748</v>
      </c>
      <c r="R10" s="130">
        <v>3744</v>
      </c>
      <c r="S10" s="130">
        <v>2670</v>
      </c>
      <c r="T10" s="130">
        <v>4049</v>
      </c>
      <c r="U10" s="130">
        <v>4107</v>
      </c>
      <c r="V10" s="130">
        <v>4491</v>
      </c>
      <c r="W10" s="130">
        <v>4883</v>
      </c>
      <c r="X10" s="130">
        <v>5481</v>
      </c>
      <c r="Y10" s="130">
        <v>5616</v>
      </c>
      <c r="Z10" s="130">
        <v>5715</v>
      </c>
      <c r="AA10" s="130">
        <v>8305</v>
      </c>
      <c r="AB10" s="130">
        <v>6595</v>
      </c>
      <c r="AC10" s="130">
        <v>5762</v>
      </c>
      <c r="AD10" s="130">
        <v>6429</v>
      </c>
      <c r="AE10" s="130">
        <v>6526</v>
      </c>
      <c r="AF10" s="130">
        <v>6514</v>
      </c>
      <c r="AG10" s="130">
        <v>6595</v>
      </c>
      <c r="AH10" s="130">
        <v>6751</v>
      </c>
      <c r="AI10" s="130">
        <v>6795</v>
      </c>
      <c r="AJ10" s="130">
        <v>6772</v>
      </c>
      <c r="AK10" s="130">
        <v>6882</v>
      </c>
      <c r="AL10" s="130">
        <v>6813</v>
      </c>
      <c r="AM10" s="130">
        <v>6956</v>
      </c>
      <c r="AN10" s="130">
        <v>6790</v>
      </c>
      <c r="AO10" s="130">
        <v>9193</v>
      </c>
      <c r="AP10" s="130">
        <v>7338</v>
      </c>
      <c r="AQ10" s="130">
        <v>7567</v>
      </c>
      <c r="AR10" s="130">
        <v>7272</v>
      </c>
      <c r="AS10" s="130">
        <v>7127</v>
      </c>
      <c r="AT10" s="130">
        <v>6976</v>
      </c>
      <c r="AU10" s="130">
        <v>6954</v>
      </c>
      <c r="AV10" s="130">
        <v>6897</v>
      </c>
      <c r="AW10" s="130">
        <v>6964</v>
      </c>
      <c r="AX10" s="130">
        <v>7103</v>
      </c>
      <c r="AY10" s="130">
        <v>7333</v>
      </c>
      <c r="AZ10" s="130">
        <v>7289</v>
      </c>
      <c r="BA10" s="130">
        <v>7483</v>
      </c>
      <c r="BB10" s="130">
        <v>7521</v>
      </c>
      <c r="BC10" s="130">
        <v>7817</v>
      </c>
      <c r="BD10" s="130">
        <v>7727</v>
      </c>
      <c r="BE10" s="130">
        <v>8738</v>
      </c>
      <c r="BF10" s="130">
        <v>9073</v>
      </c>
      <c r="BG10" s="130">
        <v>9411</v>
      </c>
      <c r="BH10" s="130">
        <f>'DFC '!BH11</f>
        <v>9858</v>
      </c>
      <c r="BI10" s="130">
        <f>'DFC '!BI11-SUM($BH$10:BH$10)</f>
        <v>9898</v>
      </c>
      <c r="BJ10" s="130">
        <f>'DFC '!BJ11-SUM($BH$10:BI$10)</f>
        <v>9823</v>
      </c>
      <c r="BK10" s="130"/>
      <c r="BL10" s="130">
        <v>14317</v>
      </c>
      <c r="BM10" s="130">
        <v>13328</v>
      </c>
      <c r="BN10" s="130">
        <v>14769</v>
      </c>
      <c r="BO10" s="130">
        <v>14179</v>
      </c>
      <c r="BP10" s="130">
        <v>17530</v>
      </c>
      <c r="BQ10" s="130">
        <v>25117</v>
      </c>
      <c r="BR10" s="130">
        <v>25312</v>
      </c>
      <c r="BS10" s="130">
        <v>26655</v>
      </c>
      <c r="BT10" s="130">
        <v>27423</v>
      </c>
      <c r="BU10" s="130">
        <v>30888</v>
      </c>
      <c r="BV10" s="130">
        <v>28329</v>
      </c>
      <c r="BW10" s="130">
        <v>28296</v>
      </c>
      <c r="BX10" s="130">
        <v>30110</v>
      </c>
      <c r="BY10" s="130">
        <f t="shared" si="0"/>
        <v>34949</v>
      </c>
      <c r="BZ10" s="130">
        <f>+SUM(BH10:BK10)</f>
        <v>29579</v>
      </c>
    </row>
    <row r="11" spans="1:78">
      <c r="B11" s="177" t="s">
        <v>103</v>
      </c>
      <c r="C11" s="107" t="s">
        <v>241</v>
      </c>
      <c r="D11" s="112">
        <v>7264</v>
      </c>
      <c r="E11" s="112">
        <v>10587</v>
      </c>
      <c r="F11" s="112">
        <v>14507</v>
      </c>
      <c r="G11" s="112">
        <v>20937</v>
      </c>
      <c r="H11" s="112">
        <v>1162</v>
      </c>
      <c r="I11" s="112">
        <v>10296</v>
      </c>
      <c r="J11" s="112">
        <v>18301</v>
      </c>
      <c r="K11" s="112">
        <v>22632</v>
      </c>
      <c r="L11" s="112">
        <v>10138</v>
      </c>
      <c r="M11" s="112">
        <v>6979</v>
      </c>
      <c r="N11" s="112">
        <v>12229</v>
      </c>
      <c r="O11" s="112">
        <v>27553</v>
      </c>
      <c r="P11" s="112">
        <v>15427</v>
      </c>
      <c r="Q11" s="112">
        <v>20798</v>
      </c>
      <c r="R11" s="112">
        <v>35729</v>
      </c>
      <c r="S11" s="112">
        <v>26344</v>
      </c>
      <c r="T11" s="112">
        <v>34772</v>
      </c>
      <c r="U11" s="112">
        <v>44669</v>
      </c>
      <c r="V11" s="112">
        <v>58357</v>
      </c>
      <c r="W11" s="112">
        <v>23171</v>
      </c>
      <c r="X11" s="112">
        <v>-10957</v>
      </c>
      <c r="Y11" s="112">
        <v>3450</v>
      </c>
      <c r="Z11" s="112">
        <v>22493</v>
      </c>
      <c r="AA11" s="112">
        <v>13837</v>
      </c>
      <c r="AB11" s="112">
        <v>-4807</v>
      </c>
      <c r="AC11" s="112">
        <v>-7461</v>
      </c>
      <c r="AD11" s="112">
        <v>7774</v>
      </c>
      <c r="AE11" s="112">
        <v>-18835</v>
      </c>
      <c r="AF11" s="112">
        <v>-2571</v>
      </c>
      <c r="AG11" s="112">
        <v>-1096</v>
      </c>
      <c r="AH11" s="112">
        <v>-491</v>
      </c>
      <c r="AI11" s="112">
        <v>-8591</v>
      </c>
      <c r="AJ11" s="112">
        <v>-3066</v>
      </c>
      <c r="AK11" s="112">
        <v>-4930</v>
      </c>
      <c r="AL11" s="112">
        <v>13227</v>
      </c>
      <c r="AM11" s="112">
        <v>43187</v>
      </c>
      <c r="AN11" s="112">
        <v>15298</v>
      </c>
      <c r="AO11" s="112">
        <v>11698</v>
      </c>
      <c r="AP11" s="112">
        <v>25382</v>
      </c>
      <c r="AQ11" s="112">
        <v>30937</v>
      </c>
      <c r="AR11" s="112">
        <v>17486</v>
      </c>
      <c r="AS11" s="112">
        <v>23392</v>
      </c>
      <c r="AT11" s="112">
        <v>37413</v>
      </c>
      <c r="AU11" s="112">
        <v>30463</v>
      </c>
      <c r="AV11" s="112">
        <v>32893</v>
      </c>
      <c r="AW11" s="112">
        <v>21351</v>
      </c>
      <c r="AX11" s="112">
        <v>59873</v>
      </c>
      <c r="AY11" s="112">
        <v>119053</v>
      </c>
      <c r="AZ11" s="112">
        <v>146801</v>
      </c>
      <c r="BA11" s="112">
        <v>94340</v>
      </c>
      <c r="BB11" s="112">
        <v>155843</v>
      </c>
      <c r="BC11" s="112">
        <v>151274</v>
      </c>
      <c r="BD11" s="112">
        <v>77425</v>
      </c>
      <c r="BE11" s="112">
        <v>53755</v>
      </c>
      <c r="BF11" s="112">
        <v>88307</v>
      </c>
      <c r="BG11" s="112">
        <f>SUM(BG6:BG10)</f>
        <v>117239</v>
      </c>
      <c r="BH11" s="112">
        <f t="shared" ref="BH11:BK11" si="1">SUM(BH6:BH10)</f>
        <v>90424</v>
      </c>
      <c r="BI11" s="112">
        <f t="shared" si="1"/>
        <v>63270</v>
      </c>
      <c r="BJ11" s="112">
        <f t="shared" si="1"/>
        <v>92917</v>
      </c>
      <c r="BK11" s="112">
        <f t="shared" si="1"/>
        <v>0</v>
      </c>
      <c r="BL11" s="112">
        <v>53295</v>
      </c>
      <c r="BM11" s="112">
        <v>52391</v>
      </c>
      <c r="BN11" s="112">
        <v>56899</v>
      </c>
      <c r="BO11" s="112">
        <v>98298</v>
      </c>
      <c r="BP11" s="112">
        <v>160969</v>
      </c>
      <c r="BQ11" s="112">
        <v>28823</v>
      </c>
      <c r="BR11" s="112">
        <v>-23329</v>
      </c>
      <c r="BS11" s="112">
        <v>-12749</v>
      </c>
      <c r="BT11" s="112">
        <v>48418</v>
      </c>
      <c r="BU11" s="112">
        <v>83315</v>
      </c>
      <c r="BV11" s="112">
        <v>108754</v>
      </c>
      <c r="BW11" s="112">
        <v>233169</v>
      </c>
      <c r="BX11" s="112">
        <v>548258</v>
      </c>
      <c r="BY11" s="112">
        <f>+SUM(BY6:BY10)</f>
        <v>336726</v>
      </c>
      <c r="BZ11" s="112">
        <f>+SUM(BZ6:BZ10)</f>
        <v>246611</v>
      </c>
    </row>
    <row r="12" spans="1:78" ht="15" customHeight="1" thickBot="1">
      <c r="B12" s="211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</row>
    <row r="13" spans="1:78"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</sheetData>
  <mergeCells count="17">
    <mergeCell ref="BU4:BU5"/>
    <mergeCell ref="B4:B5"/>
    <mergeCell ref="C4:C5"/>
    <mergeCell ref="BL4:BL5"/>
    <mergeCell ref="BM4:BM5"/>
    <mergeCell ref="BN4:BN5"/>
    <mergeCell ref="BO4:BO5"/>
    <mergeCell ref="BP4:BP5"/>
    <mergeCell ref="BQ4:BQ5"/>
    <mergeCell ref="BR4:BR5"/>
    <mergeCell ref="BS4:BS5"/>
    <mergeCell ref="BT4:BT5"/>
    <mergeCell ref="BV4:BV5"/>
    <mergeCell ref="BW4:BW5"/>
    <mergeCell ref="BX4:BX5"/>
    <mergeCell ref="BY4:BY5"/>
    <mergeCell ref="BZ4:BZ5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Header>&amp;A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theme="3" tint="-0.249977111117893"/>
    <pageSetUpPr fitToPage="1"/>
  </sheetPr>
  <dimension ref="A1:CE47"/>
  <sheetViews>
    <sheetView showGridLines="0" zoomScaleNormal="100" workbookViewId="0">
      <pane xSplit="3" ySplit="5" topLeftCell="BN6" activePane="bottomRight" state="frozen"/>
      <selection activeCell="B20" sqref="B20"/>
      <selection pane="topRight" activeCell="B20" sqref="B20"/>
      <selection pane="bottomLeft" activeCell="B20" sqref="B20"/>
      <selection pane="bottomRight" activeCell="BZ27" sqref="BZ27:BZ29"/>
    </sheetView>
  </sheetViews>
  <sheetFormatPr defaultColWidth="9.140625" defaultRowHeight="15" outlineLevelRow="1" outlineLevelCol="1"/>
  <cols>
    <col min="1" max="1" width="7.7109375" style="14" customWidth="1"/>
    <col min="2" max="2" width="39.7109375" style="14" bestFit="1" customWidth="1"/>
    <col min="3" max="3" width="50.140625" style="17" bestFit="1" customWidth="1"/>
    <col min="4" max="5" width="8.7109375" style="72" customWidth="1" outlineLevel="1"/>
    <col min="6" max="13" width="9.28515625" style="72" customWidth="1" outlineLevel="1"/>
    <col min="14" max="14" width="8.7109375" style="72" customWidth="1" outlineLevel="1"/>
    <col min="15" max="15" width="9.28515625" style="72" customWidth="1" outlineLevel="1"/>
    <col min="16" max="21" width="8.7109375" style="17" customWidth="1" outlineLevel="1"/>
    <col min="22" max="22" width="9.28515625" style="17" customWidth="1" outlineLevel="1"/>
    <col min="23" max="24" width="8.7109375" style="17" customWidth="1" outlineLevel="1"/>
    <col min="25" max="25" width="7.7109375" style="17" customWidth="1" outlineLevel="1"/>
    <col min="26" max="35" width="8.7109375" style="17" customWidth="1" outlineLevel="1"/>
    <col min="36" max="36" width="8.28515625" style="17" customWidth="1" outlineLevel="1"/>
    <col min="37" max="37" width="8.7109375" style="17" customWidth="1" outlineLevel="1"/>
    <col min="38" max="41" width="7.7109375" style="17" customWidth="1" outlineLevel="1"/>
    <col min="42" max="44" width="8.28515625" style="17" customWidth="1" outlineLevel="1"/>
    <col min="45" max="45" width="8.7109375" style="17" customWidth="1" outlineLevel="1"/>
    <col min="46" max="47" width="9.28515625" style="17" customWidth="1" outlineLevel="1"/>
    <col min="48" max="48" width="9.28515625" style="17" customWidth="1" outlineLevel="1" collapsed="1"/>
    <col min="49" max="50" width="9.28515625" style="17" customWidth="1" outlineLevel="1"/>
    <col min="51" max="51" width="8.7109375" style="55" customWidth="1" outlineLevel="1"/>
    <col min="52" max="55" width="9.28515625" style="55" customWidth="1" outlineLevel="1"/>
    <col min="56" max="57" width="9.28515625" style="55" bestFit="1" customWidth="1"/>
    <col min="58" max="62" width="11.140625" style="55" customWidth="1"/>
    <col min="63" max="63" width="11.140625" style="55" hidden="1" customWidth="1"/>
    <col min="64" max="64" width="11.140625" style="55" customWidth="1" outlineLevel="1"/>
    <col min="65" max="66" width="9.28515625" style="55" customWidth="1" outlineLevel="1"/>
    <col min="67" max="71" width="8.7109375" style="17" customWidth="1" outlineLevel="1"/>
    <col min="72" max="72" width="7.7109375" style="17" customWidth="1" outlineLevel="1"/>
    <col min="73" max="73" width="8.28515625" style="17" customWidth="1" outlineLevel="1"/>
    <col min="74" max="74" width="9.28515625" style="17" customWidth="1" outlineLevel="1"/>
    <col min="75" max="75" width="8.7109375" style="17" customWidth="1" outlineLevel="1" collapsed="1"/>
    <col min="76" max="76" width="9.7109375" style="17" customWidth="1" outlineLevel="1"/>
    <col min="77" max="78" width="9.7109375" style="17" bestFit="1" customWidth="1"/>
    <col min="79" max="16384" width="9.140625" style="17"/>
  </cols>
  <sheetData>
    <row r="1" spans="1:83" ht="15" customHeight="1"/>
    <row r="2" spans="1:83" s="14" customFormat="1" ht="15" customHeight="1" thickBot="1">
      <c r="A2" s="25"/>
      <c r="B2" s="25"/>
      <c r="C2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1:83" s="14" customFormat="1" ht="8.25" customHeight="1">
      <c r="B3" s="232"/>
      <c r="C3" s="232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/>
      <c r="CB3"/>
      <c r="CC3"/>
      <c r="CD3"/>
      <c r="CE3"/>
    </row>
    <row r="4" spans="1:83" s="14" customFormat="1" ht="15" customHeight="1">
      <c r="B4" s="244" t="s">
        <v>485</v>
      </c>
      <c r="C4" s="246" t="s">
        <v>223</v>
      </c>
      <c r="D4" s="129" t="s">
        <v>289</v>
      </c>
      <c r="E4" s="129" t="s">
        <v>290</v>
      </c>
      <c r="F4" s="129" t="s">
        <v>291</v>
      </c>
      <c r="G4" s="129" t="s">
        <v>293</v>
      </c>
      <c r="H4" s="129" t="s">
        <v>292</v>
      </c>
      <c r="I4" s="129" t="s">
        <v>294</v>
      </c>
      <c r="J4" s="129" t="s">
        <v>295</v>
      </c>
      <c r="K4" s="129" t="s">
        <v>296</v>
      </c>
      <c r="L4" s="129" t="s">
        <v>297</v>
      </c>
      <c r="M4" s="129" t="s">
        <v>298</v>
      </c>
      <c r="N4" s="129" t="s">
        <v>299</v>
      </c>
      <c r="O4" s="129" t="s">
        <v>300</v>
      </c>
      <c r="P4" s="129" t="s">
        <v>301</v>
      </c>
      <c r="Q4" s="129" t="s">
        <v>302</v>
      </c>
      <c r="R4" s="129" t="s">
        <v>303</v>
      </c>
      <c r="S4" s="129" t="s">
        <v>304</v>
      </c>
      <c r="T4" s="129" t="s">
        <v>305</v>
      </c>
      <c r="U4" s="129" t="s">
        <v>306</v>
      </c>
      <c r="V4" s="129" t="s">
        <v>307</v>
      </c>
      <c r="W4" s="129" t="s">
        <v>308</v>
      </c>
      <c r="X4" s="129" t="s">
        <v>309</v>
      </c>
      <c r="Y4" s="129" t="s">
        <v>310</v>
      </c>
      <c r="Z4" s="129" t="s">
        <v>311</v>
      </c>
      <c r="AA4" s="129" t="s">
        <v>312</v>
      </c>
      <c r="AB4" s="129" t="s">
        <v>313</v>
      </c>
      <c r="AC4" s="129" t="s">
        <v>314</v>
      </c>
      <c r="AD4" s="129" t="s">
        <v>315</v>
      </c>
      <c r="AE4" s="129" t="s">
        <v>316</v>
      </c>
      <c r="AF4" s="129" t="s">
        <v>317</v>
      </c>
      <c r="AG4" s="129" t="s">
        <v>318</v>
      </c>
      <c r="AH4" s="129" t="s">
        <v>319</v>
      </c>
      <c r="AI4" s="129" t="s">
        <v>320</v>
      </c>
      <c r="AJ4" s="129" t="s">
        <v>321</v>
      </c>
      <c r="AK4" s="129" t="s">
        <v>322</v>
      </c>
      <c r="AL4" s="129" t="s">
        <v>323</v>
      </c>
      <c r="AM4" s="129" t="s">
        <v>324</v>
      </c>
      <c r="AN4" s="129" t="s">
        <v>325</v>
      </c>
      <c r="AO4" s="129" t="s">
        <v>326</v>
      </c>
      <c r="AP4" s="129" t="s">
        <v>327</v>
      </c>
      <c r="AQ4" s="129" t="s">
        <v>328</v>
      </c>
      <c r="AR4" s="129" t="s">
        <v>329</v>
      </c>
      <c r="AS4" s="129" t="s">
        <v>330</v>
      </c>
      <c r="AT4" s="129" t="s">
        <v>331</v>
      </c>
      <c r="AU4" s="129" t="s">
        <v>332</v>
      </c>
      <c r="AV4" s="129" t="s">
        <v>333</v>
      </c>
      <c r="AW4" s="129" t="s">
        <v>334</v>
      </c>
      <c r="AX4" s="129" t="s">
        <v>335</v>
      </c>
      <c r="AY4" s="129" t="s">
        <v>336</v>
      </c>
      <c r="AZ4" s="129" t="s">
        <v>337</v>
      </c>
      <c r="BA4" s="129" t="s">
        <v>338</v>
      </c>
      <c r="BB4" s="129" t="s">
        <v>339</v>
      </c>
      <c r="BC4" s="129" t="s">
        <v>340</v>
      </c>
      <c r="BD4" s="129" t="s">
        <v>341</v>
      </c>
      <c r="BE4" s="129" t="s">
        <v>342</v>
      </c>
      <c r="BF4" s="129" t="s">
        <v>343</v>
      </c>
      <c r="BG4" s="129" t="s">
        <v>344</v>
      </c>
      <c r="BH4" s="129" t="s">
        <v>345</v>
      </c>
      <c r="BI4" s="129" t="s">
        <v>346</v>
      </c>
      <c r="BJ4" s="129" t="s">
        <v>347</v>
      </c>
      <c r="BK4" s="129" t="s">
        <v>348</v>
      </c>
      <c r="BL4" s="238">
        <v>2010</v>
      </c>
      <c r="BM4" s="238">
        <v>2011</v>
      </c>
      <c r="BN4" s="238">
        <v>2012</v>
      </c>
      <c r="BO4" s="238">
        <v>2013</v>
      </c>
      <c r="BP4" s="238">
        <v>2014</v>
      </c>
      <c r="BQ4" s="238">
        <v>2015</v>
      </c>
      <c r="BR4" s="238">
        <v>2016</v>
      </c>
      <c r="BS4" s="238">
        <v>2017</v>
      </c>
      <c r="BT4" s="238">
        <v>2018</v>
      </c>
      <c r="BU4" s="238">
        <v>2019</v>
      </c>
      <c r="BV4" s="238">
        <v>2020</v>
      </c>
      <c r="BW4" s="238">
        <v>2021</v>
      </c>
      <c r="BX4" s="238">
        <v>2022</v>
      </c>
      <c r="BY4" s="238">
        <v>2023</v>
      </c>
      <c r="BZ4" s="238">
        <v>2024</v>
      </c>
      <c r="CA4"/>
      <c r="CB4"/>
      <c r="CC4"/>
      <c r="CD4"/>
      <c r="CE4"/>
    </row>
    <row r="5" spans="1:83" s="54" customFormat="1">
      <c r="A5" s="41"/>
      <c r="B5" s="245"/>
      <c r="C5" s="264"/>
      <c r="D5" s="129" t="s">
        <v>58</v>
      </c>
      <c r="E5" s="129" t="s">
        <v>57</v>
      </c>
      <c r="F5" s="129" t="s">
        <v>56</v>
      </c>
      <c r="G5" s="129" t="s">
        <v>47</v>
      </c>
      <c r="H5" s="129" t="s">
        <v>55</v>
      </c>
      <c r="I5" s="129" t="s">
        <v>54</v>
      </c>
      <c r="J5" s="129" t="s">
        <v>53</v>
      </c>
      <c r="K5" s="129" t="s">
        <v>52</v>
      </c>
      <c r="L5" s="129" t="s">
        <v>51</v>
      </c>
      <c r="M5" s="129" t="s">
        <v>50</v>
      </c>
      <c r="N5" s="129" t="s">
        <v>49</v>
      </c>
      <c r="O5" s="129" t="s">
        <v>48</v>
      </c>
      <c r="P5" s="129" t="s">
        <v>10</v>
      </c>
      <c r="Q5" s="129" t="s">
        <v>11</v>
      </c>
      <c r="R5" s="129" t="s">
        <v>12</v>
      </c>
      <c r="S5" s="129" t="s">
        <v>13</v>
      </c>
      <c r="T5" s="129" t="s">
        <v>14</v>
      </c>
      <c r="U5" s="129" t="s">
        <v>15</v>
      </c>
      <c r="V5" s="129" t="s">
        <v>16</v>
      </c>
      <c r="W5" s="129" t="s">
        <v>17</v>
      </c>
      <c r="X5" s="129" t="s">
        <v>18</v>
      </c>
      <c r="Y5" s="129" t="s">
        <v>19</v>
      </c>
      <c r="Z5" s="129" t="s">
        <v>20</v>
      </c>
      <c r="AA5" s="129" t="s">
        <v>21</v>
      </c>
      <c r="AB5" s="129" t="s">
        <v>22</v>
      </c>
      <c r="AC5" s="129" t="s">
        <v>23</v>
      </c>
      <c r="AD5" s="129" t="s">
        <v>24</v>
      </c>
      <c r="AE5" s="129" t="s">
        <v>25</v>
      </c>
      <c r="AF5" s="129" t="s">
        <v>26</v>
      </c>
      <c r="AG5" s="129" t="s">
        <v>27</v>
      </c>
      <c r="AH5" s="129" t="s">
        <v>28</v>
      </c>
      <c r="AI5" s="129" t="s">
        <v>29</v>
      </c>
      <c r="AJ5" s="129" t="s">
        <v>30</v>
      </c>
      <c r="AK5" s="129" t="s">
        <v>31</v>
      </c>
      <c r="AL5" s="129" t="s">
        <v>32</v>
      </c>
      <c r="AM5" s="129" t="s">
        <v>33</v>
      </c>
      <c r="AN5" s="129" t="s">
        <v>34</v>
      </c>
      <c r="AO5" s="129" t="s">
        <v>35</v>
      </c>
      <c r="AP5" s="129" t="s">
        <v>36</v>
      </c>
      <c r="AQ5" s="129" t="s">
        <v>37</v>
      </c>
      <c r="AR5" s="129" t="s">
        <v>3</v>
      </c>
      <c r="AS5" s="129" t="s">
        <v>38</v>
      </c>
      <c r="AT5" s="129" t="s">
        <v>39</v>
      </c>
      <c r="AU5" s="129" t="s">
        <v>8</v>
      </c>
      <c r="AV5" s="129" t="s">
        <v>9</v>
      </c>
      <c r="AW5" s="129" t="s">
        <v>40</v>
      </c>
      <c r="AX5" s="129" t="s">
        <v>41</v>
      </c>
      <c r="AY5" s="129" t="s">
        <v>42</v>
      </c>
      <c r="AZ5" s="129" t="s">
        <v>71</v>
      </c>
      <c r="BA5" s="129" t="s">
        <v>75</v>
      </c>
      <c r="BB5" s="129" t="s">
        <v>76</v>
      </c>
      <c r="BC5" s="129" t="s">
        <v>77</v>
      </c>
      <c r="BD5" s="129" t="s">
        <v>91</v>
      </c>
      <c r="BE5" s="129" t="s">
        <v>92</v>
      </c>
      <c r="BF5" s="129" t="s">
        <v>93</v>
      </c>
      <c r="BG5" s="129" t="s">
        <v>94</v>
      </c>
      <c r="BH5" s="129" t="s">
        <v>256</v>
      </c>
      <c r="BI5" s="129" t="s">
        <v>257</v>
      </c>
      <c r="BJ5" s="129" t="s">
        <v>258</v>
      </c>
      <c r="BK5" s="129" t="s">
        <v>259</v>
      </c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52"/>
      <c r="CB5" s="52"/>
      <c r="CC5" s="52"/>
      <c r="CD5" s="52"/>
      <c r="CE5" s="52"/>
    </row>
    <row r="6" spans="1:83" s="15" customFormat="1" ht="12.75" hidden="1" customHeight="1" outlineLevel="1">
      <c r="A6" s="14"/>
      <c r="B6" s="14" t="s">
        <v>486</v>
      </c>
      <c r="C6" s="195" t="s">
        <v>224</v>
      </c>
      <c r="D6" s="130">
        <v>5026</v>
      </c>
      <c r="E6" s="130">
        <v>5510</v>
      </c>
      <c r="F6" s="130">
        <v>15844</v>
      </c>
      <c r="G6" s="130">
        <v>16061</v>
      </c>
      <c r="H6" s="130">
        <v>14388</v>
      </c>
      <c r="I6" s="130">
        <v>12384</v>
      </c>
      <c r="J6" s="130">
        <v>12709</v>
      </c>
      <c r="K6" s="130">
        <v>23095</v>
      </c>
      <c r="L6" s="130">
        <v>35005</v>
      </c>
      <c r="M6" s="130">
        <v>46990</v>
      </c>
      <c r="N6" s="130">
        <v>0</v>
      </c>
      <c r="O6" s="130">
        <v>0</v>
      </c>
      <c r="P6" s="130">
        <v>0</v>
      </c>
      <c r="Q6" s="130">
        <v>2102</v>
      </c>
      <c r="R6" s="130">
        <v>5269</v>
      </c>
      <c r="S6" s="130">
        <v>8429</v>
      </c>
      <c r="T6" s="130">
        <v>11587</v>
      </c>
      <c r="U6" s="130">
        <v>12526</v>
      </c>
      <c r="V6" s="130">
        <v>12528</v>
      </c>
      <c r="W6" s="130">
        <v>25284</v>
      </c>
      <c r="X6" s="130">
        <v>30492</v>
      </c>
      <c r="Y6" s="130">
        <v>29782</v>
      </c>
      <c r="Z6" s="130">
        <v>26635</v>
      </c>
      <c r="AA6" s="130">
        <v>23496</v>
      </c>
      <c r="AB6" s="130">
        <v>23409</v>
      </c>
      <c r="AC6" s="130">
        <v>25291</v>
      </c>
      <c r="AD6" s="130">
        <v>32898</v>
      </c>
      <c r="AE6" s="130">
        <v>40107</v>
      </c>
      <c r="AF6" s="130">
        <v>42600</v>
      </c>
      <c r="AG6" s="130">
        <v>45067</v>
      </c>
      <c r="AH6" s="130">
        <v>39022</v>
      </c>
      <c r="AI6" s="130">
        <v>29922</v>
      </c>
      <c r="AJ6" s="130">
        <v>19586</v>
      </c>
      <c r="AK6" s="130">
        <v>593</v>
      </c>
      <c r="AL6" s="130">
        <v>297</v>
      </c>
      <c r="AM6" s="130">
        <v>0</v>
      </c>
      <c r="AN6" s="130">
        <v>0</v>
      </c>
      <c r="AO6" s="130">
        <v>0</v>
      </c>
      <c r="AP6" s="130">
        <v>0</v>
      </c>
      <c r="AQ6" s="130">
        <v>0</v>
      </c>
      <c r="AR6" s="130">
        <v>0</v>
      </c>
      <c r="AS6" s="130">
        <v>0</v>
      </c>
      <c r="AT6" s="130">
        <v>0</v>
      </c>
      <c r="AU6" s="130">
        <v>0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0</v>
      </c>
      <c r="BH6" s="130"/>
      <c r="BI6" s="130"/>
      <c r="BJ6" s="130"/>
      <c r="BK6" s="130"/>
      <c r="BL6" s="130">
        <v>16061</v>
      </c>
      <c r="BM6" s="130">
        <v>23095</v>
      </c>
      <c r="BN6" s="130">
        <v>0</v>
      </c>
      <c r="BO6" s="130">
        <v>8429</v>
      </c>
      <c r="BP6" s="130">
        <v>25284</v>
      </c>
      <c r="BQ6" s="130">
        <v>23496</v>
      </c>
      <c r="BR6" s="130">
        <v>40107</v>
      </c>
      <c r="BS6" s="130">
        <v>29922</v>
      </c>
      <c r="BT6" s="130">
        <v>0</v>
      </c>
      <c r="BU6" s="130">
        <v>0</v>
      </c>
      <c r="BV6" s="130">
        <v>0</v>
      </c>
      <c r="BW6" s="130">
        <v>0</v>
      </c>
      <c r="BX6" s="130">
        <v>0</v>
      </c>
      <c r="BY6" s="130">
        <f>+BG6</f>
        <v>0</v>
      </c>
      <c r="BZ6" s="130">
        <f>+BH6</f>
        <v>0</v>
      </c>
    </row>
    <row r="7" spans="1:83" s="15" customFormat="1" ht="12.75" hidden="1" customHeight="1" outlineLevel="1">
      <c r="A7" s="14"/>
      <c r="B7" s="14" t="s">
        <v>225</v>
      </c>
      <c r="C7" s="195" t="s">
        <v>225</v>
      </c>
      <c r="D7" s="130">
        <v>6130</v>
      </c>
      <c r="E7" s="130">
        <v>6140</v>
      </c>
      <c r="F7" s="130">
        <v>6095</v>
      </c>
      <c r="G7" s="130">
        <v>6086</v>
      </c>
      <c r="H7" s="130">
        <v>6070</v>
      </c>
      <c r="I7" s="130">
        <v>6040</v>
      </c>
      <c r="J7" s="130">
        <v>6158</v>
      </c>
      <c r="K7" s="130">
        <v>6169</v>
      </c>
      <c r="L7" s="130">
        <v>6144</v>
      </c>
      <c r="M7" s="130">
        <v>6228</v>
      </c>
      <c r="N7" s="130">
        <v>6145</v>
      </c>
      <c r="O7" s="130">
        <v>6235</v>
      </c>
      <c r="P7" s="130">
        <v>6221</v>
      </c>
      <c r="Q7" s="130">
        <v>0</v>
      </c>
      <c r="R7" s="130">
        <v>0</v>
      </c>
      <c r="S7" s="130">
        <v>0</v>
      </c>
      <c r="T7" s="130">
        <v>0</v>
      </c>
      <c r="U7" s="130">
        <v>0</v>
      </c>
      <c r="V7" s="130">
        <v>0</v>
      </c>
      <c r="W7" s="130">
        <v>0</v>
      </c>
      <c r="X7" s="130">
        <v>0</v>
      </c>
      <c r="Y7" s="130">
        <v>0</v>
      </c>
      <c r="Z7" s="130">
        <v>0</v>
      </c>
      <c r="AA7" s="130">
        <v>0</v>
      </c>
      <c r="AB7" s="130">
        <v>0</v>
      </c>
      <c r="AC7" s="130">
        <v>0</v>
      </c>
      <c r="AD7" s="130">
        <v>0</v>
      </c>
      <c r="AE7" s="130">
        <v>0</v>
      </c>
      <c r="AF7" s="130">
        <v>0</v>
      </c>
      <c r="AG7" s="130">
        <v>0</v>
      </c>
      <c r="AH7" s="130">
        <v>0</v>
      </c>
      <c r="AI7" s="130">
        <v>0</v>
      </c>
      <c r="AJ7" s="130">
        <v>0</v>
      </c>
      <c r="AK7" s="130">
        <v>0</v>
      </c>
      <c r="AL7" s="130">
        <v>0</v>
      </c>
      <c r="AM7" s="130">
        <v>0</v>
      </c>
      <c r="AN7" s="130">
        <v>0</v>
      </c>
      <c r="AO7" s="130">
        <v>0</v>
      </c>
      <c r="AP7" s="130">
        <v>0</v>
      </c>
      <c r="AQ7" s="130">
        <v>0</v>
      </c>
      <c r="AR7" s="130">
        <v>0</v>
      </c>
      <c r="AS7" s="130">
        <v>0</v>
      </c>
      <c r="AT7" s="130">
        <v>0</v>
      </c>
      <c r="AU7" s="130">
        <v>0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0</v>
      </c>
      <c r="BH7" s="130"/>
      <c r="BI7" s="130"/>
      <c r="BJ7" s="130"/>
      <c r="BK7" s="130"/>
      <c r="BL7" s="130">
        <v>6086</v>
      </c>
      <c r="BM7" s="130">
        <v>6169</v>
      </c>
      <c r="BN7" s="130">
        <v>6235</v>
      </c>
      <c r="BO7" s="130">
        <v>0</v>
      </c>
      <c r="BP7" s="130">
        <v>0</v>
      </c>
      <c r="BQ7" s="130">
        <v>0</v>
      </c>
      <c r="BR7" s="130">
        <v>0</v>
      </c>
      <c r="BS7" s="130">
        <v>0</v>
      </c>
      <c r="BT7" s="130">
        <v>0</v>
      </c>
      <c r="BU7" s="130">
        <v>0</v>
      </c>
      <c r="BV7" s="130">
        <v>0</v>
      </c>
      <c r="BW7" s="130">
        <v>0</v>
      </c>
      <c r="BX7" s="130">
        <v>0</v>
      </c>
      <c r="BY7" s="130">
        <f t="shared" ref="BY7:BZ32" si="0">+BG7</f>
        <v>0</v>
      </c>
      <c r="BZ7" s="130">
        <f t="shared" si="0"/>
        <v>0</v>
      </c>
    </row>
    <row r="8" spans="1:83" s="15" customFormat="1" ht="12.75" customHeight="1" collapsed="1">
      <c r="A8" s="14"/>
      <c r="B8" s="102" t="s">
        <v>269</v>
      </c>
      <c r="C8" s="195" t="s">
        <v>269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>
        <v>0</v>
      </c>
      <c r="BE8" s="130">
        <v>0</v>
      </c>
      <c r="BF8" s="130">
        <v>0</v>
      </c>
      <c r="BG8" s="130">
        <v>0</v>
      </c>
      <c r="BH8" s="130">
        <v>0</v>
      </c>
      <c r="BI8" s="130">
        <v>0</v>
      </c>
      <c r="BJ8" s="130">
        <v>3673</v>
      </c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>
        <f t="shared" ref="BZ8:BZ18" si="1">+BJ8</f>
        <v>3673</v>
      </c>
    </row>
    <row r="9" spans="1:83" s="15" customFormat="1" ht="12.75" customHeight="1">
      <c r="A9" s="14"/>
      <c r="B9" s="102" t="s">
        <v>226</v>
      </c>
      <c r="C9" s="195" t="s">
        <v>226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30</v>
      </c>
      <c r="K9" s="130">
        <v>75</v>
      </c>
      <c r="L9" s="130">
        <v>160</v>
      </c>
      <c r="M9" s="130">
        <v>331</v>
      </c>
      <c r="N9" s="130">
        <v>518</v>
      </c>
      <c r="O9" s="130">
        <v>717</v>
      </c>
      <c r="P9" s="130">
        <v>863</v>
      </c>
      <c r="Q9" s="130">
        <v>914</v>
      </c>
      <c r="R9" s="130">
        <v>936</v>
      </c>
      <c r="S9" s="130">
        <v>1019</v>
      </c>
      <c r="T9" s="130">
        <v>1090</v>
      </c>
      <c r="U9" s="130">
        <v>1281</v>
      </c>
      <c r="V9" s="130">
        <v>1406</v>
      </c>
      <c r="W9" s="130">
        <v>1102</v>
      </c>
      <c r="X9" s="130">
        <v>1204</v>
      </c>
      <c r="Y9" s="130">
        <v>1212</v>
      </c>
      <c r="Z9" s="130">
        <v>13392</v>
      </c>
      <c r="AA9" s="130">
        <v>13665</v>
      </c>
      <c r="AB9" s="130">
        <v>13971</v>
      </c>
      <c r="AC9" s="130">
        <v>1994</v>
      </c>
      <c r="AD9" s="130">
        <v>2259</v>
      </c>
      <c r="AE9" s="130">
        <v>2273</v>
      </c>
      <c r="AF9" s="130">
        <v>2252</v>
      </c>
      <c r="AG9" s="130">
        <v>2212</v>
      </c>
      <c r="AH9" s="130">
        <v>2167</v>
      </c>
      <c r="AI9" s="130">
        <v>2117</v>
      </c>
      <c r="AJ9" s="130">
        <v>2084</v>
      </c>
      <c r="AK9" s="130">
        <v>2059</v>
      </c>
      <c r="AL9" s="130">
        <v>2023</v>
      </c>
      <c r="AM9" s="130">
        <v>1995</v>
      </c>
      <c r="AN9" s="130">
        <v>1977</v>
      </c>
      <c r="AO9" s="130">
        <v>1966</v>
      </c>
      <c r="AP9" s="130">
        <v>1937</v>
      </c>
      <c r="AQ9" s="130">
        <v>1892</v>
      </c>
      <c r="AR9" s="130">
        <v>1806</v>
      </c>
      <c r="AS9" s="130">
        <v>1681</v>
      </c>
      <c r="AT9" s="130">
        <v>1575</v>
      </c>
      <c r="AU9" s="130">
        <v>0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50712</v>
      </c>
      <c r="BG9" s="130">
        <f>51726+490</f>
        <v>52216</v>
      </c>
      <c r="BH9" s="130">
        <v>0</v>
      </c>
      <c r="BI9" s="130">
        <v>0</v>
      </c>
      <c r="BJ9" s="130">
        <v>0</v>
      </c>
      <c r="BK9" s="130"/>
      <c r="BL9" s="130">
        <v>0</v>
      </c>
      <c r="BM9" s="130">
        <v>75</v>
      </c>
      <c r="BN9" s="130">
        <v>717</v>
      </c>
      <c r="BO9" s="130">
        <v>1019</v>
      </c>
      <c r="BP9" s="130">
        <v>1102</v>
      </c>
      <c r="BQ9" s="130">
        <v>13665</v>
      </c>
      <c r="BR9" s="130">
        <v>2273</v>
      </c>
      <c r="BS9" s="130">
        <v>2117</v>
      </c>
      <c r="BT9" s="130">
        <v>1995</v>
      </c>
      <c r="BU9" s="130">
        <v>1892</v>
      </c>
      <c r="BV9" s="130">
        <v>0</v>
      </c>
      <c r="BW9" s="130">
        <v>0</v>
      </c>
      <c r="BX9" s="130">
        <v>0</v>
      </c>
      <c r="BY9" s="130">
        <f t="shared" si="0"/>
        <v>52216</v>
      </c>
      <c r="BZ9" s="130">
        <f t="shared" si="1"/>
        <v>0</v>
      </c>
    </row>
    <row r="10" spans="1:83" s="15" customFormat="1" ht="12.75" hidden="1" customHeight="1" outlineLevel="1">
      <c r="A10" s="14"/>
      <c r="B10" s="102" t="s">
        <v>227</v>
      </c>
      <c r="C10" s="195" t="s">
        <v>227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681</v>
      </c>
      <c r="L10" s="130">
        <v>752</v>
      </c>
      <c r="M10" s="130">
        <v>841</v>
      </c>
      <c r="N10" s="130">
        <v>4550</v>
      </c>
      <c r="O10" s="130">
        <v>4169</v>
      </c>
      <c r="P10" s="130">
        <v>2495</v>
      </c>
      <c r="Q10" s="130">
        <v>4445</v>
      </c>
      <c r="R10" s="130">
        <v>1722</v>
      </c>
      <c r="S10" s="130">
        <v>885</v>
      </c>
      <c r="T10" s="130">
        <v>5870</v>
      </c>
      <c r="U10" s="130">
        <v>7690</v>
      </c>
      <c r="V10" s="130">
        <v>10566</v>
      </c>
      <c r="W10" s="130">
        <v>7874</v>
      </c>
      <c r="X10" s="130">
        <v>4441</v>
      </c>
      <c r="Y10" s="130">
        <v>10545</v>
      </c>
      <c r="Z10" s="130">
        <v>8985</v>
      </c>
      <c r="AA10" s="130">
        <v>7271</v>
      </c>
      <c r="AB10" s="130">
        <v>3623</v>
      </c>
      <c r="AC10" s="130">
        <v>559</v>
      </c>
      <c r="AD10" s="130">
        <v>283</v>
      </c>
      <c r="AE10" s="130">
        <v>0</v>
      </c>
      <c r="AF10" s="130">
        <v>0</v>
      </c>
      <c r="AG10" s="130">
        <v>0</v>
      </c>
      <c r="AH10" s="130">
        <v>9031</v>
      </c>
      <c r="AI10" s="130">
        <v>9527</v>
      </c>
      <c r="AJ10" s="130">
        <v>9691</v>
      </c>
      <c r="AK10" s="130">
        <v>11335</v>
      </c>
      <c r="AL10" s="130">
        <v>0</v>
      </c>
      <c r="AM10" s="130">
        <v>0</v>
      </c>
      <c r="AN10" s="130">
        <v>0</v>
      </c>
      <c r="AO10" s="130">
        <v>0</v>
      </c>
      <c r="AP10" s="130">
        <v>0</v>
      </c>
      <c r="AQ10" s="130">
        <v>0</v>
      </c>
      <c r="AR10" s="130">
        <v>0</v>
      </c>
      <c r="AS10" s="130">
        <v>0</v>
      </c>
      <c r="AT10" s="130">
        <v>0</v>
      </c>
      <c r="AU10" s="130">
        <v>0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30">
        <v>0</v>
      </c>
      <c r="BH10" s="130"/>
      <c r="BI10" s="130"/>
      <c r="BJ10" s="130"/>
      <c r="BK10" s="130"/>
      <c r="BL10" s="130">
        <v>0</v>
      </c>
      <c r="BM10" s="130">
        <v>681</v>
      </c>
      <c r="BN10" s="130">
        <v>4169</v>
      </c>
      <c r="BO10" s="130">
        <v>885</v>
      </c>
      <c r="BP10" s="130">
        <v>7874</v>
      </c>
      <c r="BQ10" s="130">
        <v>7271</v>
      </c>
      <c r="BR10" s="130">
        <v>0</v>
      </c>
      <c r="BS10" s="130">
        <v>9527</v>
      </c>
      <c r="BT10" s="130">
        <v>0</v>
      </c>
      <c r="BU10" s="130">
        <v>0</v>
      </c>
      <c r="BV10" s="130">
        <v>0</v>
      </c>
      <c r="BW10" s="130">
        <v>0</v>
      </c>
      <c r="BX10" s="130">
        <v>0</v>
      </c>
      <c r="BY10" s="130">
        <f t="shared" si="0"/>
        <v>0</v>
      </c>
      <c r="BZ10" s="130">
        <f t="shared" si="1"/>
        <v>0</v>
      </c>
    </row>
    <row r="11" spans="1:83" s="15" customFormat="1" ht="12.75" hidden="1" customHeight="1" outlineLevel="1" collapsed="1">
      <c r="A11" s="14"/>
      <c r="B11" s="102" t="s">
        <v>228</v>
      </c>
      <c r="C11" s="195" t="s">
        <v>228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456</v>
      </c>
      <c r="O11" s="130">
        <v>1140</v>
      </c>
      <c r="P11" s="130">
        <v>1825</v>
      </c>
      <c r="Q11" s="130">
        <v>3215</v>
      </c>
      <c r="R11" s="130">
        <v>3509</v>
      </c>
      <c r="S11" s="130">
        <v>3509</v>
      </c>
      <c r="T11" s="130">
        <v>3509</v>
      </c>
      <c r="U11" s="130">
        <v>3509</v>
      </c>
      <c r="V11" s="130">
        <v>3509</v>
      </c>
      <c r="W11" s="130">
        <v>3509</v>
      </c>
      <c r="X11" s="130">
        <v>3540</v>
      </c>
      <c r="Y11" s="130">
        <v>3536</v>
      </c>
      <c r="Z11" s="130">
        <v>3577</v>
      </c>
      <c r="AA11" s="130">
        <v>4242</v>
      </c>
      <c r="AB11" s="130">
        <v>4924</v>
      </c>
      <c r="AC11" s="130">
        <v>5602</v>
      </c>
      <c r="AD11" s="130">
        <v>6284</v>
      </c>
      <c r="AE11" s="130">
        <v>7665</v>
      </c>
      <c r="AF11" s="130">
        <v>7662</v>
      </c>
      <c r="AG11" s="130">
        <v>7926</v>
      </c>
      <c r="AH11" s="130">
        <v>7920</v>
      </c>
      <c r="AI11" s="130">
        <v>7921</v>
      </c>
      <c r="AJ11" s="130">
        <v>7917</v>
      </c>
      <c r="AK11" s="130">
        <v>7911</v>
      </c>
      <c r="AL11" s="130">
        <v>9515</v>
      </c>
      <c r="AM11" s="130">
        <v>9527</v>
      </c>
      <c r="AN11" s="130">
        <v>9521</v>
      </c>
      <c r="AO11" s="130">
        <v>8930</v>
      </c>
      <c r="AP11" s="130">
        <v>8051</v>
      </c>
      <c r="AQ11" s="130">
        <v>7173</v>
      </c>
      <c r="AR11" s="130">
        <v>6293</v>
      </c>
      <c r="AS11" s="130">
        <v>5996</v>
      </c>
      <c r="AT11" s="130">
        <v>5994</v>
      </c>
      <c r="AU11" s="130">
        <v>5993</v>
      </c>
      <c r="AV11" s="130">
        <v>5990</v>
      </c>
      <c r="AW11" s="130">
        <v>5987</v>
      </c>
      <c r="AX11" s="130">
        <v>5984</v>
      </c>
      <c r="AY11" s="130">
        <v>4978</v>
      </c>
      <c r="AZ11" s="130">
        <v>3485</v>
      </c>
      <c r="BA11" s="130">
        <v>1991</v>
      </c>
      <c r="BB11" s="130">
        <v>498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30">
        <v>0</v>
      </c>
      <c r="BI11" s="130">
        <v>0</v>
      </c>
      <c r="BJ11" s="130">
        <v>0</v>
      </c>
      <c r="BK11" s="130"/>
      <c r="BL11" s="130">
        <v>0</v>
      </c>
      <c r="BM11" s="130">
        <v>0</v>
      </c>
      <c r="BN11" s="130">
        <v>1140</v>
      </c>
      <c r="BO11" s="130">
        <v>3509</v>
      </c>
      <c r="BP11" s="130">
        <v>3509</v>
      </c>
      <c r="BQ11" s="130">
        <v>4242</v>
      </c>
      <c r="BR11" s="130">
        <v>7665</v>
      </c>
      <c r="BS11" s="130">
        <v>7921</v>
      </c>
      <c r="BT11" s="130">
        <v>9527</v>
      </c>
      <c r="BU11" s="130">
        <v>7173</v>
      </c>
      <c r="BV11" s="130">
        <v>5993</v>
      </c>
      <c r="BW11" s="130">
        <v>4978</v>
      </c>
      <c r="BX11" s="130">
        <v>0</v>
      </c>
      <c r="BY11" s="130">
        <f t="shared" si="0"/>
        <v>0</v>
      </c>
      <c r="BZ11" s="130">
        <f t="shared" si="1"/>
        <v>0</v>
      </c>
    </row>
    <row r="12" spans="1:83" s="15" customFormat="1" ht="12.75" customHeight="1" collapsed="1">
      <c r="A12" s="14"/>
      <c r="B12" s="102" t="s">
        <v>45</v>
      </c>
      <c r="C12" s="195" t="s">
        <v>45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30">
        <v>0</v>
      </c>
      <c r="N12" s="130">
        <v>0</v>
      </c>
      <c r="O12" s="130">
        <v>0</v>
      </c>
      <c r="P12" s="130">
        <v>0</v>
      </c>
      <c r="Q12" s="130">
        <v>0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0</v>
      </c>
      <c r="AE12" s="130">
        <v>0</v>
      </c>
      <c r="AF12" s="130">
        <v>0</v>
      </c>
      <c r="AG12" s="130">
        <v>0</v>
      </c>
      <c r="AH12" s="130">
        <v>0</v>
      </c>
      <c r="AI12" s="130">
        <v>0</v>
      </c>
      <c r="AJ12" s="130">
        <v>0</v>
      </c>
      <c r="AK12" s="130">
        <v>0</v>
      </c>
      <c r="AL12" s="130">
        <v>0</v>
      </c>
      <c r="AM12" s="130">
        <v>0</v>
      </c>
      <c r="AN12" s="130">
        <v>0</v>
      </c>
      <c r="AO12" s="130">
        <v>0</v>
      </c>
      <c r="AP12" s="130">
        <v>0</v>
      </c>
      <c r="AQ12" s="130">
        <v>0</v>
      </c>
      <c r="AR12" s="130">
        <v>0</v>
      </c>
      <c r="AS12" s="130">
        <v>0</v>
      </c>
      <c r="AT12" s="130">
        <v>0</v>
      </c>
      <c r="AU12" s="130">
        <v>0</v>
      </c>
      <c r="AV12" s="130">
        <v>0</v>
      </c>
      <c r="AW12" s="130">
        <v>0</v>
      </c>
      <c r="AX12" s="130">
        <v>10876</v>
      </c>
      <c r="AY12" s="130">
        <v>12147</v>
      </c>
      <c r="AZ12" s="130">
        <v>13736</v>
      </c>
      <c r="BA12" s="130">
        <v>77712</v>
      </c>
      <c r="BB12" s="130">
        <v>75713</v>
      </c>
      <c r="BC12" s="130">
        <v>66275</v>
      </c>
      <c r="BD12" s="130">
        <v>68453</v>
      </c>
      <c r="BE12" s="130">
        <v>11420</v>
      </c>
      <c r="BF12" s="130">
        <v>13027</v>
      </c>
      <c r="BG12" s="130">
        <v>14530</v>
      </c>
      <c r="BH12" s="130">
        <v>25988</v>
      </c>
      <c r="BI12" s="130">
        <v>10955</v>
      </c>
      <c r="BJ12" s="130">
        <v>11960</v>
      </c>
      <c r="BK12" s="130"/>
      <c r="BL12" s="130">
        <v>0</v>
      </c>
      <c r="BM12" s="130">
        <v>0</v>
      </c>
      <c r="BN12" s="130">
        <v>0</v>
      </c>
      <c r="BO12" s="130">
        <v>0</v>
      </c>
      <c r="BP12" s="130">
        <v>0</v>
      </c>
      <c r="BQ12" s="130">
        <v>0</v>
      </c>
      <c r="BR12" s="130">
        <v>0</v>
      </c>
      <c r="BS12" s="130">
        <v>0</v>
      </c>
      <c r="BT12" s="130">
        <v>0</v>
      </c>
      <c r="BU12" s="130">
        <v>0</v>
      </c>
      <c r="BV12" s="130">
        <v>0</v>
      </c>
      <c r="BW12" s="130">
        <v>12147</v>
      </c>
      <c r="BX12" s="130">
        <v>66275</v>
      </c>
      <c r="BY12" s="130">
        <f t="shared" si="0"/>
        <v>14530</v>
      </c>
      <c r="BZ12" s="130">
        <f t="shared" si="1"/>
        <v>11960</v>
      </c>
    </row>
    <row r="13" spans="1:83" s="15" customFormat="1" ht="12.75" customHeight="1">
      <c r="A13" s="14"/>
      <c r="B13" s="102" t="s">
        <v>487</v>
      </c>
      <c r="C13" s="195" t="s">
        <v>97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50516</v>
      </c>
      <c r="BF13" s="130">
        <v>50467</v>
      </c>
      <c r="BG13" s="130">
        <v>50430</v>
      </c>
      <c r="BH13" s="130">
        <v>50399</v>
      </c>
      <c r="BI13" s="130">
        <v>10170</v>
      </c>
      <c r="BJ13" s="130">
        <v>10437</v>
      </c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>
        <v>0</v>
      </c>
      <c r="BX13" s="130">
        <v>0</v>
      </c>
      <c r="BY13" s="130">
        <f t="shared" si="0"/>
        <v>50430</v>
      </c>
      <c r="BZ13" s="130">
        <f t="shared" si="1"/>
        <v>10437</v>
      </c>
    </row>
    <row r="14" spans="1:83" s="15" customFormat="1" ht="12.75" customHeight="1">
      <c r="A14" s="14"/>
      <c r="B14" s="102" t="s">
        <v>488</v>
      </c>
      <c r="C14" s="195" t="s">
        <v>90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12473</v>
      </c>
      <c r="BD14" s="130">
        <v>14857</v>
      </c>
      <c r="BE14" s="130">
        <v>12503</v>
      </c>
      <c r="BF14" s="130">
        <v>14838</v>
      </c>
      <c r="BG14" s="130">
        <f>11290+1020</f>
        <v>12310</v>
      </c>
      <c r="BH14" s="130">
        <f>12474+1434</f>
        <v>13908</v>
      </c>
      <c r="BI14" s="130">
        <v>62893</v>
      </c>
      <c r="BJ14" s="130">
        <v>64466</v>
      </c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>
        <v>0</v>
      </c>
      <c r="BX14" s="130">
        <v>12473</v>
      </c>
      <c r="BY14" s="130">
        <f t="shared" si="0"/>
        <v>12310</v>
      </c>
      <c r="BZ14" s="130">
        <f t="shared" si="1"/>
        <v>64466</v>
      </c>
    </row>
    <row r="15" spans="1:83" s="15" customFormat="1" ht="12.75" hidden="1" customHeight="1" outlineLevel="1">
      <c r="A15" s="14"/>
      <c r="B15" s="102" t="s">
        <v>380</v>
      </c>
      <c r="C15" s="195" t="s">
        <v>154</v>
      </c>
      <c r="D15" s="130">
        <v>16139</v>
      </c>
      <c r="E15" s="130">
        <v>10574</v>
      </c>
      <c r="F15" s="130">
        <v>10306</v>
      </c>
      <c r="G15" s="130">
        <v>11472</v>
      </c>
      <c r="H15" s="130">
        <v>11460</v>
      </c>
      <c r="I15" s="130">
        <v>11420</v>
      </c>
      <c r="J15" s="130">
        <v>11442</v>
      </c>
      <c r="K15" s="130">
        <v>11441</v>
      </c>
      <c r="L15" s="130">
        <v>22920</v>
      </c>
      <c r="M15" s="130">
        <v>10047</v>
      </c>
      <c r="N15" s="130">
        <v>9956</v>
      </c>
      <c r="O15" s="130">
        <v>19762</v>
      </c>
      <c r="P15" s="130">
        <v>19809</v>
      </c>
      <c r="Q15" s="130">
        <v>8586</v>
      </c>
      <c r="R15" s="130">
        <v>8636</v>
      </c>
      <c r="S15" s="130">
        <v>17426</v>
      </c>
      <c r="T15" s="130">
        <v>16046</v>
      </c>
      <c r="U15" s="130">
        <v>7440</v>
      </c>
      <c r="V15" s="130">
        <v>6887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/>
      <c r="BI15" s="130"/>
      <c r="BJ15" s="130"/>
      <c r="BK15" s="130"/>
      <c r="BL15" s="130">
        <v>11472</v>
      </c>
      <c r="BM15" s="130">
        <v>11441</v>
      </c>
      <c r="BN15" s="130">
        <v>19762</v>
      </c>
      <c r="BO15" s="130">
        <v>17426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f t="shared" si="0"/>
        <v>0</v>
      </c>
      <c r="BZ15" s="130">
        <f t="shared" si="1"/>
        <v>0</v>
      </c>
    </row>
    <row r="16" spans="1:83" s="15" customFormat="1" ht="12.75" hidden="1" customHeight="1" outlineLevel="1">
      <c r="A16" s="14"/>
      <c r="B16" s="102" t="s">
        <v>489</v>
      </c>
      <c r="C16" s="195" t="s">
        <v>229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1544</v>
      </c>
      <c r="L16" s="130">
        <v>17</v>
      </c>
      <c r="M16" s="130">
        <v>0</v>
      </c>
      <c r="N16" s="130">
        <v>0</v>
      </c>
      <c r="O16" s="130">
        <v>619</v>
      </c>
      <c r="P16" s="130">
        <v>511</v>
      </c>
      <c r="Q16" s="130">
        <v>0</v>
      </c>
      <c r="R16" s="130">
        <v>2</v>
      </c>
      <c r="S16" s="130">
        <v>0</v>
      </c>
      <c r="T16" s="130">
        <v>0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0</v>
      </c>
      <c r="AE16" s="130">
        <v>0</v>
      </c>
      <c r="AF16" s="130">
        <v>0</v>
      </c>
      <c r="AG16" s="130">
        <v>0</v>
      </c>
      <c r="AH16" s="130">
        <v>0</v>
      </c>
      <c r="AI16" s="130">
        <v>0</v>
      </c>
      <c r="AJ16" s="130">
        <v>0</v>
      </c>
      <c r="AK16" s="130">
        <v>0</v>
      </c>
      <c r="AL16" s="130">
        <v>0</v>
      </c>
      <c r="AM16" s="130">
        <v>0</v>
      </c>
      <c r="AN16" s="130">
        <v>0</v>
      </c>
      <c r="AO16" s="130">
        <v>0</v>
      </c>
      <c r="AP16" s="130">
        <v>0</v>
      </c>
      <c r="AQ16" s="130">
        <v>0</v>
      </c>
      <c r="AR16" s="130"/>
      <c r="AS16" s="130">
        <v>0</v>
      </c>
      <c r="AT16" s="130">
        <v>0</v>
      </c>
      <c r="AU16" s="130">
        <v>0</v>
      </c>
      <c r="AV16" s="130">
        <v>0</v>
      </c>
      <c r="AW16" s="130">
        <v>0</v>
      </c>
      <c r="AX16" s="130">
        <v>0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0</v>
      </c>
      <c r="BH16" s="130"/>
      <c r="BI16" s="130"/>
      <c r="BJ16" s="130"/>
      <c r="BK16" s="130"/>
      <c r="BL16" s="130">
        <v>0</v>
      </c>
      <c r="BM16" s="130">
        <v>1544</v>
      </c>
      <c r="BN16" s="130">
        <v>619</v>
      </c>
      <c r="BO16" s="130">
        <v>0</v>
      </c>
      <c r="BP16" s="130">
        <v>0</v>
      </c>
      <c r="BQ16" s="130">
        <v>0</v>
      </c>
      <c r="BR16" s="130">
        <v>0</v>
      </c>
      <c r="BS16" s="130">
        <v>0</v>
      </c>
      <c r="BT16" s="130">
        <v>0</v>
      </c>
      <c r="BU16" s="130">
        <v>0</v>
      </c>
      <c r="BV16" s="130">
        <v>0</v>
      </c>
      <c r="BW16" s="130">
        <v>0</v>
      </c>
      <c r="BX16" s="130">
        <v>0</v>
      </c>
      <c r="BY16" s="130">
        <f t="shared" si="0"/>
        <v>0</v>
      </c>
      <c r="BZ16" s="130">
        <f t="shared" si="1"/>
        <v>0</v>
      </c>
    </row>
    <row r="17" spans="1:78" s="15" customFormat="1" ht="12.75" hidden="1" customHeight="1" outlineLevel="1">
      <c r="A17" s="14"/>
      <c r="B17" s="102" t="s">
        <v>490</v>
      </c>
      <c r="C17" s="195" t="s">
        <v>230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0</v>
      </c>
      <c r="AE17" s="130">
        <v>0</v>
      </c>
      <c r="AF17" s="130">
        <v>0</v>
      </c>
      <c r="AG17" s="130">
        <v>0</v>
      </c>
      <c r="AH17" s="130">
        <v>0</v>
      </c>
      <c r="AI17" s="130">
        <v>0</v>
      </c>
      <c r="AJ17" s="130">
        <v>0</v>
      </c>
      <c r="AK17" s="130">
        <v>19598</v>
      </c>
      <c r="AL17" s="130">
        <v>19213</v>
      </c>
      <c r="AM17" s="130">
        <v>19768</v>
      </c>
      <c r="AN17" s="130">
        <v>30181</v>
      </c>
      <c r="AO17" s="130">
        <v>30549</v>
      </c>
      <c r="AP17" s="130">
        <v>15103</v>
      </c>
      <c r="AQ17" s="130">
        <v>15287</v>
      </c>
      <c r="AR17" s="130">
        <v>0</v>
      </c>
      <c r="AS17" s="130">
        <v>0</v>
      </c>
      <c r="AT17" s="130">
        <v>0</v>
      </c>
      <c r="AU17" s="130">
        <v>0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30"/>
      <c r="BI17" s="130"/>
      <c r="BJ17" s="130"/>
      <c r="BK17" s="130"/>
      <c r="BL17" s="130">
        <v>0</v>
      </c>
      <c r="BM17" s="130">
        <v>0</v>
      </c>
      <c r="BN17" s="130">
        <v>0</v>
      </c>
      <c r="BO17" s="130">
        <v>0</v>
      </c>
      <c r="BP17" s="130">
        <v>0</v>
      </c>
      <c r="BQ17" s="130">
        <v>0</v>
      </c>
      <c r="BR17" s="130">
        <v>0</v>
      </c>
      <c r="BS17" s="130">
        <v>0</v>
      </c>
      <c r="BT17" s="130">
        <v>19768</v>
      </c>
      <c r="BU17" s="130">
        <v>15287</v>
      </c>
      <c r="BV17" s="130">
        <v>0</v>
      </c>
      <c r="BW17" s="130">
        <v>0</v>
      </c>
      <c r="BX17" s="130">
        <v>0</v>
      </c>
      <c r="BY17" s="130">
        <f t="shared" si="0"/>
        <v>0</v>
      </c>
      <c r="BZ17" s="130">
        <f t="shared" si="1"/>
        <v>0</v>
      </c>
    </row>
    <row r="18" spans="1:78" s="15" customFormat="1" ht="15.75" hidden="1" customHeight="1" outlineLevel="1">
      <c r="A18" s="39"/>
      <c r="B18" s="102" t="s">
        <v>491</v>
      </c>
      <c r="C18" s="195" t="s">
        <v>231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30168</v>
      </c>
      <c r="AS18" s="130">
        <v>31986</v>
      </c>
      <c r="AT18" s="130">
        <v>33183</v>
      </c>
      <c r="AU18" s="130">
        <v>0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30"/>
      <c r="BI18" s="130"/>
      <c r="BJ18" s="130"/>
      <c r="BK18" s="130"/>
      <c r="BL18" s="130">
        <v>0</v>
      </c>
      <c r="BM18" s="130">
        <v>0</v>
      </c>
      <c r="BN18" s="130">
        <v>0</v>
      </c>
      <c r="BO18" s="130">
        <v>0</v>
      </c>
      <c r="BP18" s="130">
        <v>0</v>
      </c>
      <c r="BQ18" s="130">
        <v>0</v>
      </c>
      <c r="BR18" s="130">
        <v>0</v>
      </c>
      <c r="BS18" s="130">
        <v>0</v>
      </c>
      <c r="BT18" s="130">
        <v>0</v>
      </c>
      <c r="BU18" s="130">
        <v>0</v>
      </c>
      <c r="BV18" s="130">
        <v>0</v>
      </c>
      <c r="BW18" s="130">
        <v>0</v>
      </c>
      <c r="BX18" s="130">
        <v>0</v>
      </c>
      <c r="BY18" s="130">
        <f t="shared" si="0"/>
        <v>0</v>
      </c>
      <c r="BZ18" s="130">
        <f t="shared" si="1"/>
        <v>0</v>
      </c>
    </row>
    <row r="19" spans="1:78" s="15" customFormat="1" ht="12.75" customHeight="1" collapsed="1">
      <c r="A19" s="14"/>
      <c r="B19" s="107" t="s">
        <v>492</v>
      </c>
      <c r="C19" s="193" t="s">
        <v>232</v>
      </c>
      <c r="D19" s="112">
        <v>27295</v>
      </c>
      <c r="E19" s="112">
        <v>22224</v>
      </c>
      <c r="F19" s="112">
        <v>32245</v>
      </c>
      <c r="G19" s="112">
        <v>33619</v>
      </c>
      <c r="H19" s="112">
        <v>31918</v>
      </c>
      <c r="I19" s="112">
        <v>29844</v>
      </c>
      <c r="J19" s="112">
        <v>30339</v>
      </c>
      <c r="K19" s="112">
        <v>43005</v>
      </c>
      <c r="L19" s="112">
        <v>64998</v>
      </c>
      <c r="M19" s="112">
        <v>64437</v>
      </c>
      <c r="N19" s="112">
        <v>21625</v>
      </c>
      <c r="O19" s="112">
        <v>32642</v>
      </c>
      <c r="P19" s="112">
        <v>31724</v>
      </c>
      <c r="Q19" s="112">
        <v>19262</v>
      </c>
      <c r="R19" s="112">
        <v>20074</v>
      </c>
      <c r="S19" s="112">
        <v>31268</v>
      </c>
      <c r="T19" s="112">
        <v>38102</v>
      </c>
      <c r="U19" s="112">
        <v>32446</v>
      </c>
      <c r="V19" s="112">
        <v>34896</v>
      </c>
      <c r="W19" s="112">
        <v>37769</v>
      </c>
      <c r="X19" s="112">
        <v>39677</v>
      </c>
      <c r="Y19" s="112">
        <v>45075</v>
      </c>
      <c r="Z19" s="112">
        <v>52589</v>
      </c>
      <c r="AA19" s="112">
        <v>48674</v>
      </c>
      <c r="AB19" s="112">
        <v>45927</v>
      </c>
      <c r="AC19" s="112">
        <v>33446</v>
      </c>
      <c r="AD19" s="112">
        <v>41724</v>
      </c>
      <c r="AE19" s="112">
        <v>50045</v>
      </c>
      <c r="AF19" s="112">
        <v>52514</v>
      </c>
      <c r="AG19" s="112">
        <v>55205</v>
      </c>
      <c r="AH19" s="112">
        <v>58140</v>
      </c>
      <c r="AI19" s="112">
        <v>49487</v>
      </c>
      <c r="AJ19" s="112">
        <v>39278</v>
      </c>
      <c r="AK19" s="112">
        <v>41496</v>
      </c>
      <c r="AL19" s="112">
        <v>31048</v>
      </c>
      <c r="AM19" s="112">
        <v>31290</v>
      </c>
      <c r="AN19" s="112">
        <v>41679</v>
      </c>
      <c r="AO19" s="112">
        <v>41445</v>
      </c>
      <c r="AP19" s="112">
        <v>25091</v>
      </c>
      <c r="AQ19" s="112">
        <v>24352</v>
      </c>
      <c r="AR19" s="112">
        <v>38267</v>
      </c>
      <c r="AS19" s="112">
        <v>39663</v>
      </c>
      <c r="AT19" s="112">
        <v>40752</v>
      </c>
      <c r="AU19" s="112">
        <v>5993</v>
      </c>
      <c r="AV19" s="112">
        <v>5990</v>
      </c>
      <c r="AW19" s="112">
        <v>5987</v>
      </c>
      <c r="AX19" s="112">
        <v>16860</v>
      </c>
      <c r="AY19" s="112">
        <v>17125</v>
      </c>
      <c r="AZ19" s="112">
        <v>17221</v>
      </c>
      <c r="BA19" s="112">
        <v>79703</v>
      </c>
      <c r="BB19" s="112">
        <v>76211</v>
      </c>
      <c r="BC19" s="112">
        <v>78748</v>
      </c>
      <c r="BD19" s="112">
        <v>83310</v>
      </c>
      <c r="BE19" s="112">
        <v>74439</v>
      </c>
      <c r="BF19" s="112">
        <v>129044</v>
      </c>
      <c r="BG19" s="112">
        <f>SUM(BG6:BG18)</f>
        <v>129486</v>
      </c>
      <c r="BH19" s="112">
        <f>SUM(BH6:BH18)</f>
        <v>90295</v>
      </c>
      <c r="BI19" s="112">
        <f>SUM(BI6:BI18)</f>
        <v>84018</v>
      </c>
      <c r="BJ19" s="112">
        <f>SUM(BJ6:BJ18)</f>
        <v>90536</v>
      </c>
      <c r="BK19" s="112"/>
      <c r="BL19" s="112">
        <v>33619</v>
      </c>
      <c r="BM19" s="112">
        <v>43005</v>
      </c>
      <c r="BN19" s="112">
        <v>32642</v>
      </c>
      <c r="BO19" s="112">
        <v>31268</v>
      </c>
      <c r="BP19" s="112">
        <v>37769</v>
      </c>
      <c r="BQ19" s="112">
        <v>48674</v>
      </c>
      <c r="BR19" s="112">
        <v>50045</v>
      </c>
      <c r="BS19" s="112">
        <v>49487</v>
      </c>
      <c r="BT19" s="112">
        <v>31290</v>
      </c>
      <c r="BU19" s="112">
        <v>24352</v>
      </c>
      <c r="BV19" s="112">
        <v>5993</v>
      </c>
      <c r="BW19" s="112">
        <v>17125</v>
      </c>
      <c r="BX19" s="112">
        <v>78748</v>
      </c>
      <c r="BY19" s="112">
        <f>SUM(BY6:BY18)</f>
        <v>129486</v>
      </c>
      <c r="BZ19" s="112">
        <f>SUM(BZ6:BZ18)</f>
        <v>90536</v>
      </c>
    </row>
    <row r="20" spans="1:78" s="15" customFormat="1" ht="12.75" hidden="1" customHeight="1" outlineLevel="1">
      <c r="A20" s="14"/>
      <c r="B20" s="102" t="s">
        <v>486</v>
      </c>
      <c r="C20" s="195" t="s">
        <v>224</v>
      </c>
      <c r="D20" s="130">
        <v>1005</v>
      </c>
      <c r="E20" s="130"/>
      <c r="F20" s="130">
        <v>4669</v>
      </c>
      <c r="G20" s="130">
        <v>3072</v>
      </c>
      <c r="H20" s="130">
        <v>2088</v>
      </c>
      <c r="I20" s="130">
        <v>1462</v>
      </c>
      <c r="J20" s="130">
        <v>28114</v>
      </c>
      <c r="K20" s="130">
        <v>30175</v>
      </c>
      <c r="L20" s="130">
        <v>17558</v>
      </c>
      <c r="M20" s="130">
        <v>4939</v>
      </c>
      <c r="N20" s="130"/>
      <c r="O20" s="130"/>
      <c r="P20" s="130">
        <v>0</v>
      </c>
      <c r="Q20" s="130">
        <v>23117</v>
      </c>
      <c r="R20" s="130">
        <v>20019</v>
      </c>
      <c r="S20" s="130">
        <v>16859</v>
      </c>
      <c r="T20" s="130">
        <v>13694</v>
      </c>
      <c r="U20" s="130">
        <v>10438</v>
      </c>
      <c r="V20" s="130">
        <v>7308</v>
      </c>
      <c r="W20" s="130">
        <v>39885</v>
      </c>
      <c r="X20" s="130">
        <v>31608</v>
      </c>
      <c r="Y20" s="130">
        <v>25767</v>
      </c>
      <c r="Z20" s="130">
        <v>20967</v>
      </c>
      <c r="AA20" s="130">
        <v>16167</v>
      </c>
      <c r="AB20" s="130">
        <v>32044</v>
      </c>
      <c r="AC20" s="130">
        <v>24290</v>
      </c>
      <c r="AD20" s="130">
        <v>41435</v>
      </c>
      <c r="AE20" s="130">
        <v>29485</v>
      </c>
      <c r="AF20" s="130">
        <v>19301</v>
      </c>
      <c r="AG20" s="130">
        <v>9117</v>
      </c>
      <c r="AH20" s="130">
        <v>2955</v>
      </c>
      <c r="AI20" s="130">
        <v>0</v>
      </c>
      <c r="AJ20" s="130">
        <v>0</v>
      </c>
      <c r="AK20" s="130">
        <v>0</v>
      </c>
      <c r="AL20" s="130">
        <v>0</v>
      </c>
      <c r="AM20" s="130">
        <v>0</v>
      </c>
      <c r="AN20" s="130">
        <v>0</v>
      </c>
      <c r="AO20" s="130">
        <v>0</v>
      </c>
      <c r="AP20" s="130">
        <v>0</v>
      </c>
      <c r="AQ20" s="130">
        <v>0</v>
      </c>
      <c r="AR20" s="130">
        <v>0</v>
      </c>
      <c r="AS20" s="130">
        <v>0</v>
      </c>
      <c r="AT20" s="130">
        <v>0</v>
      </c>
      <c r="AU20" s="130">
        <v>0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0</v>
      </c>
      <c r="BH20" s="130"/>
      <c r="BI20" s="130"/>
      <c r="BJ20" s="130"/>
      <c r="BK20" s="130"/>
      <c r="BL20" s="130">
        <v>3072</v>
      </c>
      <c r="BM20" s="130">
        <v>30175</v>
      </c>
      <c r="BN20" s="130">
        <v>0</v>
      </c>
      <c r="BO20" s="130">
        <v>16859</v>
      </c>
      <c r="BP20" s="130">
        <v>39885</v>
      </c>
      <c r="BQ20" s="130">
        <v>16167</v>
      </c>
      <c r="BR20" s="130">
        <v>29485</v>
      </c>
      <c r="BS20" s="130">
        <v>0</v>
      </c>
      <c r="BT20" s="130">
        <v>0</v>
      </c>
      <c r="BU20" s="130">
        <v>0</v>
      </c>
      <c r="BV20" s="130">
        <v>0</v>
      </c>
      <c r="BW20" s="130">
        <v>0</v>
      </c>
      <c r="BX20" s="130">
        <v>0</v>
      </c>
      <c r="BY20" s="130">
        <f t="shared" si="0"/>
        <v>0</v>
      </c>
      <c r="BZ20" s="130">
        <f t="shared" ref="BZ20:BZ29" si="2">+BJ20</f>
        <v>0</v>
      </c>
    </row>
    <row r="21" spans="1:78" s="15" customFormat="1" ht="12.75" hidden="1" customHeight="1" outlineLevel="1">
      <c r="A21" s="14"/>
      <c r="B21" s="102" t="s">
        <v>225</v>
      </c>
      <c r="C21" s="195" t="s">
        <v>225</v>
      </c>
      <c r="D21" s="130">
        <v>35251</v>
      </c>
      <c r="E21" s="130">
        <v>33771</v>
      </c>
      <c r="F21" s="130">
        <v>32003</v>
      </c>
      <c r="G21" s="130">
        <v>0</v>
      </c>
      <c r="H21" s="130">
        <v>28831</v>
      </c>
      <c r="I21" s="130">
        <v>27178</v>
      </c>
      <c r="J21" s="130">
        <v>26238</v>
      </c>
      <c r="K21" s="130">
        <v>7144</v>
      </c>
      <c r="L21" s="130">
        <v>23104</v>
      </c>
      <c r="M21" s="130">
        <v>21875</v>
      </c>
      <c r="N21" s="130">
        <v>20406</v>
      </c>
      <c r="O21" s="130">
        <v>18776</v>
      </c>
      <c r="P21" s="130">
        <v>17181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0</v>
      </c>
      <c r="AL21" s="130">
        <v>0</v>
      </c>
      <c r="AM21" s="130">
        <v>0</v>
      </c>
      <c r="AN21" s="130">
        <v>0</v>
      </c>
      <c r="AO21" s="130">
        <v>0</v>
      </c>
      <c r="AP21" s="130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/>
      <c r="BI21" s="130"/>
      <c r="BJ21" s="130"/>
      <c r="BK21" s="130"/>
      <c r="BL21" s="130">
        <v>0</v>
      </c>
      <c r="BM21" s="130">
        <v>7144</v>
      </c>
      <c r="BN21" s="130">
        <v>18776</v>
      </c>
      <c r="BO21" s="130">
        <v>0</v>
      </c>
      <c r="BP21" s="130">
        <v>0</v>
      </c>
      <c r="BQ21" s="130">
        <v>0</v>
      </c>
      <c r="BR21" s="130">
        <v>0</v>
      </c>
      <c r="BS21" s="130">
        <v>0</v>
      </c>
      <c r="BT21" s="130">
        <v>0</v>
      </c>
      <c r="BU21" s="130">
        <v>0</v>
      </c>
      <c r="BV21" s="130">
        <v>0</v>
      </c>
      <c r="BW21" s="130">
        <v>0</v>
      </c>
      <c r="BX21" s="130">
        <v>0</v>
      </c>
      <c r="BY21" s="130">
        <f t="shared" si="0"/>
        <v>0</v>
      </c>
      <c r="BZ21" s="130">
        <f t="shared" si="2"/>
        <v>0</v>
      </c>
    </row>
    <row r="22" spans="1:78" s="15" customFormat="1" ht="12.75" hidden="1" customHeight="1" outlineLevel="1">
      <c r="A22" s="14"/>
      <c r="B22" s="102" t="s">
        <v>226</v>
      </c>
      <c r="C22" s="195" t="s">
        <v>226</v>
      </c>
      <c r="D22" s="130">
        <v>0</v>
      </c>
      <c r="E22" s="130">
        <v>0</v>
      </c>
      <c r="F22" s="130">
        <v>0</v>
      </c>
      <c r="G22" s="130">
        <v>0</v>
      </c>
      <c r="H22" s="130">
        <v>888</v>
      </c>
      <c r="I22" s="130">
        <v>4218</v>
      </c>
      <c r="J22" s="130">
        <v>5485</v>
      </c>
      <c r="K22" s="130">
        <v>24742</v>
      </c>
      <c r="L22" s="130">
        <v>7067</v>
      </c>
      <c r="M22" s="130">
        <v>6897</v>
      </c>
      <c r="N22" s="130">
        <v>6669</v>
      </c>
      <c r="O22" s="130">
        <v>8093</v>
      </c>
      <c r="P22" s="130">
        <v>7844</v>
      </c>
      <c r="Q22" s="130">
        <v>8122</v>
      </c>
      <c r="R22" s="130">
        <v>7878</v>
      </c>
      <c r="S22" s="130">
        <v>8424</v>
      </c>
      <c r="T22" s="130">
        <v>8216</v>
      </c>
      <c r="U22" s="130">
        <v>8315</v>
      </c>
      <c r="V22" s="130">
        <v>8488</v>
      </c>
      <c r="W22" s="130">
        <v>10241</v>
      </c>
      <c r="X22" s="130">
        <v>10228</v>
      </c>
      <c r="Y22" s="130">
        <v>9938</v>
      </c>
      <c r="Z22" s="130">
        <v>11750</v>
      </c>
      <c r="AA22" s="130">
        <v>11543</v>
      </c>
      <c r="AB22" s="130">
        <v>12388</v>
      </c>
      <c r="AC22" s="130">
        <v>11833</v>
      </c>
      <c r="AD22" s="130">
        <v>11270</v>
      </c>
      <c r="AE22" s="130">
        <v>10705</v>
      </c>
      <c r="AF22" s="130">
        <v>10170</v>
      </c>
      <c r="AG22" s="130">
        <v>9650</v>
      </c>
      <c r="AH22" s="130">
        <v>9130</v>
      </c>
      <c r="AI22" s="130">
        <v>8615</v>
      </c>
      <c r="AJ22" s="130">
        <v>8108</v>
      </c>
      <c r="AK22" s="130">
        <v>7614</v>
      </c>
      <c r="AL22" s="130">
        <v>7126</v>
      </c>
      <c r="AM22" s="130">
        <v>6639</v>
      </c>
      <c r="AN22" s="130">
        <v>6151</v>
      </c>
      <c r="AO22" s="130">
        <v>5663</v>
      </c>
      <c r="AP22" s="130">
        <v>5206</v>
      </c>
      <c r="AQ22" s="130">
        <v>4763</v>
      </c>
      <c r="AR22" s="130">
        <v>4359</v>
      </c>
      <c r="AS22" s="130">
        <v>3996</v>
      </c>
      <c r="AT22" s="130">
        <v>3643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/>
      <c r="BI22" s="130"/>
      <c r="BJ22" s="130"/>
      <c r="BK22" s="130"/>
      <c r="BL22" s="130">
        <v>0</v>
      </c>
      <c r="BM22" s="130">
        <v>24742</v>
      </c>
      <c r="BN22" s="130">
        <v>8093</v>
      </c>
      <c r="BO22" s="130">
        <v>8424</v>
      </c>
      <c r="BP22" s="130">
        <v>10241</v>
      </c>
      <c r="BQ22" s="130">
        <v>11543</v>
      </c>
      <c r="BR22" s="130">
        <v>10705</v>
      </c>
      <c r="BS22" s="130">
        <v>8615</v>
      </c>
      <c r="BT22" s="130">
        <v>6639</v>
      </c>
      <c r="BU22" s="130">
        <v>4763</v>
      </c>
      <c r="BV22" s="130">
        <v>0</v>
      </c>
      <c r="BW22" s="130">
        <v>0</v>
      </c>
      <c r="BX22" s="130">
        <v>0</v>
      </c>
      <c r="BY22" s="130">
        <f t="shared" si="0"/>
        <v>0</v>
      </c>
      <c r="BZ22" s="130">
        <f t="shared" si="2"/>
        <v>0</v>
      </c>
    </row>
    <row r="23" spans="1:78" s="15" customFormat="1" ht="12.75" hidden="1" customHeight="1" outlineLevel="1" collapsed="1">
      <c r="A23" s="14"/>
      <c r="B23" s="102" t="s">
        <v>228</v>
      </c>
      <c r="C23" s="195" t="s">
        <v>228</v>
      </c>
      <c r="D23" s="130">
        <v>0</v>
      </c>
      <c r="E23" s="130">
        <v>0</v>
      </c>
      <c r="F23" s="130">
        <v>0</v>
      </c>
      <c r="G23" s="130">
        <v>30431</v>
      </c>
      <c r="H23" s="130">
        <v>0</v>
      </c>
      <c r="I23" s="130">
        <v>0</v>
      </c>
      <c r="J23" s="130">
        <v>0</v>
      </c>
      <c r="K23" s="130">
        <v>18451</v>
      </c>
      <c r="L23" s="130">
        <v>18475</v>
      </c>
      <c r="M23" s="130">
        <v>18472</v>
      </c>
      <c r="N23" s="130">
        <v>18017</v>
      </c>
      <c r="O23" s="130">
        <v>17335</v>
      </c>
      <c r="P23" s="130">
        <v>16651</v>
      </c>
      <c r="Q23" s="130">
        <v>20462</v>
      </c>
      <c r="R23" s="130">
        <v>19590</v>
      </c>
      <c r="S23" s="130">
        <v>18715</v>
      </c>
      <c r="T23" s="130">
        <v>17838</v>
      </c>
      <c r="U23" s="130">
        <v>16959</v>
      </c>
      <c r="V23" s="130">
        <v>16082</v>
      </c>
      <c r="W23" s="130">
        <v>18500</v>
      </c>
      <c r="X23" s="130">
        <v>17585</v>
      </c>
      <c r="Y23" s="130">
        <v>16709</v>
      </c>
      <c r="Z23" s="130">
        <v>29179</v>
      </c>
      <c r="AA23" s="130">
        <v>27620</v>
      </c>
      <c r="AB23" s="130">
        <v>26061</v>
      </c>
      <c r="AC23" s="130">
        <v>24502</v>
      </c>
      <c r="AD23" s="130">
        <v>22943</v>
      </c>
      <c r="AE23" s="130">
        <v>27992</v>
      </c>
      <c r="AF23" s="130">
        <v>26091</v>
      </c>
      <c r="AG23" s="130">
        <v>25344</v>
      </c>
      <c r="AH23" s="130">
        <v>23376</v>
      </c>
      <c r="AI23" s="130">
        <v>21409</v>
      </c>
      <c r="AJ23" s="130">
        <v>19442</v>
      </c>
      <c r="AK23" s="130">
        <v>17474</v>
      </c>
      <c r="AL23" s="130">
        <v>20463</v>
      </c>
      <c r="AM23" s="130">
        <v>18093</v>
      </c>
      <c r="AN23" s="130">
        <v>15724</v>
      </c>
      <c r="AO23" s="130">
        <v>13939</v>
      </c>
      <c r="AP23" s="130">
        <v>12445</v>
      </c>
      <c r="AQ23" s="130">
        <v>10951</v>
      </c>
      <c r="AR23" s="130">
        <v>9459</v>
      </c>
      <c r="AS23" s="130">
        <v>7965</v>
      </c>
      <c r="AT23" s="130">
        <v>6471</v>
      </c>
      <c r="AU23" s="130">
        <v>4978</v>
      </c>
      <c r="AV23" s="130">
        <v>3485</v>
      </c>
      <c r="AW23" s="130">
        <v>1991</v>
      </c>
      <c r="AX23" s="130">
        <v>498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0</v>
      </c>
      <c r="BH23" s="130"/>
      <c r="BI23" s="130"/>
      <c r="BJ23" s="130"/>
      <c r="BK23" s="130"/>
      <c r="BL23" s="130">
        <v>30431</v>
      </c>
      <c r="BM23" s="130">
        <v>18451</v>
      </c>
      <c r="BN23" s="130">
        <v>17335</v>
      </c>
      <c r="BO23" s="130">
        <v>18715</v>
      </c>
      <c r="BP23" s="130">
        <v>18500</v>
      </c>
      <c r="BQ23" s="130">
        <v>27620</v>
      </c>
      <c r="BR23" s="130">
        <v>27992</v>
      </c>
      <c r="BS23" s="130">
        <v>21409</v>
      </c>
      <c r="BT23" s="130">
        <v>18093</v>
      </c>
      <c r="BU23" s="130">
        <v>10951</v>
      </c>
      <c r="BV23" s="130">
        <v>4978</v>
      </c>
      <c r="BW23" s="130">
        <v>0</v>
      </c>
      <c r="BX23" s="130">
        <v>0</v>
      </c>
      <c r="BY23" s="130">
        <f t="shared" si="0"/>
        <v>0</v>
      </c>
      <c r="BZ23" s="130">
        <f t="shared" si="2"/>
        <v>0</v>
      </c>
    </row>
    <row r="24" spans="1:78" s="15" customFormat="1" ht="12.75" hidden="1" customHeight="1" outlineLevel="1">
      <c r="A24" s="14"/>
      <c r="B24" s="102" t="s">
        <v>380</v>
      </c>
      <c r="C24" s="195" t="s">
        <v>154</v>
      </c>
      <c r="D24" s="130">
        <v>101170</v>
      </c>
      <c r="E24" s="130">
        <v>106767</v>
      </c>
      <c r="F24" s="130">
        <v>102107</v>
      </c>
      <c r="G24" s="130">
        <v>97348</v>
      </c>
      <c r="H24" s="130">
        <v>94477</v>
      </c>
      <c r="I24" s="130">
        <v>91607</v>
      </c>
      <c r="J24" s="130">
        <v>89318</v>
      </c>
      <c r="K24" s="130">
        <v>86637</v>
      </c>
      <c r="L24" s="130">
        <v>72473</v>
      </c>
      <c r="M24" s="130">
        <v>71360</v>
      </c>
      <c r="N24" s="130">
        <v>69005</v>
      </c>
      <c r="O24" s="130">
        <v>56907</v>
      </c>
      <c r="P24" s="130">
        <v>54524</v>
      </c>
      <c r="Q24" s="130">
        <v>53369</v>
      </c>
      <c r="R24" s="130">
        <v>51342</v>
      </c>
      <c r="S24" s="130">
        <v>40540</v>
      </c>
      <c r="T24" s="130">
        <v>40019</v>
      </c>
      <c r="U24" s="130">
        <v>38046</v>
      </c>
      <c r="V24" s="130">
        <v>34432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/>
      <c r="BI24" s="130"/>
      <c r="BJ24" s="130"/>
      <c r="BK24" s="130"/>
      <c r="BL24" s="130">
        <v>97348</v>
      </c>
      <c r="BM24" s="130">
        <v>86637</v>
      </c>
      <c r="BN24" s="130">
        <v>56907</v>
      </c>
      <c r="BO24" s="130">
        <v>40540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f t="shared" si="0"/>
        <v>0</v>
      </c>
      <c r="BZ24" s="130">
        <f t="shared" si="2"/>
        <v>0</v>
      </c>
    </row>
    <row r="25" spans="1:78" s="15" customFormat="1" ht="12.75" hidden="1" customHeight="1" outlineLevel="1">
      <c r="A25" s="14"/>
      <c r="B25" s="102" t="s">
        <v>493</v>
      </c>
      <c r="C25" s="195" t="s">
        <v>70</v>
      </c>
      <c r="D25" s="130">
        <v>0</v>
      </c>
      <c r="E25" s="130">
        <v>0</v>
      </c>
      <c r="F25" s="130">
        <v>13</v>
      </c>
      <c r="G25" s="130">
        <v>12</v>
      </c>
      <c r="H25" s="130">
        <v>12</v>
      </c>
      <c r="I25" s="130">
        <v>12</v>
      </c>
      <c r="J25" s="130">
        <v>12</v>
      </c>
      <c r="K25" s="130">
        <v>12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0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0</v>
      </c>
      <c r="BH25" s="130"/>
      <c r="BI25" s="130"/>
      <c r="BJ25" s="130"/>
      <c r="BK25" s="130"/>
      <c r="BL25" s="130">
        <v>12</v>
      </c>
      <c r="BM25" s="130">
        <v>12</v>
      </c>
      <c r="BN25" s="130">
        <v>0</v>
      </c>
      <c r="BO25" s="130">
        <v>0</v>
      </c>
      <c r="BP25" s="130">
        <v>0</v>
      </c>
      <c r="BQ25" s="130">
        <v>0</v>
      </c>
      <c r="BR25" s="130">
        <v>0</v>
      </c>
      <c r="BS25" s="130">
        <v>0</v>
      </c>
      <c r="BT25" s="130">
        <v>0</v>
      </c>
      <c r="BU25" s="130">
        <v>0</v>
      </c>
      <c r="BV25" s="130">
        <v>0</v>
      </c>
      <c r="BW25" s="130">
        <v>0</v>
      </c>
      <c r="BX25" s="130">
        <v>0</v>
      </c>
      <c r="BY25" s="130">
        <f t="shared" si="0"/>
        <v>0</v>
      </c>
      <c r="BZ25" s="130">
        <f t="shared" si="2"/>
        <v>0</v>
      </c>
    </row>
    <row r="26" spans="1:78" s="15" customFormat="1" ht="12.75" hidden="1" customHeight="1" outlineLevel="1">
      <c r="A26" s="14"/>
      <c r="B26" s="102" t="s">
        <v>490</v>
      </c>
      <c r="C26" s="195" t="s">
        <v>230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19000</v>
      </c>
      <c r="AL26" s="130">
        <v>9500</v>
      </c>
      <c r="AM26" s="130">
        <v>9500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/>
      <c r="BI26" s="130"/>
      <c r="BJ26" s="130"/>
      <c r="BK26" s="130"/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9500</v>
      </c>
      <c r="BU26" s="130">
        <v>0</v>
      </c>
      <c r="BV26" s="130">
        <v>0</v>
      </c>
      <c r="BW26" s="130">
        <v>0</v>
      </c>
      <c r="BX26" s="130">
        <v>0</v>
      </c>
      <c r="BY26" s="130">
        <f t="shared" si="0"/>
        <v>0</v>
      </c>
      <c r="BZ26" s="130">
        <f t="shared" si="2"/>
        <v>0</v>
      </c>
    </row>
    <row r="27" spans="1:78" s="15" customFormat="1" ht="12.75" customHeight="1" collapsed="1">
      <c r="A27" s="14"/>
      <c r="B27" s="102" t="s">
        <v>269</v>
      </c>
      <c r="C27" s="195" t="s">
        <v>269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0</v>
      </c>
      <c r="BH27" s="130">
        <v>0</v>
      </c>
      <c r="BI27" s="130">
        <v>148312</v>
      </c>
      <c r="BJ27" s="130">
        <v>148445</v>
      </c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>
        <f t="shared" si="0"/>
        <v>0</v>
      </c>
      <c r="BZ27" s="130">
        <f t="shared" si="2"/>
        <v>148445</v>
      </c>
    </row>
    <row r="28" spans="1:78" s="15" customFormat="1" ht="12.75" customHeight="1">
      <c r="A28" s="14"/>
      <c r="B28" s="102" t="s">
        <v>45</v>
      </c>
      <c r="C28" s="195" t="s">
        <v>45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40000</v>
      </c>
      <c r="AY28" s="130">
        <v>40000</v>
      </c>
      <c r="AZ28" s="130">
        <v>40000</v>
      </c>
      <c r="BA28" s="130">
        <v>80000</v>
      </c>
      <c r="BB28" s="130">
        <v>70000</v>
      </c>
      <c r="BC28" s="130">
        <v>40000</v>
      </c>
      <c r="BD28" s="130">
        <v>40000</v>
      </c>
      <c r="BE28" s="130">
        <v>30000</v>
      </c>
      <c r="BF28" s="130">
        <v>30000</v>
      </c>
      <c r="BG28" s="130">
        <v>30000</v>
      </c>
      <c r="BH28" s="130">
        <v>20000</v>
      </c>
      <c r="BI28" s="130">
        <v>20000</v>
      </c>
      <c r="BJ28" s="130">
        <v>20000</v>
      </c>
      <c r="BK28" s="130"/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40000</v>
      </c>
      <c r="BX28" s="130">
        <v>40000</v>
      </c>
      <c r="BY28" s="130">
        <f t="shared" si="0"/>
        <v>30000</v>
      </c>
      <c r="BZ28" s="130">
        <f t="shared" si="2"/>
        <v>20000</v>
      </c>
    </row>
    <row r="29" spans="1:78" s="15" customFormat="1" ht="12.75" customHeight="1">
      <c r="A29" s="14"/>
      <c r="B29" s="102" t="s">
        <v>488</v>
      </c>
      <c r="C29" s="195" t="s">
        <v>90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30">
        <v>0</v>
      </c>
      <c r="BC29" s="130">
        <v>48043</v>
      </c>
      <c r="BD29" s="130">
        <v>48000</v>
      </c>
      <c r="BE29" s="130">
        <v>48000</v>
      </c>
      <c r="BF29" s="130">
        <v>48000</v>
      </c>
      <c r="BG29" s="130">
        <f>33433+2567</f>
        <v>36000</v>
      </c>
      <c r="BH29" s="130">
        <f>34503+1497</f>
        <v>36000</v>
      </c>
      <c r="BI29" s="130">
        <v>36000</v>
      </c>
      <c r="BJ29" s="130">
        <v>36000</v>
      </c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>
        <v>0</v>
      </c>
      <c r="BX29" s="130">
        <v>48043</v>
      </c>
      <c r="BY29" s="130">
        <f t="shared" si="0"/>
        <v>36000</v>
      </c>
      <c r="BZ29" s="130">
        <f t="shared" si="2"/>
        <v>36000</v>
      </c>
    </row>
    <row r="30" spans="1:78" s="15" customFormat="1" ht="12.75" customHeight="1">
      <c r="A30" s="14"/>
      <c r="B30" s="107" t="s">
        <v>494</v>
      </c>
      <c r="C30" s="193" t="s">
        <v>233</v>
      </c>
      <c r="D30" s="112">
        <v>137426</v>
      </c>
      <c r="E30" s="112">
        <v>140538</v>
      </c>
      <c r="F30" s="112">
        <v>138792</v>
      </c>
      <c r="G30" s="112">
        <v>130863</v>
      </c>
      <c r="H30" s="112">
        <v>126296</v>
      </c>
      <c r="I30" s="112">
        <v>124477</v>
      </c>
      <c r="J30" s="112">
        <v>149167</v>
      </c>
      <c r="K30" s="112">
        <v>167161</v>
      </c>
      <c r="L30" s="112">
        <v>138677</v>
      </c>
      <c r="M30" s="112">
        <v>123543</v>
      </c>
      <c r="N30" s="112">
        <v>114097</v>
      </c>
      <c r="O30" s="112">
        <v>101111</v>
      </c>
      <c r="P30" s="112">
        <v>96200</v>
      </c>
      <c r="Q30" s="112">
        <v>105070</v>
      </c>
      <c r="R30" s="112">
        <v>98829</v>
      </c>
      <c r="S30" s="112">
        <v>84538</v>
      </c>
      <c r="T30" s="112">
        <v>79767</v>
      </c>
      <c r="U30" s="112">
        <v>73758</v>
      </c>
      <c r="V30" s="112">
        <v>66310</v>
      </c>
      <c r="W30" s="112">
        <v>68626</v>
      </c>
      <c r="X30" s="112">
        <v>59421</v>
      </c>
      <c r="Y30" s="112">
        <v>52414</v>
      </c>
      <c r="Z30" s="112">
        <v>61896</v>
      </c>
      <c r="AA30" s="112">
        <v>55330</v>
      </c>
      <c r="AB30" s="112">
        <v>70493</v>
      </c>
      <c r="AC30" s="112">
        <v>60625</v>
      </c>
      <c r="AD30" s="112">
        <v>75648</v>
      </c>
      <c r="AE30" s="112">
        <v>68182</v>
      </c>
      <c r="AF30" s="112">
        <v>55562</v>
      </c>
      <c r="AG30" s="112">
        <v>44111</v>
      </c>
      <c r="AH30" s="112">
        <v>35461</v>
      </c>
      <c r="AI30" s="112">
        <v>30024</v>
      </c>
      <c r="AJ30" s="112">
        <v>27550</v>
      </c>
      <c r="AK30" s="112">
        <v>44088</v>
      </c>
      <c r="AL30" s="112">
        <v>37089</v>
      </c>
      <c r="AM30" s="112">
        <v>34232</v>
      </c>
      <c r="AN30" s="112">
        <v>21875</v>
      </c>
      <c r="AO30" s="112">
        <v>19602</v>
      </c>
      <c r="AP30" s="112">
        <v>17651</v>
      </c>
      <c r="AQ30" s="112">
        <v>15714</v>
      </c>
      <c r="AR30" s="112">
        <v>13818</v>
      </c>
      <c r="AS30" s="112">
        <v>11961</v>
      </c>
      <c r="AT30" s="112">
        <v>10114</v>
      </c>
      <c r="AU30" s="112">
        <v>4978</v>
      </c>
      <c r="AV30" s="112">
        <v>3485</v>
      </c>
      <c r="AW30" s="112">
        <v>1991</v>
      </c>
      <c r="AX30" s="112">
        <v>40498</v>
      </c>
      <c r="AY30" s="112">
        <v>40000</v>
      </c>
      <c r="AZ30" s="112">
        <v>40000</v>
      </c>
      <c r="BA30" s="112">
        <v>80000</v>
      </c>
      <c r="BB30" s="112">
        <v>70000</v>
      </c>
      <c r="BC30" s="112">
        <v>88043</v>
      </c>
      <c r="BD30" s="112">
        <v>88000</v>
      </c>
      <c r="BE30" s="112">
        <v>78000</v>
      </c>
      <c r="BF30" s="112">
        <v>78000</v>
      </c>
      <c r="BG30" s="112">
        <f>SUM(BG20:BG29)</f>
        <v>66000</v>
      </c>
      <c r="BH30" s="112">
        <f>SUM(BH20:BH29)</f>
        <v>56000</v>
      </c>
      <c r="BI30" s="112">
        <f>SUM(BI20:BI29)</f>
        <v>204312</v>
      </c>
      <c r="BJ30" s="112">
        <f>SUM(BJ20:BJ29)</f>
        <v>204445</v>
      </c>
      <c r="BK30" s="112"/>
      <c r="BL30" s="112">
        <v>130863</v>
      </c>
      <c r="BM30" s="112">
        <v>167161</v>
      </c>
      <c r="BN30" s="112">
        <v>101111</v>
      </c>
      <c r="BO30" s="112">
        <v>84538</v>
      </c>
      <c r="BP30" s="112">
        <v>68626</v>
      </c>
      <c r="BQ30" s="112">
        <v>55330</v>
      </c>
      <c r="BR30" s="112">
        <v>68182</v>
      </c>
      <c r="BS30" s="112">
        <v>30024</v>
      </c>
      <c r="BT30" s="112">
        <v>34232</v>
      </c>
      <c r="BU30" s="112">
        <v>15714</v>
      </c>
      <c r="BV30" s="112">
        <v>4978</v>
      </c>
      <c r="BW30" s="112">
        <v>40000</v>
      </c>
      <c r="BX30" s="112">
        <v>88043</v>
      </c>
      <c r="BY30" s="112">
        <f>SUM(BY20:BY29)</f>
        <v>66000</v>
      </c>
      <c r="BZ30" s="112">
        <f>SUM(BZ20:BZ29)</f>
        <v>204445</v>
      </c>
    </row>
    <row r="31" spans="1:78" s="15" customFormat="1" ht="12.75" customHeight="1">
      <c r="A31" s="14"/>
      <c r="B31" s="102" t="s">
        <v>495</v>
      </c>
      <c r="C31" s="195" t="s">
        <v>234</v>
      </c>
      <c r="D31" s="130">
        <v>164721</v>
      </c>
      <c r="E31" s="130">
        <v>162762</v>
      </c>
      <c r="F31" s="130">
        <v>171037</v>
      </c>
      <c r="G31" s="130">
        <v>164482</v>
      </c>
      <c r="H31" s="130">
        <v>158214</v>
      </c>
      <c r="I31" s="130">
        <v>154321</v>
      </c>
      <c r="J31" s="130">
        <v>179506</v>
      </c>
      <c r="K31" s="130">
        <v>210166</v>
      </c>
      <c r="L31" s="130">
        <v>203675</v>
      </c>
      <c r="M31" s="130">
        <v>187980</v>
      </c>
      <c r="N31" s="130">
        <v>135722</v>
      </c>
      <c r="O31" s="130">
        <v>133753</v>
      </c>
      <c r="P31" s="130">
        <v>127924</v>
      </c>
      <c r="Q31" s="130">
        <v>124332</v>
      </c>
      <c r="R31" s="130">
        <v>118903</v>
      </c>
      <c r="S31" s="130">
        <v>115806</v>
      </c>
      <c r="T31" s="130">
        <v>117869</v>
      </c>
      <c r="U31" s="130">
        <v>106204</v>
      </c>
      <c r="V31" s="130">
        <v>101206</v>
      </c>
      <c r="W31" s="130">
        <v>106395</v>
      </c>
      <c r="X31" s="130">
        <v>99098</v>
      </c>
      <c r="Y31" s="130">
        <v>97489</v>
      </c>
      <c r="Z31" s="130">
        <v>114485</v>
      </c>
      <c r="AA31" s="130">
        <v>104004</v>
      </c>
      <c r="AB31" s="130">
        <v>116420</v>
      </c>
      <c r="AC31" s="130">
        <v>94071</v>
      </c>
      <c r="AD31" s="130">
        <v>117372</v>
      </c>
      <c r="AE31" s="130">
        <v>118227</v>
      </c>
      <c r="AF31" s="130">
        <v>108076</v>
      </c>
      <c r="AG31" s="130">
        <v>99316</v>
      </c>
      <c r="AH31" s="130">
        <v>93601</v>
      </c>
      <c r="AI31" s="130">
        <v>79511</v>
      </c>
      <c r="AJ31" s="130">
        <v>66828</v>
      </c>
      <c r="AK31" s="130">
        <v>85584</v>
      </c>
      <c r="AL31" s="130">
        <v>68137</v>
      </c>
      <c r="AM31" s="130">
        <v>65522</v>
      </c>
      <c r="AN31" s="130">
        <v>63554</v>
      </c>
      <c r="AO31" s="130">
        <v>61047</v>
      </c>
      <c r="AP31" s="130">
        <v>42742</v>
      </c>
      <c r="AQ31" s="130">
        <v>40066</v>
      </c>
      <c r="AR31" s="130">
        <v>52085</v>
      </c>
      <c r="AS31" s="130">
        <v>51624</v>
      </c>
      <c r="AT31" s="130">
        <v>50866</v>
      </c>
      <c r="AU31" s="130">
        <v>10971</v>
      </c>
      <c r="AV31" s="130">
        <v>9475</v>
      </c>
      <c r="AW31" s="130">
        <v>7978</v>
      </c>
      <c r="AX31" s="130">
        <v>57358</v>
      </c>
      <c r="AY31" s="130">
        <v>57125</v>
      </c>
      <c r="AZ31" s="130">
        <v>57221</v>
      </c>
      <c r="BA31" s="130">
        <v>159703</v>
      </c>
      <c r="BB31" s="130">
        <v>146211</v>
      </c>
      <c r="BC31" s="130">
        <v>166791</v>
      </c>
      <c r="BD31" s="130">
        <v>171310</v>
      </c>
      <c r="BE31" s="130">
        <v>152439</v>
      </c>
      <c r="BF31" s="130">
        <v>207044</v>
      </c>
      <c r="BG31" s="130">
        <f>+BG19+BG30</f>
        <v>195486</v>
      </c>
      <c r="BH31" s="130">
        <f>+BH19+BH30</f>
        <v>146295</v>
      </c>
      <c r="BI31" s="130">
        <f>+BI19+BI30</f>
        <v>288330</v>
      </c>
      <c r="BJ31" s="130">
        <f>+BJ19+BJ30</f>
        <v>294981</v>
      </c>
      <c r="BK31" s="130"/>
      <c r="BL31" s="130">
        <v>164482</v>
      </c>
      <c r="BM31" s="130">
        <v>210166</v>
      </c>
      <c r="BN31" s="130">
        <v>133753</v>
      </c>
      <c r="BO31" s="130">
        <v>115806</v>
      </c>
      <c r="BP31" s="130">
        <v>106395</v>
      </c>
      <c r="BQ31" s="130">
        <v>104004</v>
      </c>
      <c r="BR31" s="130">
        <v>118227</v>
      </c>
      <c r="BS31" s="130">
        <v>79511</v>
      </c>
      <c r="BT31" s="130">
        <v>65522</v>
      </c>
      <c r="BU31" s="130">
        <v>40066</v>
      </c>
      <c r="BV31" s="130">
        <v>10971</v>
      </c>
      <c r="BW31" s="130">
        <v>57125</v>
      </c>
      <c r="BX31" s="130">
        <v>166791</v>
      </c>
      <c r="BY31" s="130">
        <f t="shared" si="0"/>
        <v>195486</v>
      </c>
      <c r="BZ31" s="130">
        <f>+BJ31</f>
        <v>294981</v>
      </c>
    </row>
    <row r="32" spans="1:78" s="15" customFormat="1" ht="12.75" customHeight="1">
      <c r="A32" s="14"/>
      <c r="B32" s="102" t="s">
        <v>287</v>
      </c>
      <c r="C32" s="195" t="s">
        <v>107</v>
      </c>
      <c r="D32" s="130">
        <v>-64809</v>
      </c>
      <c r="E32" s="130">
        <v>-68514</v>
      </c>
      <c r="F32" s="130">
        <v>-101852</v>
      </c>
      <c r="G32" s="130">
        <v>-116025</v>
      </c>
      <c r="H32" s="130">
        <v>-108323</v>
      </c>
      <c r="I32" s="130">
        <v>-102845</v>
      </c>
      <c r="J32" s="130">
        <v>-138199</v>
      </c>
      <c r="K32" s="130">
        <v>-167711</v>
      </c>
      <c r="L32" s="130">
        <v>-149074</v>
      </c>
      <c r="M32" s="130">
        <v>-125470</v>
      </c>
      <c r="N32" s="130">
        <v>-97538</v>
      </c>
      <c r="O32" s="130">
        <v>-111171</v>
      </c>
      <c r="P32" s="130">
        <v>107349</v>
      </c>
      <c r="Q32" s="130">
        <v>92560</v>
      </c>
      <c r="R32" s="130">
        <v>153580</v>
      </c>
      <c r="S32" s="130">
        <v>117999</v>
      </c>
      <c r="T32" s="130">
        <v>138683</v>
      </c>
      <c r="U32" s="130">
        <v>131958</v>
      </c>
      <c r="V32" s="130">
        <v>217697</v>
      </c>
      <c r="W32" s="130">
        <v>178611</v>
      </c>
      <c r="X32" s="130">
        <v>140840</v>
      </c>
      <c r="Y32" s="130">
        <v>89897</v>
      </c>
      <c r="Z32" s="130">
        <v>121236</v>
      </c>
      <c r="AA32" s="130">
        <v>109666</v>
      </c>
      <c r="AB32" s="130">
        <v>123249</v>
      </c>
      <c r="AC32" s="130">
        <v>111395</v>
      </c>
      <c r="AD32" s="130">
        <v>187808</v>
      </c>
      <c r="AE32" s="130">
        <v>178598</v>
      </c>
      <c r="AF32" s="130">
        <v>141900</v>
      </c>
      <c r="AG32" s="130">
        <v>101749</v>
      </c>
      <c r="AH32" s="130">
        <v>118919</v>
      </c>
      <c r="AI32" s="130">
        <v>115082</v>
      </c>
      <c r="AJ32" s="130">
        <v>92411</v>
      </c>
      <c r="AK32" s="130">
        <v>109569</v>
      </c>
      <c r="AL32" s="130">
        <v>70973</v>
      </c>
      <c r="AM32" s="130">
        <v>72743</v>
      </c>
      <c r="AN32" s="130">
        <v>55574</v>
      </c>
      <c r="AO32" s="130">
        <v>64847</v>
      </c>
      <c r="AP32" s="130">
        <v>66198</v>
      </c>
      <c r="AQ32" s="130">
        <v>84890</v>
      </c>
      <c r="AR32" s="130">
        <v>81275</v>
      </c>
      <c r="AS32" s="130">
        <v>143546</v>
      </c>
      <c r="AT32" s="130">
        <v>221922</v>
      </c>
      <c r="AU32" s="130">
        <v>281514</v>
      </c>
      <c r="AV32" s="130">
        <v>245454</v>
      </c>
      <c r="AW32" s="130">
        <v>395454</v>
      </c>
      <c r="AX32" s="130">
        <v>438852</v>
      </c>
      <c r="AY32" s="130">
        <v>131818</v>
      </c>
      <c r="AZ32" s="130">
        <v>160701</v>
      </c>
      <c r="BA32" s="130">
        <v>270482</v>
      </c>
      <c r="BB32" s="130">
        <v>298654</v>
      </c>
      <c r="BC32" s="130">
        <v>337877</v>
      </c>
      <c r="BD32" s="130">
        <v>318573</v>
      </c>
      <c r="BE32" s="130">
        <v>266530</v>
      </c>
      <c r="BF32" s="130">
        <v>320036</v>
      </c>
      <c r="BG32" s="130">
        <f>+BP!BY12+BP!BY16</f>
        <v>355235</v>
      </c>
      <c r="BH32" s="130">
        <f>+BP!BH12+BP!BH16</f>
        <v>319722</v>
      </c>
      <c r="BI32" s="130">
        <f>+BP!BI12+BP!BI16</f>
        <v>513442</v>
      </c>
      <c r="BJ32" s="130">
        <f>+BP!BJ12+BP!BJ16</f>
        <v>457910</v>
      </c>
      <c r="BK32" s="130"/>
      <c r="BL32" s="130">
        <v>-116025</v>
      </c>
      <c r="BM32" s="130">
        <v>-167711</v>
      </c>
      <c r="BN32" s="130">
        <v>-111171</v>
      </c>
      <c r="BO32" s="130">
        <v>117999</v>
      </c>
      <c r="BP32" s="130">
        <v>178611</v>
      </c>
      <c r="BQ32" s="130">
        <v>109666</v>
      </c>
      <c r="BR32" s="130">
        <v>178598</v>
      </c>
      <c r="BS32" s="130">
        <v>115082</v>
      </c>
      <c r="BT32" s="130">
        <v>72743</v>
      </c>
      <c r="BU32" s="130">
        <v>84890</v>
      </c>
      <c r="BV32" s="130">
        <v>281514</v>
      </c>
      <c r="BW32" s="130">
        <v>131818</v>
      </c>
      <c r="BX32" s="130">
        <v>337877</v>
      </c>
      <c r="BY32" s="130">
        <f t="shared" si="0"/>
        <v>355235</v>
      </c>
      <c r="BZ32" s="130">
        <f>+BJ32</f>
        <v>457910</v>
      </c>
    </row>
    <row r="33" spans="1:78" s="15" customFormat="1" ht="12.75" customHeight="1">
      <c r="A33" s="14"/>
      <c r="B33" s="107" t="s">
        <v>286</v>
      </c>
      <c r="C33" s="193" t="s">
        <v>270</v>
      </c>
      <c r="D33" s="112">
        <v>99912</v>
      </c>
      <c r="E33" s="112">
        <v>94248</v>
      </c>
      <c r="F33" s="112">
        <v>69185</v>
      </c>
      <c r="G33" s="112">
        <v>48457</v>
      </c>
      <c r="H33" s="112">
        <v>49891</v>
      </c>
      <c r="I33" s="112">
        <v>51476</v>
      </c>
      <c r="J33" s="112">
        <v>41307</v>
      </c>
      <c r="K33" s="112">
        <v>42455</v>
      </c>
      <c r="L33" s="112">
        <v>54601</v>
      </c>
      <c r="M33" s="112">
        <v>62510</v>
      </c>
      <c r="N33" s="112">
        <v>38184</v>
      </c>
      <c r="O33" s="112">
        <v>22582</v>
      </c>
      <c r="P33" s="112">
        <v>20575</v>
      </c>
      <c r="Q33" s="112">
        <v>31772</v>
      </c>
      <c r="R33" s="112">
        <v>-34677</v>
      </c>
      <c r="S33" s="112">
        <v>-2193</v>
      </c>
      <c r="T33" s="112">
        <v>-20814</v>
      </c>
      <c r="U33" s="112">
        <v>-25754</v>
      </c>
      <c r="V33" s="112">
        <v>-116491</v>
      </c>
      <c r="W33" s="112">
        <v>-72216</v>
      </c>
      <c r="X33" s="112">
        <v>-41742</v>
      </c>
      <c r="Y33" s="112">
        <v>7592</v>
      </c>
      <c r="Z33" s="112">
        <v>-6751</v>
      </c>
      <c r="AA33" s="112">
        <v>-5662</v>
      </c>
      <c r="AB33" s="112">
        <v>-6829</v>
      </c>
      <c r="AC33" s="112">
        <v>-17324</v>
      </c>
      <c r="AD33" s="112">
        <v>-70436</v>
      </c>
      <c r="AE33" s="112">
        <v>-60371</v>
      </c>
      <c r="AF33" s="112">
        <v>-33824</v>
      </c>
      <c r="AG33" s="112">
        <v>-2433</v>
      </c>
      <c r="AH33" s="112">
        <v>-25318</v>
      </c>
      <c r="AI33" s="112">
        <v>-35571</v>
      </c>
      <c r="AJ33" s="112">
        <v>-25583</v>
      </c>
      <c r="AK33" s="112">
        <v>-23985</v>
      </c>
      <c r="AL33" s="112">
        <v>-2836</v>
      </c>
      <c r="AM33" s="112">
        <v>-7221</v>
      </c>
      <c r="AN33" s="112">
        <v>7980</v>
      </c>
      <c r="AO33" s="112">
        <v>-3800</v>
      </c>
      <c r="AP33" s="112">
        <v>-23456</v>
      </c>
      <c r="AQ33" s="112">
        <v>-44824</v>
      </c>
      <c r="AR33" s="112">
        <v>-29190</v>
      </c>
      <c r="AS33" s="112">
        <v>-91922</v>
      </c>
      <c r="AT33" s="112">
        <v>-171056</v>
      </c>
      <c r="AU33" s="112">
        <v>-270543</v>
      </c>
      <c r="AV33" s="112">
        <v>-235979</v>
      </c>
      <c r="AW33" s="112">
        <v>-387476</v>
      </c>
      <c r="AX33" s="112">
        <v>-381494</v>
      </c>
      <c r="AY33" s="112">
        <v>-74693</v>
      </c>
      <c r="AZ33" s="112">
        <v>-103480</v>
      </c>
      <c r="BA33" s="112">
        <v>-110779</v>
      </c>
      <c r="BB33" s="112">
        <v>-152443</v>
      </c>
      <c r="BC33" s="112">
        <v>-171086</v>
      </c>
      <c r="BD33" s="112">
        <v>-147263</v>
      </c>
      <c r="BE33" s="112">
        <v>-114091</v>
      </c>
      <c r="BF33" s="112">
        <v>-112992</v>
      </c>
      <c r="BG33" s="112">
        <f>+BG31-BG32</f>
        <v>-159749</v>
      </c>
      <c r="BH33" s="112">
        <f>+BH31-BH32</f>
        <v>-173427</v>
      </c>
      <c r="BI33" s="112">
        <f>+BI31-BI32</f>
        <v>-225112</v>
      </c>
      <c r="BJ33" s="112">
        <f>+BJ31-BJ32</f>
        <v>-162929</v>
      </c>
      <c r="BK33" s="112"/>
      <c r="BL33" s="112">
        <v>48457</v>
      </c>
      <c r="BM33" s="112">
        <v>42455</v>
      </c>
      <c r="BN33" s="112">
        <v>22582</v>
      </c>
      <c r="BO33" s="112">
        <v>-2193</v>
      </c>
      <c r="BP33" s="112">
        <v>-72216</v>
      </c>
      <c r="BQ33" s="112">
        <v>-5662</v>
      </c>
      <c r="BR33" s="112">
        <v>-60371</v>
      </c>
      <c r="BS33" s="112">
        <v>-35571</v>
      </c>
      <c r="BT33" s="112">
        <v>-7221</v>
      </c>
      <c r="BU33" s="112">
        <v>-44824</v>
      </c>
      <c r="BV33" s="112">
        <v>-270543</v>
      </c>
      <c r="BW33" s="112">
        <v>-74693</v>
      </c>
      <c r="BX33" s="112">
        <v>-171086</v>
      </c>
      <c r="BY33" s="112">
        <f>+BY31-BY32</f>
        <v>-159749</v>
      </c>
      <c r="BZ33" s="112">
        <f>+BZ31-BZ32</f>
        <v>-162929</v>
      </c>
    </row>
    <row r="34" spans="1:78" s="15" customFormat="1" ht="15" customHeight="1" thickBot="1">
      <c r="A34" s="14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</row>
    <row r="35" spans="1:78"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</row>
    <row r="36" spans="1:78" s="15" customFormat="1" ht="12.75">
      <c r="A36" s="14"/>
      <c r="B36" s="1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42"/>
      <c r="AZ36" s="42"/>
      <c r="BA36" s="42"/>
      <c r="BB36" s="42"/>
      <c r="BC36" s="42"/>
      <c r="BD36" s="42"/>
      <c r="BE36" s="42"/>
      <c r="BF36" s="161"/>
      <c r="BG36" s="42"/>
      <c r="BH36" s="42"/>
      <c r="BI36" s="42"/>
      <c r="BJ36" s="42"/>
      <c r="BK36" s="42"/>
      <c r="BL36" s="42"/>
      <c r="BM36" s="42"/>
      <c r="BN36" s="42"/>
    </row>
    <row r="37" spans="1:78" s="54" customFormat="1" ht="15" customHeight="1">
      <c r="A37" s="41"/>
      <c r="B37" s="14"/>
      <c r="C37" s="41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</row>
    <row r="38" spans="1:78" s="14" customFormat="1" ht="3.75" customHeight="1">
      <c r="B38" s="41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</row>
    <row r="39" spans="1:78" s="11" customFormat="1" ht="15" customHeight="1">
      <c r="B39" s="1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</row>
    <row r="40" spans="1:78" s="11" customFormat="1" ht="15" customHeight="1"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</row>
    <row r="41" spans="1:78" s="11" customFormat="1" ht="15" customHeight="1"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</row>
    <row r="42" spans="1:78" s="11" customFormat="1" ht="15" customHeight="1"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</row>
    <row r="43" spans="1:78" s="11" customFormat="1" ht="12.75"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</row>
    <row r="44" spans="1:78" s="11" customFormat="1">
      <c r="C44" s="24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</row>
    <row r="45" spans="1:78" s="11" customFormat="1">
      <c r="C45" s="24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</row>
    <row r="46" spans="1:78" s="11" customFormat="1">
      <c r="C46" s="24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</row>
    <row r="47" spans="1:78">
      <c r="B47" s="11"/>
      <c r="C47" s="24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</sheetData>
  <mergeCells count="17">
    <mergeCell ref="BP4:BP5"/>
    <mergeCell ref="BW4:BW5"/>
    <mergeCell ref="BX4:BX5"/>
    <mergeCell ref="BY4:BY5"/>
    <mergeCell ref="BZ4:BZ5"/>
    <mergeCell ref="B4:B5"/>
    <mergeCell ref="BQ4:BQ5"/>
    <mergeCell ref="BR4:BR5"/>
    <mergeCell ref="BS4:BS5"/>
    <mergeCell ref="BT4:BT5"/>
    <mergeCell ref="BU4:BU5"/>
    <mergeCell ref="BV4:BV5"/>
    <mergeCell ref="C4:C5"/>
    <mergeCell ref="BL4:BL5"/>
    <mergeCell ref="BM4:BM5"/>
    <mergeCell ref="BN4:BN5"/>
    <mergeCell ref="BO4:BO5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Header>&amp;A</oddHeader>
    <oddFooter>&amp;F</oddFooter>
  </headerFooter>
  <ignoredErrors>
    <ignoredError sqref="BY19:CB3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249977111117893"/>
    <pageSetUpPr fitToPage="1"/>
  </sheetPr>
  <dimension ref="B1:AU17"/>
  <sheetViews>
    <sheetView showGridLines="0" topLeftCell="D1" workbookViewId="0">
      <selection activeCell="AT20" sqref="AT20"/>
    </sheetView>
  </sheetViews>
  <sheetFormatPr defaultColWidth="5.5703125" defaultRowHeight="15"/>
  <cols>
    <col min="1" max="1" width="7.7109375" customWidth="1"/>
    <col min="2" max="2" width="26.42578125" bestFit="1" customWidth="1"/>
    <col min="3" max="3" width="27.7109375" bestFit="1" customWidth="1"/>
    <col min="4" max="6" width="5.140625" customWidth="1"/>
    <col min="7" max="10" width="6.28515625" customWidth="1"/>
    <col min="11" max="11" width="5.85546875" customWidth="1"/>
    <col min="12" max="14" width="5.28515625" customWidth="1"/>
    <col min="15" max="18" width="5.85546875" customWidth="1"/>
    <col min="19" max="22" width="6.85546875" customWidth="1"/>
    <col min="23" max="24" width="5.28515625" customWidth="1"/>
    <col min="25" max="36" width="6.28515625" customWidth="1"/>
    <col min="37" max="39" width="7.28515625" customWidth="1"/>
    <col min="40" max="46" width="6.28515625" bestFit="1" customWidth="1"/>
    <col min="47" max="47" width="5.140625" hidden="1" customWidth="1"/>
    <col min="48" max="50" width="5.42578125" customWidth="1"/>
  </cols>
  <sheetData>
    <row r="1" spans="2:47" ht="15" customHeight="1"/>
    <row r="2" spans="2:47" ht="15" customHeight="1" thickBot="1">
      <c r="B2" s="227"/>
      <c r="C2" s="227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</row>
    <row r="3" spans="2:47" ht="8.25" customHeight="1">
      <c r="B3" s="138"/>
      <c r="C3" s="138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</row>
    <row r="4" spans="2:47" ht="15.75" customHeight="1">
      <c r="B4" s="240" t="s">
        <v>496</v>
      </c>
      <c r="C4" s="244" t="s">
        <v>82</v>
      </c>
      <c r="D4" s="99" t="s">
        <v>305</v>
      </c>
      <c r="E4" s="99" t="s">
        <v>306</v>
      </c>
      <c r="F4" s="99" t="s">
        <v>307</v>
      </c>
      <c r="G4" s="99" t="s">
        <v>308</v>
      </c>
      <c r="H4" s="99" t="s">
        <v>309</v>
      </c>
      <c r="I4" s="99" t="s">
        <v>310</v>
      </c>
      <c r="J4" s="99" t="s">
        <v>311</v>
      </c>
      <c r="K4" s="99" t="s">
        <v>312</v>
      </c>
      <c r="L4" s="99" t="s">
        <v>313</v>
      </c>
      <c r="M4" s="99" t="s">
        <v>314</v>
      </c>
      <c r="N4" s="99" t="s">
        <v>315</v>
      </c>
      <c r="O4" s="99" t="s">
        <v>316</v>
      </c>
      <c r="P4" s="99" t="s">
        <v>317</v>
      </c>
      <c r="Q4" s="99" t="s">
        <v>318</v>
      </c>
      <c r="R4" s="99" t="s">
        <v>319</v>
      </c>
      <c r="S4" s="99" t="s">
        <v>320</v>
      </c>
      <c r="T4" s="99" t="s">
        <v>321</v>
      </c>
      <c r="U4" s="99" t="s">
        <v>322</v>
      </c>
      <c r="V4" s="99" t="s">
        <v>323</v>
      </c>
      <c r="W4" s="99" t="s">
        <v>324</v>
      </c>
      <c r="X4" s="99" t="s">
        <v>325</v>
      </c>
      <c r="Y4" s="99" t="s">
        <v>326</v>
      </c>
      <c r="Z4" s="99" t="s">
        <v>327</v>
      </c>
      <c r="AA4" s="99" t="s">
        <v>328</v>
      </c>
      <c r="AB4" s="99" t="s">
        <v>329</v>
      </c>
      <c r="AC4" s="99" t="s">
        <v>330</v>
      </c>
      <c r="AD4" s="99" t="s">
        <v>331</v>
      </c>
      <c r="AE4" s="99" t="s">
        <v>332</v>
      </c>
      <c r="AF4" s="99" t="s">
        <v>333</v>
      </c>
      <c r="AG4" s="99" t="s">
        <v>334</v>
      </c>
      <c r="AH4" s="99" t="s">
        <v>335</v>
      </c>
      <c r="AI4" s="99" t="s">
        <v>336</v>
      </c>
      <c r="AJ4" s="99" t="s">
        <v>337</v>
      </c>
      <c r="AK4" s="99" t="s">
        <v>338</v>
      </c>
      <c r="AL4" s="99" t="s">
        <v>339</v>
      </c>
      <c r="AM4" s="99" t="s">
        <v>340</v>
      </c>
      <c r="AN4" s="99" t="s">
        <v>341</v>
      </c>
      <c r="AO4" s="99" t="s">
        <v>342</v>
      </c>
      <c r="AP4" s="99" t="s">
        <v>343</v>
      </c>
      <c r="AQ4" s="99" t="s">
        <v>344</v>
      </c>
      <c r="AR4" s="99" t="s">
        <v>345</v>
      </c>
      <c r="AS4" s="99" t="s">
        <v>346</v>
      </c>
      <c r="AT4" s="99" t="s">
        <v>347</v>
      </c>
      <c r="AU4" s="99" t="s">
        <v>348</v>
      </c>
    </row>
    <row r="5" spans="2:47" s="85" customFormat="1">
      <c r="B5" s="241"/>
      <c r="C5" s="263"/>
      <c r="D5" s="99" t="s">
        <v>14</v>
      </c>
      <c r="E5" s="99" t="s">
        <v>15</v>
      </c>
      <c r="F5" s="99" t="s">
        <v>16</v>
      </c>
      <c r="G5" s="99" t="s">
        <v>17</v>
      </c>
      <c r="H5" s="99" t="s">
        <v>18</v>
      </c>
      <c r="I5" s="99" t="s">
        <v>19</v>
      </c>
      <c r="J5" s="99" t="s">
        <v>20</v>
      </c>
      <c r="K5" s="99" t="s">
        <v>21</v>
      </c>
      <c r="L5" s="99" t="s">
        <v>22</v>
      </c>
      <c r="M5" s="99" t="s">
        <v>23</v>
      </c>
      <c r="N5" s="99" t="s">
        <v>24</v>
      </c>
      <c r="O5" s="99" t="s">
        <v>25</v>
      </c>
      <c r="P5" s="99" t="s">
        <v>26</v>
      </c>
      <c r="Q5" s="99" t="s">
        <v>27</v>
      </c>
      <c r="R5" s="99" t="s">
        <v>28</v>
      </c>
      <c r="S5" s="99" t="s">
        <v>29</v>
      </c>
      <c r="T5" s="99" t="s">
        <v>30</v>
      </c>
      <c r="U5" s="99" t="s">
        <v>31</v>
      </c>
      <c r="V5" s="99" t="s">
        <v>32</v>
      </c>
      <c r="W5" s="99" t="s">
        <v>33</v>
      </c>
      <c r="X5" s="99" t="s">
        <v>34</v>
      </c>
      <c r="Y5" s="99" t="s">
        <v>35</v>
      </c>
      <c r="Z5" s="99" t="s">
        <v>36</v>
      </c>
      <c r="AA5" s="99" t="s">
        <v>37</v>
      </c>
      <c r="AB5" s="99" t="s">
        <v>3</v>
      </c>
      <c r="AC5" s="99" t="s">
        <v>38</v>
      </c>
      <c r="AD5" s="99" t="s">
        <v>39</v>
      </c>
      <c r="AE5" s="99" t="s">
        <v>8</v>
      </c>
      <c r="AF5" s="99" t="s">
        <v>9</v>
      </c>
      <c r="AG5" s="99" t="s">
        <v>40</v>
      </c>
      <c r="AH5" s="99" t="s">
        <v>41</v>
      </c>
      <c r="AI5" s="99" t="s">
        <v>42</v>
      </c>
      <c r="AJ5" s="99" t="s">
        <v>71</v>
      </c>
      <c r="AK5" s="99" t="s">
        <v>75</v>
      </c>
      <c r="AL5" s="99" t="s">
        <v>76</v>
      </c>
      <c r="AM5" s="99" t="s">
        <v>77</v>
      </c>
      <c r="AN5" s="99" t="s">
        <v>91</v>
      </c>
      <c r="AO5" s="99" t="s">
        <v>92</v>
      </c>
      <c r="AP5" s="99" t="s">
        <v>93</v>
      </c>
      <c r="AQ5" s="99" t="s">
        <v>94</v>
      </c>
      <c r="AR5" s="99" t="s">
        <v>256</v>
      </c>
      <c r="AS5" s="99" t="s">
        <v>257</v>
      </c>
      <c r="AT5" s="99" t="s">
        <v>258</v>
      </c>
      <c r="AU5" s="99" t="s">
        <v>259</v>
      </c>
    </row>
    <row r="6" spans="2:47" ht="12.75" customHeight="1">
      <c r="B6" s="209" t="s">
        <v>87</v>
      </c>
      <c r="C6" s="102" t="s">
        <v>87</v>
      </c>
      <c r="D6" s="103">
        <v>80.455437684871768</v>
      </c>
      <c r="E6" s="103">
        <v>96.448105932753478</v>
      </c>
      <c r="F6" s="103">
        <v>116.41594473379629</v>
      </c>
      <c r="G6" s="103">
        <v>140.55032660566718</v>
      </c>
      <c r="H6" s="103">
        <v>107.42979107610311</v>
      </c>
      <c r="I6" s="103">
        <v>84.826060961577511</v>
      </c>
      <c r="J6" s="103">
        <v>97.372045983379493</v>
      </c>
      <c r="K6" s="103">
        <v>-4.2248806433924333</v>
      </c>
      <c r="L6" s="103">
        <v>21.690015098137902</v>
      </c>
      <c r="M6" s="103">
        <v>5.9561989895064125</v>
      </c>
      <c r="N6" s="103">
        <v>3.9553711684370279</v>
      </c>
      <c r="O6" s="103">
        <v>-27.856733814811939</v>
      </c>
      <c r="P6" s="103">
        <v>-27.817457988421793</v>
      </c>
      <c r="Q6" s="103">
        <v>-23.396404187213424</v>
      </c>
      <c r="R6" s="103">
        <v>-29.727579684358897</v>
      </c>
      <c r="S6" s="103">
        <v>-36.286635161290327</v>
      </c>
      <c r="T6" s="103">
        <v>-39.312553586645947</v>
      </c>
      <c r="U6" s="103">
        <v>-46.380881005562117</v>
      </c>
      <c r="V6" s="103">
        <v>-34.484117397933247</v>
      </c>
      <c r="W6" s="103">
        <v>11.368795938421226</v>
      </c>
      <c r="X6" s="103">
        <v>27.88187840049406</v>
      </c>
      <c r="Y6" s="103">
        <v>37.258226031666879</v>
      </c>
      <c r="Z6" s="103">
        <v>49.54904599476265</v>
      </c>
      <c r="AA6" s="103">
        <v>41.44651862138619</v>
      </c>
      <c r="AB6" s="103">
        <v>42.969138642918715</v>
      </c>
      <c r="AC6" s="103">
        <v>55.957655528023686</v>
      </c>
      <c r="AD6" s="103">
        <v>62.346662351742985</v>
      </c>
      <c r="AE6" s="103">
        <v>61.019720512438894</v>
      </c>
      <c r="AF6" s="103">
        <v>71.808560814141316</v>
      </c>
      <c r="AG6" s="103">
        <v>73.715410676827119</v>
      </c>
      <c r="AH6" s="103">
        <v>88.316939680489398</v>
      </c>
      <c r="AI6" s="103">
        <v>153.07546094817201</v>
      </c>
      <c r="AJ6" s="103">
        <v>233.28096451793047</v>
      </c>
      <c r="AK6" s="103">
        <v>281.11533286205764</v>
      </c>
      <c r="AL6" s="103">
        <v>354.98447242433429</v>
      </c>
      <c r="AM6" s="103">
        <v>381.30231423806003</v>
      </c>
      <c r="AN6" s="103">
        <v>333.38404397471606</v>
      </c>
      <c r="AO6" s="103">
        <v>306.86338409530526</v>
      </c>
      <c r="AP6" s="103">
        <v>259.27541352460355</v>
      </c>
      <c r="AQ6" s="103">
        <v>242.05476511651756</v>
      </c>
      <c r="AR6" s="103">
        <v>245.09564229895275</v>
      </c>
      <c r="AS6" s="103">
        <v>247.49540467563199</v>
      </c>
      <c r="AT6" s="103">
        <v>243.01426572367396</v>
      </c>
      <c r="AU6" s="103"/>
    </row>
    <row r="7" spans="2:47" ht="12.75" customHeight="1">
      <c r="B7" s="210" t="s">
        <v>497</v>
      </c>
      <c r="C7" s="102" t="s">
        <v>83</v>
      </c>
      <c r="D7" s="104">
        <v>82.260999999999996</v>
      </c>
      <c r="E7" s="104">
        <v>88.283000000000001</v>
      </c>
      <c r="F7" s="104">
        <v>59.631999999999998</v>
      </c>
      <c r="G7" s="104">
        <v>108.128</v>
      </c>
      <c r="H7" s="104">
        <v>112.773</v>
      </c>
      <c r="I7" s="104">
        <v>122.967</v>
      </c>
      <c r="J7" s="104">
        <v>106.096</v>
      </c>
      <c r="K7" s="104">
        <v>110.60899999999999</v>
      </c>
      <c r="L7" s="104">
        <v>101.24299999999999</v>
      </c>
      <c r="M7" s="104">
        <v>80.415999999999997</v>
      </c>
      <c r="N7" s="104">
        <v>34.195</v>
      </c>
      <c r="O7" s="104">
        <v>23.407</v>
      </c>
      <c r="P7" s="104">
        <v>43.393999999999998</v>
      </c>
      <c r="Q7" s="104">
        <v>67.897999999999996</v>
      </c>
      <c r="R7" s="104">
        <v>51.395000000000003</v>
      </c>
      <c r="S7" s="104">
        <v>25.032</v>
      </c>
      <c r="T7" s="104">
        <v>24.667000000000002</v>
      </c>
      <c r="U7" s="104">
        <v>14.744</v>
      </c>
      <c r="V7" s="104">
        <v>48.828000000000003</v>
      </c>
      <c r="W7" s="104">
        <v>81.236999999999995</v>
      </c>
      <c r="X7" s="104">
        <v>103.822</v>
      </c>
      <c r="Y7" s="104">
        <v>88.465999999999994</v>
      </c>
      <c r="Z7" s="104">
        <v>88.102999999999994</v>
      </c>
      <c r="AA7" s="104">
        <v>60.42</v>
      </c>
      <c r="AB7" s="104">
        <v>92.6</v>
      </c>
      <c r="AC7" s="104">
        <v>31.382999999999999</v>
      </c>
      <c r="AD7" s="104">
        <v>-25.783999999999999</v>
      </c>
      <c r="AE7" s="104">
        <v>-109.182</v>
      </c>
      <c r="AF7" s="104">
        <v>-54.823999999999998</v>
      </c>
      <c r="AG7" s="104">
        <v>-81.078000000000003</v>
      </c>
      <c r="AH7" s="104">
        <v>-65.682000000000016</v>
      </c>
      <c r="AI7" s="104">
        <v>31.412000000000035</v>
      </c>
      <c r="AJ7" s="104">
        <v>114.66499999999996</v>
      </c>
      <c r="AK7" s="104">
        <v>97.947999999999979</v>
      </c>
      <c r="AL7" s="104">
        <v>132.83699999999999</v>
      </c>
      <c r="AM7" s="104">
        <v>156.96500000000003</v>
      </c>
      <c r="AN7" s="104">
        <v>199.89200000000005</v>
      </c>
      <c r="AO7" s="104">
        <v>182.09500000000003</v>
      </c>
      <c r="AP7" s="104">
        <v>185.46699999999998</v>
      </c>
      <c r="AQ7" s="104">
        <v>189.63050000000001</v>
      </c>
      <c r="AR7" s="104">
        <v>198.71949999999998</v>
      </c>
      <c r="AS7" s="104">
        <v>192.73650000000001</v>
      </c>
      <c r="AT7" s="104">
        <v>198.20075</v>
      </c>
      <c r="AU7" s="104"/>
    </row>
    <row r="8" spans="2:47" ht="12.75" customHeight="1">
      <c r="B8" s="210" t="s">
        <v>498</v>
      </c>
      <c r="C8" s="102" t="s">
        <v>84</v>
      </c>
      <c r="D8" s="104">
        <v>12.602</v>
      </c>
      <c r="E8" s="104">
        <v>12.571</v>
      </c>
      <c r="F8" s="104">
        <v>12.406000000000001</v>
      </c>
      <c r="G8" s="104">
        <v>12.375</v>
      </c>
      <c r="H8" s="104">
        <v>14.989000000000001</v>
      </c>
      <c r="I8" s="104">
        <v>14.911</v>
      </c>
      <c r="J8" s="104">
        <v>14.833</v>
      </c>
      <c r="K8" s="104">
        <v>14.754</v>
      </c>
      <c r="L8" s="104">
        <v>14.677</v>
      </c>
      <c r="M8" s="104">
        <v>14.606999999999999</v>
      </c>
      <c r="N8" s="104">
        <v>14.538</v>
      </c>
      <c r="O8" s="104">
        <v>14.468999999999999</v>
      </c>
      <c r="P8" s="104">
        <v>14.4</v>
      </c>
      <c r="Q8" s="104">
        <v>14.33</v>
      </c>
      <c r="R8" s="104">
        <v>14.260999999999999</v>
      </c>
      <c r="S8" s="104">
        <v>14.192</v>
      </c>
      <c r="T8" s="104">
        <v>14.122999999999999</v>
      </c>
      <c r="U8" s="104">
        <v>14.055</v>
      </c>
      <c r="V8" s="104">
        <v>13.986000000000001</v>
      </c>
      <c r="W8" s="104">
        <v>13.917</v>
      </c>
      <c r="X8" s="104">
        <v>13.849</v>
      </c>
      <c r="Y8" s="104">
        <v>13.78</v>
      </c>
      <c r="Z8" s="104">
        <v>13.711</v>
      </c>
      <c r="AA8" s="104">
        <v>13.643000000000001</v>
      </c>
      <c r="AB8" s="104">
        <v>13.574</v>
      </c>
      <c r="AC8" s="104">
        <v>13.505000000000001</v>
      </c>
      <c r="AD8" s="104">
        <v>13.436999999999999</v>
      </c>
      <c r="AE8" s="104">
        <v>26.318000000000001</v>
      </c>
      <c r="AF8" s="104">
        <v>26.251000000000001</v>
      </c>
      <c r="AG8" s="104">
        <v>26.183</v>
      </c>
      <c r="AH8" s="104">
        <v>0.63900000000000001</v>
      </c>
      <c r="AI8" s="104">
        <v>1.5389999999999999</v>
      </c>
      <c r="AJ8" s="104">
        <v>1.522</v>
      </c>
      <c r="AK8" s="104">
        <v>1.5049999999999999</v>
      </c>
      <c r="AL8" s="104">
        <v>1.488</v>
      </c>
      <c r="AM8" s="104">
        <v>1.4710000000000001</v>
      </c>
      <c r="AN8" s="104">
        <v>1.5089999999999999</v>
      </c>
      <c r="AO8" s="104">
        <v>1.5249999999999999</v>
      </c>
      <c r="AP8" s="104">
        <v>1.508</v>
      </c>
      <c r="AQ8" s="104">
        <v>1.5082499999999999</v>
      </c>
      <c r="AR8" s="104">
        <v>1.5012500000000002</v>
      </c>
      <c r="AS8" s="104">
        <v>1.4862500000000001</v>
      </c>
      <c r="AT8" s="104">
        <v>1.4712499999999999</v>
      </c>
      <c r="AU8" s="104"/>
    </row>
    <row r="9" spans="2:47" ht="12.75" customHeight="1">
      <c r="B9" s="210" t="s">
        <v>373</v>
      </c>
      <c r="C9" s="102" t="s">
        <v>85</v>
      </c>
      <c r="D9" s="104">
        <v>216.58099999999999</v>
      </c>
      <c r="E9" s="104">
        <v>220.94800000000001</v>
      </c>
      <c r="F9" s="104">
        <v>222.99199999999999</v>
      </c>
      <c r="G9" s="104">
        <v>241.786</v>
      </c>
      <c r="H9" s="104">
        <v>238.691</v>
      </c>
      <c r="I9" s="104">
        <v>236.66399999999999</v>
      </c>
      <c r="J9" s="104">
        <v>248.52</v>
      </c>
      <c r="K9" s="104">
        <v>244.447</v>
      </c>
      <c r="L9" s="104">
        <v>241.22300000000001</v>
      </c>
      <c r="M9" s="104">
        <v>236.70500000000001</v>
      </c>
      <c r="N9" s="104">
        <v>232.19900000000001</v>
      </c>
      <c r="O9" s="104">
        <v>228.66900000000001</v>
      </c>
      <c r="P9" s="104">
        <v>226.45599999999999</v>
      </c>
      <c r="Q9" s="104">
        <v>224.49299999999999</v>
      </c>
      <c r="R9" s="104">
        <v>223.589</v>
      </c>
      <c r="S9" s="104">
        <v>220.809</v>
      </c>
      <c r="T9" s="104">
        <v>218.39500000000001</v>
      </c>
      <c r="U9" s="104">
        <v>215.733</v>
      </c>
      <c r="V9" s="104">
        <v>211.44200000000001</v>
      </c>
      <c r="W9" s="104">
        <v>207.28800000000001</v>
      </c>
      <c r="X9" s="104">
        <v>200.971</v>
      </c>
      <c r="Y9" s="104">
        <v>183.721</v>
      </c>
      <c r="Z9" s="104">
        <v>180.00800000000001</v>
      </c>
      <c r="AA9" s="104">
        <v>178.24</v>
      </c>
      <c r="AB9" s="104">
        <v>175.02500000000001</v>
      </c>
      <c r="AC9" s="104">
        <v>171.511</v>
      </c>
      <c r="AD9" s="104">
        <v>169.50700000000001</v>
      </c>
      <c r="AE9" s="104">
        <v>169.60499999999999</v>
      </c>
      <c r="AF9" s="104">
        <v>175.16900000000001</v>
      </c>
      <c r="AG9" s="104">
        <v>176.16900000000001</v>
      </c>
      <c r="AH9" s="104">
        <v>190.983</v>
      </c>
      <c r="AI9" s="104">
        <v>199.18600000000001</v>
      </c>
      <c r="AJ9" s="104">
        <v>197.024</v>
      </c>
      <c r="AK9" s="104">
        <v>200.04400000000001</v>
      </c>
      <c r="AL9" s="104">
        <v>207.25299999999999</v>
      </c>
      <c r="AM9" s="104">
        <v>224.82900000000001</v>
      </c>
      <c r="AN9" s="104">
        <v>215.22399999999999</v>
      </c>
      <c r="AO9" s="104">
        <v>234.62899999999999</v>
      </c>
      <c r="AP9" s="104">
        <v>244.71600000000001</v>
      </c>
      <c r="AQ9" s="104">
        <v>238.13799999999998</v>
      </c>
      <c r="AR9" s="104">
        <v>248.60975000000002</v>
      </c>
      <c r="AS9" s="104">
        <v>254.45650000000001</v>
      </c>
      <c r="AT9" s="104">
        <v>257.76274999999998</v>
      </c>
      <c r="AU9" s="104"/>
    </row>
    <row r="10" spans="2:47" ht="12.75" customHeight="1">
      <c r="B10" s="210" t="s">
        <v>374</v>
      </c>
      <c r="C10" s="102" t="s">
        <v>86</v>
      </c>
      <c r="D10" s="104">
        <v>20.966000000000001</v>
      </c>
      <c r="E10" s="104">
        <v>23.34</v>
      </c>
      <c r="F10" s="104">
        <v>28.122</v>
      </c>
      <c r="G10" s="104">
        <v>29.204000000000001</v>
      </c>
      <c r="H10" s="104">
        <v>33.328000000000003</v>
      </c>
      <c r="I10" s="104">
        <v>36.973999999999997</v>
      </c>
      <c r="J10" s="104">
        <v>38.987000000000002</v>
      </c>
      <c r="K10" s="104">
        <v>45.5</v>
      </c>
      <c r="L10" s="104">
        <v>47.267000000000003</v>
      </c>
      <c r="M10" s="104">
        <v>48.567999999999998</v>
      </c>
      <c r="N10" s="104">
        <v>49.1</v>
      </c>
      <c r="O10" s="104">
        <v>48.896999999999998</v>
      </c>
      <c r="P10" s="104">
        <v>48.680999999999997</v>
      </c>
      <c r="Q10" s="104">
        <v>48.938000000000002</v>
      </c>
      <c r="R10" s="104">
        <v>48.503</v>
      </c>
      <c r="S10" s="104">
        <v>47.43</v>
      </c>
      <c r="T10" s="104">
        <v>46.798000000000002</v>
      </c>
      <c r="U10" s="104">
        <v>45.829000000000001</v>
      </c>
      <c r="V10" s="104">
        <v>45.777999999999999</v>
      </c>
      <c r="W10" s="104">
        <v>44.802</v>
      </c>
      <c r="X10" s="104">
        <v>44.009</v>
      </c>
      <c r="Y10" s="104">
        <v>42.728000000000002</v>
      </c>
      <c r="Z10" s="104">
        <v>42.283999999999999</v>
      </c>
      <c r="AA10" s="104">
        <v>41.613</v>
      </c>
      <c r="AB10" s="104">
        <v>40.32</v>
      </c>
      <c r="AC10" s="104">
        <v>39.746000000000002</v>
      </c>
      <c r="AD10" s="104">
        <v>38.875999999999998</v>
      </c>
      <c r="AE10" s="104">
        <v>38.134</v>
      </c>
      <c r="AF10" s="104">
        <v>37.445</v>
      </c>
      <c r="AG10" s="104">
        <v>36.753999999999998</v>
      </c>
      <c r="AH10" s="104">
        <v>35.753</v>
      </c>
      <c r="AI10" s="104">
        <v>34.81</v>
      </c>
      <c r="AJ10" s="104">
        <v>33.781999999999996</v>
      </c>
      <c r="AK10" s="104">
        <v>32.796999999999997</v>
      </c>
      <c r="AL10" s="104">
        <v>32.729999999999997</v>
      </c>
      <c r="AM10" s="104">
        <v>32.465000000000003</v>
      </c>
      <c r="AN10" s="104">
        <v>122.49299999999999</v>
      </c>
      <c r="AO10" s="104">
        <v>122.199</v>
      </c>
      <c r="AP10" s="104">
        <v>121.36799999999999</v>
      </c>
      <c r="AQ10" s="104">
        <v>121.86425</v>
      </c>
      <c r="AR10" s="104">
        <v>121.41675000000001</v>
      </c>
      <c r="AS10" s="104">
        <v>120.4295</v>
      </c>
      <c r="AT10" s="104">
        <v>119.58</v>
      </c>
      <c r="AU10" s="104"/>
    </row>
    <row r="11" spans="2:47" ht="12.75" customHeight="1">
      <c r="B11" s="210" t="s">
        <v>499</v>
      </c>
      <c r="C11" s="102" t="s">
        <v>88</v>
      </c>
      <c r="D11" s="104">
        <f t="shared" ref="D11:O11" si="0">SUM(D7:D10)</f>
        <v>332.40999999999997</v>
      </c>
      <c r="E11" s="104">
        <f t="shared" si="0"/>
        <v>345.142</v>
      </c>
      <c r="F11" s="104">
        <f t="shared" si="0"/>
        <v>323.15199999999999</v>
      </c>
      <c r="G11" s="104">
        <f t="shared" si="0"/>
        <v>391.49299999999999</v>
      </c>
      <c r="H11" s="104">
        <f t="shared" si="0"/>
        <v>399.78099999999995</v>
      </c>
      <c r="I11" s="104">
        <f t="shared" si="0"/>
        <v>411.51599999999996</v>
      </c>
      <c r="J11" s="104">
        <f t="shared" si="0"/>
        <v>408.43600000000004</v>
      </c>
      <c r="K11" s="104">
        <f t="shared" si="0"/>
        <v>415.31</v>
      </c>
      <c r="L11" s="104">
        <f t="shared" si="0"/>
        <v>404.41</v>
      </c>
      <c r="M11" s="104">
        <f t="shared" si="0"/>
        <v>380.29599999999999</v>
      </c>
      <c r="N11" s="104">
        <f t="shared" si="0"/>
        <v>330.03200000000004</v>
      </c>
      <c r="O11" s="104">
        <f t="shared" si="0"/>
        <v>315.44200000000001</v>
      </c>
      <c r="P11" s="104">
        <f>SUM(P7:P10)</f>
        <v>332.93099999999998</v>
      </c>
      <c r="Q11" s="104">
        <f t="shared" ref="Q11:AL11" si="1">SUM(Q7:Q10)</f>
        <v>355.65899999999999</v>
      </c>
      <c r="R11" s="104">
        <f t="shared" si="1"/>
        <v>337.74799999999999</v>
      </c>
      <c r="S11" s="104">
        <f t="shared" si="1"/>
        <v>307.46300000000002</v>
      </c>
      <c r="T11" s="104">
        <f t="shared" si="1"/>
        <v>303.983</v>
      </c>
      <c r="U11" s="104">
        <f t="shared" si="1"/>
        <v>290.36099999999999</v>
      </c>
      <c r="V11" s="104">
        <f t="shared" si="1"/>
        <v>320.03400000000005</v>
      </c>
      <c r="W11" s="104">
        <f t="shared" si="1"/>
        <v>347.24400000000003</v>
      </c>
      <c r="X11" s="104">
        <f t="shared" si="1"/>
        <v>362.65100000000001</v>
      </c>
      <c r="Y11" s="104">
        <f t="shared" si="1"/>
        <v>328.69499999999999</v>
      </c>
      <c r="Z11" s="104">
        <f t="shared" si="1"/>
        <v>324.10599999999999</v>
      </c>
      <c r="AA11" s="104">
        <f t="shared" si="1"/>
        <v>293.916</v>
      </c>
      <c r="AB11" s="104">
        <f t="shared" si="1"/>
        <v>321.51900000000001</v>
      </c>
      <c r="AC11" s="104">
        <f t="shared" si="1"/>
        <v>256.14499999999998</v>
      </c>
      <c r="AD11" s="104">
        <f t="shared" si="1"/>
        <v>196.036</v>
      </c>
      <c r="AE11" s="104">
        <f t="shared" si="1"/>
        <v>124.87499999999999</v>
      </c>
      <c r="AF11" s="104">
        <f t="shared" si="1"/>
        <v>184.041</v>
      </c>
      <c r="AG11" s="104">
        <f t="shared" si="1"/>
        <v>158.02799999999999</v>
      </c>
      <c r="AH11" s="104">
        <f t="shared" si="1"/>
        <v>161.69299999999998</v>
      </c>
      <c r="AI11" s="104">
        <f t="shared" si="1"/>
        <v>266.94700000000006</v>
      </c>
      <c r="AJ11" s="104">
        <f t="shared" si="1"/>
        <v>346.99299999999994</v>
      </c>
      <c r="AK11" s="104">
        <f t="shared" si="1"/>
        <v>332.29399999999998</v>
      </c>
      <c r="AL11" s="104">
        <f t="shared" si="1"/>
        <v>374.30799999999999</v>
      </c>
      <c r="AM11" s="104">
        <v>415.73</v>
      </c>
      <c r="AN11" s="104">
        <v>539.11799999999994</v>
      </c>
      <c r="AO11" s="104">
        <f t="shared" ref="AO11:AT11" si="2">SUM(AO7:AO10)</f>
        <v>540.44799999999998</v>
      </c>
      <c r="AP11" s="104">
        <f t="shared" si="2"/>
        <v>553.05899999999997</v>
      </c>
      <c r="AQ11" s="104">
        <f t="shared" si="2"/>
        <v>551.14099999999996</v>
      </c>
      <c r="AR11" s="104">
        <f t="shared" si="2"/>
        <v>570.24725000000001</v>
      </c>
      <c r="AS11" s="104">
        <f t="shared" si="2"/>
        <v>569.10874999999999</v>
      </c>
      <c r="AT11" s="104">
        <f t="shared" si="2"/>
        <v>577.01475000000005</v>
      </c>
      <c r="AU11" s="104"/>
    </row>
    <row r="12" spans="2:47" ht="12.75" customHeight="1">
      <c r="B12" s="210" t="s">
        <v>43</v>
      </c>
      <c r="C12" s="102" t="s">
        <v>43</v>
      </c>
      <c r="D12" s="105"/>
      <c r="E12" s="105"/>
      <c r="F12" s="105"/>
      <c r="G12" s="105">
        <f t="shared" ref="G12" si="3">G6/AVERAGE(G11,F11,E11,D11)</f>
        <v>0.40382309861511601</v>
      </c>
      <c r="H12" s="105">
        <f t="shared" ref="H12" si="4">H6/AVERAGE(H11,G11,F11,E11)</f>
        <v>0.29441530939593941</v>
      </c>
      <c r="I12" s="105">
        <f t="shared" ref="I12" si="5">I6/AVERAGE(I11,H11,G11,F11)</f>
        <v>0.22235723497112606</v>
      </c>
      <c r="J12" s="105">
        <f t="shared" ref="J12" si="6">J6/AVERAGE(J11,I11,H11,G11)</f>
        <v>0.24173404844107407</v>
      </c>
      <c r="K12" s="105">
        <f t="shared" ref="K12" si="7">K6/AVERAGE(K11,J11,I11,H11)</f>
        <v>-1.0335827604270794E-2</v>
      </c>
      <c r="L12" s="105">
        <f t="shared" ref="L12" si="8">L6/AVERAGE(L11,K11,J11,I11)</f>
        <v>5.2913058460808994E-2</v>
      </c>
      <c r="M12" s="105">
        <f t="shared" ref="M12" si="9">M6/AVERAGE(M11,L11,K11,J11)</f>
        <v>1.4812251753876179E-2</v>
      </c>
      <c r="N12" s="105">
        <f t="shared" ref="N12" si="10">N6/AVERAGE(N11,M11,L11,K11)</f>
        <v>1.0340515247723021E-2</v>
      </c>
      <c r="O12" s="105">
        <f t="shared" ref="O12" si="11">O6/AVERAGE(O11,N11,M11,L11)</f>
        <v>-7.7911126752749832E-2</v>
      </c>
      <c r="P12" s="105">
        <f t="shared" ref="P12" si="12">P6/AVERAGE(P11,O11,N11,M11)</f>
        <v>-8.189427398205136E-2</v>
      </c>
      <c r="Q12" s="105">
        <f t="shared" ref="Q12" si="13">Q6/AVERAGE(Q11,P11,O11,N11)</f>
        <v>-7.0150769939713323E-2</v>
      </c>
      <c r="R12" s="105">
        <f t="shared" ref="R12" si="14">R6/AVERAGE(R11,Q11,P11,O11)</f>
        <v>-8.8621322972048763E-2</v>
      </c>
      <c r="S12" s="105">
        <f t="shared" ref="S12:Z12" si="15">S6/AVERAGE(S11,R11,Q11,P11)</f>
        <v>-0.10882173625987783</v>
      </c>
      <c r="T12" s="105">
        <f t="shared" si="15"/>
        <v>-0.12051182343649727</v>
      </c>
      <c r="U12" s="105">
        <f t="shared" si="15"/>
        <v>-0.14966945720218019</v>
      </c>
      <c r="V12" s="105">
        <f t="shared" si="15"/>
        <v>-0.11289232362617804</v>
      </c>
      <c r="W12" s="105">
        <f t="shared" si="15"/>
        <v>3.6045014872667806E-2</v>
      </c>
      <c r="X12" s="105">
        <f t="shared" si="15"/>
        <v>8.4471982369006993E-2</v>
      </c>
      <c r="Y12" s="105">
        <f t="shared" si="15"/>
        <v>0.10969400226013046</v>
      </c>
      <c r="Z12" s="105">
        <f t="shared" si="15"/>
        <v>0.14544416654855566</v>
      </c>
      <c r="AA12" s="105">
        <f t="shared" ref="AA12:AO12" si="16">AA6/AVERAGE(AA11,Z11,Y11,X11)</f>
        <v>0.12661533998504987</v>
      </c>
      <c r="AB12" s="105">
        <f t="shared" si="16"/>
        <v>0.13552410952825411</v>
      </c>
      <c r="AC12" s="105">
        <f t="shared" si="16"/>
        <v>0.18719849702354527</v>
      </c>
      <c r="AD12" s="105">
        <f t="shared" si="16"/>
        <v>0.23359208686172925</v>
      </c>
      <c r="AE12" s="105">
        <f t="shared" si="16"/>
        <v>0.27162883682470085</v>
      </c>
      <c r="AF12" s="105">
        <f t="shared" si="16"/>
        <v>0.37739505379283489</v>
      </c>
      <c r="AG12" s="105">
        <f t="shared" si="16"/>
        <v>0.44475194230189219</v>
      </c>
      <c r="AH12" s="105">
        <f t="shared" si="16"/>
        <v>0.56195826641123192</v>
      </c>
      <c r="AI12" s="105">
        <f t="shared" si="16"/>
        <v>0.79446567224813514</v>
      </c>
      <c r="AJ12" s="105">
        <f t="shared" si="16"/>
        <v>0.9994246927650634</v>
      </c>
      <c r="AK12" s="105">
        <f t="shared" si="16"/>
        <v>1.0149236650503424</v>
      </c>
      <c r="AL12" s="105">
        <f t="shared" si="16"/>
        <v>1.0752690105254792</v>
      </c>
      <c r="AM12" s="105">
        <f t="shared" si="16"/>
        <v>1.0380339659042352</v>
      </c>
      <c r="AN12" s="105">
        <f t="shared" si="16"/>
        <v>0.80263394980219949</v>
      </c>
      <c r="AO12" s="105">
        <f t="shared" si="16"/>
        <v>0.65653129560121881</v>
      </c>
      <c r="AP12" s="105">
        <f>AP6/AVERAGE(AP11,AO11,AN11,AM11)</f>
        <v>0.50630952842569488</v>
      </c>
      <c r="AQ12" s="105">
        <f>+AQ6/SUM(AQ7:AQ10)</f>
        <v>0.43918845652295435</v>
      </c>
      <c r="AR12" s="105">
        <f>+AR6/SUM(AR7:AR10)</f>
        <v>0.4298059171683033</v>
      </c>
      <c r="AS12" s="105">
        <f>+AS6/SUM(AS7:AS10)</f>
        <v>0.43488244500832574</v>
      </c>
      <c r="AT12" s="105">
        <f>+AT6/SUM(AT7:AT10)</f>
        <v>0.42115780527910929</v>
      </c>
      <c r="AU12" s="105"/>
    </row>
    <row r="13" spans="2:47" ht="15" customHeight="1" thickBot="1">
      <c r="B13" s="211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</row>
    <row r="14" spans="2:47">
      <c r="C14" s="14"/>
    </row>
    <row r="16" spans="2:47"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</row>
    <row r="17" spans="4:23"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</row>
  </sheetData>
  <dataConsolidate/>
  <mergeCells count="2">
    <mergeCell ref="B4:B5"/>
    <mergeCell ref="C4:C5"/>
  </mergeCells>
  <phoneticPr fontId="87" type="noConversion"/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  <ignoredErrors>
    <ignoredError sqref="AB11:AL11 AO11:AP11 D11:AA11 AQ11:AT11" formulaRange="1"/>
    <ignoredError sqref="AQ12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>
    <tabColor theme="3" tint="-0.249977111117893"/>
    <pageSetUpPr fitToPage="1"/>
  </sheetPr>
  <dimension ref="A1:CB12"/>
  <sheetViews>
    <sheetView showGridLines="0" zoomScale="85" zoomScaleNormal="85" workbookViewId="0">
      <pane xSplit="3" ySplit="4" topLeftCell="BE5" activePane="bottomRight" state="frozen"/>
      <selection activeCell="B20" sqref="B20"/>
      <selection pane="topRight" activeCell="B20" sqref="B20"/>
      <selection pane="bottomLeft" activeCell="B20" sqref="B20"/>
      <selection pane="bottomRight" activeCell="BY5" sqref="BY5:BY9"/>
    </sheetView>
  </sheetViews>
  <sheetFormatPr defaultRowHeight="15" outlineLevelCol="1"/>
  <cols>
    <col min="1" max="1" width="7.7109375" style="27" customWidth="1"/>
    <col min="2" max="2" width="31.7109375" style="27" customWidth="1"/>
    <col min="3" max="3" width="44.5703125" customWidth="1"/>
    <col min="4" max="47" width="8.7109375" customWidth="1" outlineLevel="1"/>
    <col min="48" max="48" width="8.7109375" customWidth="1" outlineLevel="1" collapsed="1"/>
    <col min="49" max="50" width="8.7109375" customWidth="1" outlineLevel="1"/>
    <col min="51" max="53" width="8.7109375" style="62" customWidth="1" outlineLevel="1"/>
    <col min="54" max="55" width="9" style="62" bestFit="1" customWidth="1" outlineLevel="1"/>
    <col min="56" max="62" width="8.7109375" style="62" customWidth="1"/>
    <col min="63" max="63" width="8.7109375" style="62" hidden="1" customWidth="1"/>
    <col min="64" max="66" width="8.7109375" style="62" customWidth="1" outlineLevel="1"/>
    <col min="67" max="74" width="8.7109375" customWidth="1" outlineLevel="1"/>
    <col min="75" max="75" width="10.28515625" customWidth="1" outlineLevel="1" collapsed="1"/>
    <col min="76" max="76" width="10.28515625" customWidth="1" outlineLevel="1"/>
    <col min="77" max="78" width="10.28515625" bestFit="1" customWidth="1"/>
  </cols>
  <sheetData>
    <row r="1" spans="1:80" ht="15" customHeight="1"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</row>
    <row r="2" spans="1:80" ht="15" customHeight="1" thickBot="1">
      <c r="A2" s="14"/>
      <c r="B2" s="230"/>
      <c r="C2" s="231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</row>
    <row r="3" spans="1:80" ht="18" customHeight="1">
      <c r="A3" s="14"/>
      <c r="B3" s="138"/>
      <c r="C3" s="138"/>
      <c r="D3" s="99" t="s">
        <v>289</v>
      </c>
      <c r="E3" s="99" t="s">
        <v>290</v>
      </c>
      <c r="F3" s="99" t="s">
        <v>291</v>
      </c>
      <c r="G3" s="99" t="s">
        <v>293</v>
      </c>
      <c r="H3" s="99" t="s">
        <v>292</v>
      </c>
      <c r="I3" s="99" t="s">
        <v>294</v>
      </c>
      <c r="J3" s="99" t="s">
        <v>295</v>
      </c>
      <c r="K3" s="99" t="s">
        <v>296</v>
      </c>
      <c r="L3" s="99" t="s">
        <v>297</v>
      </c>
      <c r="M3" s="99" t="s">
        <v>298</v>
      </c>
      <c r="N3" s="99" t="s">
        <v>299</v>
      </c>
      <c r="O3" s="99" t="s">
        <v>300</v>
      </c>
      <c r="P3" s="99" t="s">
        <v>301</v>
      </c>
      <c r="Q3" s="99" t="s">
        <v>302</v>
      </c>
      <c r="R3" s="99" t="s">
        <v>303</v>
      </c>
      <c r="S3" s="99" t="s">
        <v>304</v>
      </c>
      <c r="T3" s="99" t="s">
        <v>305</v>
      </c>
      <c r="U3" s="99" t="s">
        <v>306</v>
      </c>
      <c r="V3" s="99" t="s">
        <v>307</v>
      </c>
      <c r="W3" s="99" t="s">
        <v>308</v>
      </c>
      <c r="X3" s="99" t="s">
        <v>309</v>
      </c>
      <c r="Y3" s="99" t="s">
        <v>310</v>
      </c>
      <c r="Z3" s="99" t="s">
        <v>311</v>
      </c>
      <c r="AA3" s="99" t="s">
        <v>312</v>
      </c>
      <c r="AB3" s="99" t="s">
        <v>313</v>
      </c>
      <c r="AC3" s="99" t="s">
        <v>314</v>
      </c>
      <c r="AD3" s="99" t="s">
        <v>315</v>
      </c>
      <c r="AE3" s="99" t="s">
        <v>316</v>
      </c>
      <c r="AF3" s="99" t="s">
        <v>317</v>
      </c>
      <c r="AG3" s="99" t="s">
        <v>318</v>
      </c>
      <c r="AH3" s="99" t="s">
        <v>319</v>
      </c>
      <c r="AI3" s="99" t="s">
        <v>320</v>
      </c>
      <c r="AJ3" s="99" t="s">
        <v>321</v>
      </c>
      <c r="AK3" s="99" t="s">
        <v>322</v>
      </c>
      <c r="AL3" s="99" t="s">
        <v>323</v>
      </c>
      <c r="AM3" s="99" t="s">
        <v>324</v>
      </c>
      <c r="AN3" s="99" t="s">
        <v>325</v>
      </c>
      <c r="AO3" s="99" t="s">
        <v>326</v>
      </c>
      <c r="AP3" s="99" t="s">
        <v>327</v>
      </c>
      <c r="AQ3" s="99" t="s">
        <v>328</v>
      </c>
      <c r="AR3" s="99" t="s">
        <v>329</v>
      </c>
      <c r="AS3" s="99" t="s">
        <v>330</v>
      </c>
      <c r="AT3" s="99" t="s">
        <v>331</v>
      </c>
      <c r="AU3" s="99" t="s">
        <v>332</v>
      </c>
      <c r="AV3" s="99" t="s">
        <v>333</v>
      </c>
      <c r="AW3" s="99" t="s">
        <v>334</v>
      </c>
      <c r="AX3" s="99" t="s">
        <v>335</v>
      </c>
      <c r="AY3" s="99" t="s">
        <v>336</v>
      </c>
      <c r="AZ3" s="99" t="s">
        <v>337</v>
      </c>
      <c r="BA3" s="99" t="s">
        <v>338</v>
      </c>
      <c r="BB3" s="99" t="s">
        <v>339</v>
      </c>
      <c r="BC3" s="99" t="s">
        <v>340</v>
      </c>
      <c r="BD3" s="99" t="s">
        <v>341</v>
      </c>
      <c r="BE3" s="99" t="s">
        <v>342</v>
      </c>
      <c r="BF3" s="99" t="s">
        <v>343</v>
      </c>
      <c r="BG3" s="99" t="s">
        <v>344</v>
      </c>
      <c r="BH3" s="99" t="s">
        <v>345</v>
      </c>
      <c r="BI3" s="99" t="s">
        <v>346</v>
      </c>
      <c r="BJ3" s="99" t="s">
        <v>347</v>
      </c>
      <c r="BK3" s="99" t="s">
        <v>348</v>
      </c>
      <c r="BL3" s="238">
        <v>2010</v>
      </c>
      <c r="BM3" s="238">
        <v>2011</v>
      </c>
      <c r="BN3" s="238">
        <v>2012</v>
      </c>
      <c r="BO3" s="238">
        <v>2013</v>
      </c>
      <c r="BP3" s="238">
        <v>2014</v>
      </c>
      <c r="BQ3" s="238">
        <v>2015</v>
      </c>
      <c r="BR3" s="238">
        <v>2016</v>
      </c>
      <c r="BS3" s="238">
        <v>2017</v>
      </c>
      <c r="BT3" s="238">
        <v>2018</v>
      </c>
      <c r="BU3" s="238">
        <v>2019</v>
      </c>
      <c r="BV3" s="238">
        <v>2020</v>
      </c>
      <c r="BW3" s="238">
        <v>2021</v>
      </c>
      <c r="BX3" s="238">
        <v>2022</v>
      </c>
      <c r="BY3" s="238">
        <v>2023</v>
      </c>
      <c r="BZ3" s="238">
        <v>2024</v>
      </c>
    </row>
    <row r="4" spans="1:80">
      <c r="A4" s="14"/>
      <c r="B4" s="228" t="s">
        <v>279</v>
      </c>
      <c r="C4" s="216" t="s">
        <v>99</v>
      </c>
      <c r="D4" s="99" t="s">
        <v>58</v>
      </c>
      <c r="E4" s="99" t="s">
        <v>57</v>
      </c>
      <c r="F4" s="99" t="s">
        <v>56</v>
      </c>
      <c r="G4" s="99" t="s">
        <v>47</v>
      </c>
      <c r="H4" s="99" t="s">
        <v>55</v>
      </c>
      <c r="I4" s="99" t="s">
        <v>54</v>
      </c>
      <c r="J4" s="99" t="s">
        <v>53</v>
      </c>
      <c r="K4" s="99" t="s">
        <v>52</v>
      </c>
      <c r="L4" s="99" t="s">
        <v>51</v>
      </c>
      <c r="M4" s="99" t="s">
        <v>50</v>
      </c>
      <c r="N4" s="99" t="s">
        <v>49</v>
      </c>
      <c r="O4" s="99" t="s">
        <v>48</v>
      </c>
      <c r="P4" s="99" t="s">
        <v>10</v>
      </c>
      <c r="Q4" s="99" t="s">
        <v>11</v>
      </c>
      <c r="R4" s="99" t="s">
        <v>12</v>
      </c>
      <c r="S4" s="99" t="s">
        <v>13</v>
      </c>
      <c r="T4" s="99" t="s">
        <v>14</v>
      </c>
      <c r="U4" s="99" t="s">
        <v>15</v>
      </c>
      <c r="V4" s="99" t="s">
        <v>16</v>
      </c>
      <c r="W4" s="99" t="s">
        <v>17</v>
      </c>
      <c r="X4" s="99" t="s">
        <v>18</v>
      </c>
      <c r="Y4" s="99" t="s">
        <v>19</v>
      </c>
      <c r="Z4" s="99" t="s">
        <v>20</v>
      </c>
      <c r="AA4" s="99" t="s">
        <v>21</v>
      </c>
      <c r="AB4" s="99" t="s">
        <v>22</v>
      </c>
      <c r="AC4" s="99" t="s">
        <v>23</v>
      </c>
      <c r="AD4" s="99" t="s">
        <v>24</v>
      </c>
      <c r="AE4" s="99" t="s">
        <v>25</v>
      </c>
      <c r="AF4" s="99" t="s">
        <v>26</v>
      </c>
      <c r="AG4" s="99" t="s">
        <v>27</v>
      </c>
      <c r="AH4" s="99" t="s">
        <v>28</v>
      </c>
      <c r="AI4" s="99" t="s">
        <v>29</v>
      </c>
      <c r="AJ4" s="99" t="s">
        <v>30</v>
      </c>
      <c r="AK4" s="99" t="s">
        <v>31</v>
      </c>
      <c r="AL4" s="99" t="s">
        <v>32</v>
      </c>
      <c r="AM4" s="99" t="s">
        <v>33</v>
      </c>
      <c r="AN4" s="99" t="s">
        <v>34</v>
      </c>
      <c r="AO4" s="99" t="s">
        <v>35</v>
      </c>
      <c r="AP4" s="99" t="s">
        <v>36</v>
      </c>
      <c r="AQ4" s="99" t="s">
        <v>37</v>
      </c>
      <c r="AR4" s="99" t="s">
        <v>3</v>
      </c>
      <c r="AS4" s="99" t="s">
        <v>38</v>
      </c>
      <c r="AT4" s="99" t="s">
        <v>39</v>
      </c>
      <c r="AU4" s="99" t="s">
        <v>8</v>
      </c>
      <c r="AV4" s="99" t="s">
        <v>9</v>
      </c>
      <c r="AW4" s="99" t="s">
        <v>40</v>
      </c>
      <c r="AX4" s="99" t="s">
        <v>41</v>
      </c>
      <c r="AY4" s="99" t="s">
        <v>42</v>
      </c>
      <c r="AZ4" s="99" t="s">
        <v>71</v>
      </c>
      <c r="BA4" s="99" t="s">
        <v>75</v>
      </c>
      <c r="BB4" s="99" t="s">
        <v>76</v>
      </c>
      <c r="BC4" s="99" t="s">
        <v>77</v>
      </c>
      <c r="BD4" s="99" t="s">
        <v>91</v>
      </c>
      <c r="BE4" s="99" t="s">
        <v>92</v>
      </c>
      <c r="BF4" s="99" t="s">
        <v>93</v>
      </c>
      <c r="BG4" s="99" t="s">
        <v>94</v>
      </c>
      <c r="BH4" s="99" t="s">
        <v>256</v>
      </c>
      <c r="BI4" s="99" t="s">
        <v>257</v>
      </c>
      <c r="BJ4" s="99" t="s">
        <v>258</v>
      </c>
      <c r="BK4" s="99" t="s">
        <v>259</v>
      </c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</row>
    <row r="5" spans="1:80" ht="12.75" customHeight="1">
      <c r="A5" s="14"/>
      <c r="B5" s="102" t="s">
        <v>500</v>
      </c>
      <c r="C5" s="195" t="s">
        <v>96</v>
      </c>
      <c r="D5" s="130">
        <v>50283</v>
      </c>
      <c r="E5" s="130">
        <v>54335</v>
      </c>
      <c r="F5" s="130">
        <v>75715</v>
      </c>
      <c r="G5" s="130">
        <v>80928</v>
      </c>
      <c r="H5" s="130">
        <v>36123</v>
      </c>
      <c r="I5" s="130">
        <v>50465</v>
      </c>
      <c r="J5" s="130">
        <v>95570</v>
      </c>
      <c r="K5" s="130">
        <v>106059</v>
      </c>
      <c r="L5" s="130">
        <v>66278</v>
      </c>
      <c r="M5" s="130">
        <v>41362</v>
      </c>
      <c r="N5" s="130">
        <v>66013</v>
      </c>
      <c r="O5" s="130">
        <v>111795</v>
      </c>
      <c r="P5" s="130">
        <v>97539</v>
      </c>
      <c r="Q5" s="130">
        <v>98643</v>
      </c>
      <c r="R5" s="130">
        <v>129164</v>
      </c>
      <c r="S5" s="130">
        <v>128627</v>
      </c>
      <c r="T5" s="130">
        <v>127979</v>
      </c>
      <c r="U5" s="130">
        <v>190441</v>
      </c>
      <c r="V5" s="130">
        <v>209710</v>
      </c>
      <c r="W5" s="130">
        <v>168842</v>
      </c>
      <c r="X5" s="130">
        <v>88772</v>
      </c>
      <c r="Y5" s="130">
        <v>117078</v>
      </c>
      <c r="Z5" s="130">
        <v>117615</v>
      </c>
      <c r="AA5" s="130">
        <v>143986</v>
      </c>
      <c r="AB5" s="130">
        <v>61894.768659999987</v>
      </c>
      <c r="AC5" s="130">
        <v>31728.649320000171</v>
      </c>
      <c r="AD5" s="130">
        <v>66530.431180000262</v>
      </c>
      <c r="AE5" s="130">
        <v>79686.543189999647</v>
      </c>
      <c r="AF5" s="130">
        <v>66334.69213999997</v>
      </c>
      <c r="AG5" s="130">
        <v>61692.846321699006</v>
      </c>
      <c r="AH5" s="130">
        <v>111742.56389338119</v>
      </c>
      <c r="AI5" s="130">
        <v>113591.18807999886</v>
      </c>
      <c r="AJ5" s="130">
        <v>74192.968258131383</v>
      </c>
      <c r="AK5" s="130">
        <v>62247.784220000001</v>
      </c>
      <c r="AL5" s="130">
        <v>112045.24407999948</v>
      </c>
      <c r="AM5" s="130">
        <v>133369.64098365043</v>
      </c>
      <c r="AN5" s="130">
        <v>99236.720680000042</v>
      </c>
      <c r="AO5" s="130">
        <v>67620.947402480509</v>
      </c>
      <c r="AP5" s="130">
        <v>105272.62370214169</v>
      </c>
      <c r="AQ5" s="130">
        <v>118789.78289023793</v>
      </c>
      <c r="AR5" s="130">
        <v>77040.928312863136</v>
      </c>
      <c r="AS5" s="130">
        <v>58607.328699999925</v>
      </c>
      <c r="AT5" s="130">
        <v>117919.93916999965</v>
      </c>
      <c r="AU5" s="130">
        <v>156422.29997000089</v>
      </c>
      <c r="AV5" s="130">
        <v>170812.04594539301</v>
      </c>
      <c r="AW5" s="130">
        <v>174417.74511762118</v>
      </c>
      <c r="AX5" s="130">
        <v>242934.64173506154</v>
      </c>
      <c r="AY5" s="130">
        <v>308370.8601083979</v>
      </c>
      <c r="AZ5" s="130">
        <v>263162.84942250716</v>
      </c>
      <c r="BA5" s="130">
        <v>220573.15057749284</v>
      </c>
      <c r="BB5" s="130">
        <v>387217</v>
      </c>
      <c r="BC5" s="130">
        <v>333859.54528351058</v>
      </c>
      <c r="BD5" s="130">
        <v>107507</v>
      </c>
      <c r="BE5" s="130">
        <v>82638</v>
      </c>
      <c r="BF5" s="130">
        <v>145655</v>
      </c>
      <c r="BG5" s="130">
        <f>151207+1</f>
        <v>151208</v>
      </c>
      <c r="BH5" s="130">
        <v>131952</v>
      </c>
      <c r="BI5" s="130">
        <v>103595</v>
      </c>
      <c r="BJ5" s="130">
        <v>141750</v>
      </c>
      <c r="BK5" s="130"/>
      <c r="BL5" s="130">
        <v>261261</v>
      </c>
      <c r="BM5" s="130">
        <v>288217</v>
      </c>
      <c r="BN5" s="130">
        <v>285448</v>
      </c>
      <c r="BO5" s="130">
        <v>453973</v>
      </c>
      <c r="BP5" s="130">
        <v>696972</v>
      </c>
      <c r="BQ5" s="130">
        <v>467451</v>
      </c>
      <c r="BR5" s="130">
        <v>239840.39235000007</v>
      </c>
      <c r="BS5" s="130">
        <v>353361.29043507902</v>
      </c>
      <c r="BT5" s="130">
        <v>381855.6375417813</v>
      </c>
      <c r="BU5" s="130">
        <v>390920.07467486017</v>
      </c>
      <c r="BV5" s="130">
        <v>409990.4961528636</v>
      </c>
      <c r="BW5" s="130">
        <v>896535.29290647362</v>
      </c>
      <c r="BX5" s="130">
        <v>1204812.5452835106</v>
      </c>
      <c r="BY5" s="130">
        <f>+SUM(BD5:BG5)</f>
        <v>487008</v>
      </c>
      <c r="BZ5" s="130">
        <f>+SUM(BH5:BK5)</f>
        <v>377297</v>
      </c>
      <c r="CA5" s="160"/>
      <c r="CB5" s="160"/>
    </row>
    <row r="6" spans="1:80" ht="12.75" customHeight="1">
      <c r="A6" s="14"/>
      <c r="B6" s="102" t="s">
        <v>501</v>
      </c>
      <c r="C6" s="195" t="s">
        <v>72</v>
      </c>
      <c r="D6" s="130">
        <v>16556</v>
      </c>
      <c r="E6" s="130">
        <v>12890</v>
      </c>
      <c r="F6" s="130">
        <v>11893</v>
      </c>
      <c r="G6" s="130">
        <v>25114</v>
      </c>
      <c r="H6" s="130">
        <v>12864</v>
      </c>
      <c r="I6" s="130">
        <v>20088</v>
      </c>
      <c r="J6" s="130">
        <v>23024</v>
      </c>
      <c r="K6" s="130">
        <v>36375</v>
      </c>
      <c r="L6" s="130">
        <v>23211</v>
      </c>
      <c r="M6" s="130">
        <v>22528</v>
      </c>
      <c r="N6" s="130">
        <v>19003</v>
      </c>
      <c r="O6" s="130">
        <v>30786</v>
      </c>
      <c r="P6" s="130">
        <v>11900</v>
      </c>
      <c r="Q6" s="130">
        <v>21116</v>
      </c>
      <c r="R6" s="130">
        <v>17786</v>
      </c>
      <c r="S6" s="130">
        <v>27598</v>
      </c>
      <c r="T6" s="130">
        <v>20227</v>
      </c>
      <c r="U6" s="130">
        <v>15725</v>
      </c>
      <c r="V6" s="130">
        <v>23648</v>
      </c>
      <c r="W6" s="130">
        <v>53785</v>
      </c>
      <c r="X6" s="130">
        <v>7915</v>
      </c>
      <c r="Y6" s="130">
        <v>20689</v>
      </c>
      <c r="Z6" s="130">
        <v>24375</v>
      </c>
      <c r="AA6" s="130">
        <v>42304</v>
      </c>
      <c r="AB6" s="130">
        <v>25890.072279999997</v>
      </c>
      <c r="AC6" s="130">
        <v>19546.67871000004</v>
      </c>
      <c r="AD6" s="130">
        <v>29581.052539999997</v>
      </c>
      <c r="AE6" s="130">
        <v>32569.03370999996</v>
      </c>
      <c r="AF6" s="130">
        <v>15745.442680000006</v>
      </c>
      <c r="AG6" s="130">
        <v>20034.164910000029</v>
      </c>
      <c r="AH6" s="130">
        <v>25507.953219999996</v>
      </c>
      <c r="AI6" s="130">
        <v>33689.05701999984</v>
      </c>
      <c r="AJ6" s="130">
        <v>8937.0665700000027</v>
      </c>
      <c r="AK6" s="130">
        <v>17396.352110000003</v>
      </c>
      <c r="AL6" s="130">
        <v>18122.268199999995</v>
      </c>
      <c r="AM6" s="130">
        <v>15787.358100000019</v>
      </c>
      <c r="AN6" s="130">
        <v>12725.111499999994</v>
      </c>
      <c r="AO6" s="130">
        <v>15752.667270000004</v>
      </c>
      <c r="AP6" s="130">
        <v>10864.494110000014</v>
      </c>
      <c r="AQ6" s="130">
        <v>22845.522680000024</v>
      </c>
      <c r="AR6" s="130">
        <v>15064.859140000006</v>
      </c>
      <c r="AS6" s="130">
        <v>13364.750139999987</v>
      </c>
      <c r="AT6" s="130">
        <v>53820.695320000043</v>
      </c>
      <c r="AU6" s="130">
        <v>23533.826710000067</v>
      </c>
      <c r="AV6" s="130">
        <v>23137.603279999985</v>
      </c>
      <c r="AW6" s="130">
        <v>27662.087610000013</v>
      </c>
      <c r="AX6" s="130">
        <v>35719.885439999896</v>
      </c>
      <c r="AY6" s="130">
        <v>40074.365989999977</v>
      </c>
      <c r="AZ6" s="130">
        <v>37788.708109999992</v>
      </c>
      <c r="BA6" s="130">
        <v>40547.291890000008</v>
      </c>
      <c r="BB6" s="130">
        <v>47098</v>
      </c>
      <c r="BC6" s="130">
        <v>45184.227520000015</v>
      </c>
      <c r="BD6" s="130">
        <v>22753</v>
      </c>
      <c r="BE6" s="130">
        <v>24961</v>
      </c>
      <c r="BF6" s="130">
        <v>31310</v>
      </c>
      <c r="BG6" s="130">
        <f>32240-1</f>
        <v>32239</v>
      </c>
      <c r="BH6" s="130">
        <v>38786</v>
      </c>
      <c r="BI6" s="130">
        <v>30984</v>
      </c>
      <c r="BJ6" s="130">
        <v>51219</v>
      </c>
      <c r="BK6" s="130"/>
      <c r="BL6" s="130">
        <v>66453</v>
      </c>
      <c r="BM6" s="130">
        <v>92351</v>
      </c>
      <c r="BN6" s="130">
        <v>95528</v>
      </c>
      <c r="BO6" s="130">
        <v>78400</v>
      </c>
      <c r="BP6" s="130">
        <v>113385</v>
      </c>
      <c r="BQ6" s="130">
        <v>95283</v>
      </c>
      <c r="BR6" s="130">
        <v>107586.83723999999</v>
      </c>
      <c r="BS6" s="130">
        <v>94976.617829999872</v>
      </c>
      <c r="BT6" s="130">
        <v>60243.044980000021</v>
      </c>
      <c r="BU6" s="130">
        <v>62187.795560000035</v>
      </c>
      <c r="BV6" s="130">
        <v>105784.1313100001</v>
      </c>
      <c r="BW6" s="130">
        <v>126593.94231999987</v>
      </c>
      <c r="BX6" s="130">
        <v>170618.22752000001</v>
      </c>
      <c r="BY6" s="130">
        <f t="shared" ref="BY6:BY9" si="0">+SUM(BD6:BG6)</f>
        <v>111263</v>
      </c>
      <c r="BZ6" s="130">
        <f t="shared" ref="BZ6:BZ9" si="1">+SUM(BH6:BK6)</f>
        <v>120989</v>
      </c>
      <c r="CA6" s="160"/>
      <c r="CB6" s="160"/>
    </row>
    <row r="7" spans="1:80" ht="12.75" customHeight="1">
      <c r="A7" s="14"/>
      <c r="B7" s="102" t="s">
        <v>502</v>
      </c>
      <c r="C7" s="195" t="s">
        <v>73</v>
      </c>
      <c r="D7" s="130">
        <v>3986</v>
      </c>
      <c r="E7" s="130">
        <v>7077</v>
      </c>
      <c r="F7" s="130">
        <v>7811</v>
      </c>
      <c r="G7" s="130">
        <v>9552</v>
      </c>
      <c r="H7" s="130">
        <v>8393</v>
      </c>
      <c r="I7" s="130">
        <v>13043</v>
      </c>
      <c r="J7" s="130">
        <v>2615</v>
      </c>
      <c r="K7" s="130">
        <v>1810</v>
      </c>
      <c r="L7" s="130">
        <v>2955</v>
      </c>
      <c r="M7" s="130">
        <v>5338</v>
      </c>
      <c r="N7" s="130">
        <v>4791</v>
      </c>
      <c r="O7" s="130">
        <v>9934</v>
      </c>
      <c r="P7" s="130">
        <v>4377</v>
      </c>
      <c r="Q7" s="130">
        <v>3848</v>
      </c>
      <c r="R7" s="130">
        <v>15380</v>
      </c>
      <c r="S7" s="130">
        <v>15910</v>
      </c>
      <c r="T7" s="130">
        <v>16892</v>
      </c>
      <c r="U7" s="130">
        <v>14915</v>
      </c>
      <c r="V7" s="130">
        <v>15528</v>
      </c>
      <c r="W7" s="130">
        <v>19155</v>
      </c>
      <c r="X7" s="130">
        <v>6104</v>
      </c>
      <c r="Y7" s="130">
        <v>26173</v>
      </c>
      <c r="Z7" s="130">
        <v>52898</v>
      </c>
      <c r="AA7" s="130">
        <v>22579</v>
      </c>
      <c r="AB7" s="130">
        <v>5130.5674800000015</v>
      </c>
      <c r="AC7" s="130">
        <v>14638.143820000001</v>
      </c>
      <c r="AD7" s="130">
        <v>3076.6776699999973</v>
      </c>
      <c r="AE7" s="130">
        <v>13640.020880000004</v>
      </c>
      <c r="AF7" s="130">
        <v>7936.8674100000017</v>
      </c>
      <c r="AG7" s="130">
        <v>7551.8529900000622</v>
      </c>
      <c r="AH7" s="130">
        <v>8746.1405400000003</v>
      </c>
      <c r="AI7" s="130">
        <v>6383.5278499999949</v>
      </c>
      <c r="AJ7" s="130">
        <v>10675.56984</v>
      </c>
      <c r="AK7" s="130">
        <v>10414.372999999989</v>
      </c>
      <c r="AL7" s="130">
        <v>12420.52242000003</v>
      </c>
      <c r="AM7" s="130">
        <v>2186.8238299999939</v>
      </c>
      <c r="AN7" s="130">
        <v>5768.4298700000008</v>
      </c>
      <c r="AO7" s="130">
        <v>7688.4691499999981</v>
      </c>
      <c r="AP7" s="130">
        <v>7672.5142400000022</v>
      </c>
      <c r="AQ7" s="130">
        <v>14491.671920000023</v>
      </c>
      <c r="AR7" s="130">
        <v>13125.858800000002</v>
      </c>
      <c r="AS7" s="130">
        <v>3066.5497199999918</v>
      </c>
      <c r="AT7" s="130">
        <v>608.6582200000048</v>
      </c>
      <c r="AU7" s="130">
        <v>18762.878009999989</v>
      </c>
      <c r="AV7" s="130">
        <v>10384.817379999999</v>
      </c>
      <c r="AW7" s="130">
        <v>1959.0441700000065</v>
      </c>
      <c r="AX7" s="130">
        <v>958.82207000000017</v>
      </c>
      <c r="AY7" s="130">
        <v>4208.8729100000073</v>
      </c>
      <c r="AZ7" s="130">
        <v>17.182170000000113</v>
      </c>
      <c r="BA7" s="130">
        <v>5937.81783</v>
      </c>
      <c r="BB7" s="130">
        <v>13681</v>
      </c>
      <c r="BC7" s="130">
        <v>29961.293609999993</v>
      </c>
      <c r="BD7" s="130">
        <v>31785</v>
      </c>
      <c r="BE7" s="130">
        <v>27964</v>
      </c>
      <c r="BF7" s="130">
        <v>3205</v>
      </c>
      <c r="BG7" s="130">
        <f>31664-1</f>
        <v>31663</v>
      </c>
      <c r="BH7" s="130">
        <v>46567</v>
      </c>
      <c r="BI7" s="130">
        <v>37470</v>
      </c>
      <c r="BJ7" s="130">
        <v>17371</v>
      </c>
      <c r="BK7" s="130"/>
      <c r="BL7" s="130">
        <v>28426</v>
      </c>
      <c r="BM7" s="130">
        <v>25861</v>
      </c>
      <c r="BN7" s="130">
        <v>23018</v>
      </c>
      <c r="BO7" s="130">
        <v>39515</v>
      </c>
      <c r="BP7" s="130">
        <v>66490</v>
      </c>
      <c r="BQ7" s="130">
        <v>107754</v>
      </c>
      <c r="BR7" s="130">
        <v>36485.409850000004</v>
      </c>
      <c r="BS7" s="130">
        <v>30618.388790000059</v>
      </c>
      <c r="BT7" s="130">
        <v>35697.289090000013</v>
      </c>
      <c r="BU7" s="130">
        <v>35621.085180000024</v>
      </c>
      <c r="BV7" s="130">
        <v>35563.944749999988</v>
      </c>
      <c r="BW7" s="130">
        <v>17511.556530000013</v>
      </c>
      <c r="BX7" s="130">
        <v>49597.293609999993</v>
      </c>
      <c r="BY7" s="130">
        <f t="shared" si="0"/>
        <v>94617</v>
      </c>
      <c r="BZ7" s="130">
        <f t="shared" si="1"/>
        <v>101408</v>
      </c>
      <c r="CA7" s="160"/>
      <c r="CB7" s="160"/>
    </row>
    <row r="8" spans="1:80" ht="12.75" customHeight="1">
      <c r="A8" s="14"/>
      <c r="B8" s="102" t="s">
        <v>503</v>
      </c>
      <c r="C8" s="195" t="s">
        <v>262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0</v>
      </c>
      <c r="T8" s="130">
        <v>0</v>
      </c>
      <c r="U8" s="130">
        <v>0</v>
      </c>
      <c r="V8" s="130">
        <v>0</v>
      </c>
      <c r="W8" s="130">
        <v>0</v>
      </c>
      <c r="X8" s="130">
        <v>0</v>
      </c>
      <c r="Y8" s="130">
        <v>0</v>
      </c>
      <c r="Z8" s="130">
        <v>0</v>
      </c>
      <c r="AA8" s="130">
        <v>0</v>
      </c>
      <c r="AB8" s="130">
        <v>14864.446960000001</v>
      </c>
      <c r="AC8" s="130">
        <v>13289.505550000002</v>
      </c>
      <c r="AD8" s="130">
        <v>13632.918179999993</v>
      </c>
      <c r="AE8" s="130">
        <v>11886.378810000017</v>
      </c>
      <c r="AF8" s="130">
        <v>18347.972976911122</v>
      </c>
      <c r="AG8" s="130">
        <v>25449.751350000035</v>
      </c>
      <c r="AH8" s="130">
        <v>4059.7365100000243</v>
      </c>
      <c r="AI8" s="130">
        <v>3916.6033699999971</v>
      </c>
      <c r="AJ8" s="130">
        <v>3545.7906899999994</v>
      </c>
      <c r="AK8" s="130">
        <v>6640.2285600000068</v>
      </c>
      <c r="AL8" s="130">
        <v>12501.164850000021</v>
      </c>
      <c r="AM8" s="130">
        <v>17814.724159999889</v>
      </c>
      <c r="AN8" s="130">
        <v>5919.7448299999987</v>
      </c>
      <c r="AO8" s="130">
        <v>11481.101600000009</v>
      </c>
      <c r="AP8" s="130">
        <v>5050.6786399999692</v>
      </c>
      <c r="AQ8" s="130">
        <v>286.02254000000175</v>
      </c>
      <c r="AR8" s="130">
        <v>2020.5093400000001</v>
      </c>
      <c r="AS8" s="130">
        <v>82.438990000000103</v>
      </c>
      <c r="AT8" s="130">
        <v>4501.9799400000002</v>
      </c>
      <c r="AU8" s="130">
        <v>13115.445639999984</v>
      </c>
      <c r="AV8" s="130">
        <v>0</v>
      </c>
      <c r="AW8" s="130">
        <v>1410.4147000000003</v>
      </c>
      <c r="AX8" s="130">
        <v>2958.8998499999961</v>
      </c>
      <c r="AY8" s="130">
        <v>11229.419920000008</v>
      </c>
      <c r="AZ8" s="130">
        <v>93946.028650000022</v>
      </c>
      <c r="BA8" s="130">
        <v>47478.971349999978</v>
      </c>
      <c r="BB8" s="130">
        <v>10527</v>
      </c>
      <c r="BC8" s="130">
        <v>26499.972478683747</v>
      </c>
      <c r="BD8" s="130">
        <v>110104</v>
      </c>
      <c r="BE8" s="130">
        <v>85218</v>
      </c>
      <c r="BF8" s="130">
        <v>154194</v>
      </c>
      <c r="BG8" s="130">
        <f>198779+1</f>
        <v>198780</v>
      </c>
      <c r="BH8" s="130">
        <v>106042</v>
      </c>
      <c r="BI8" s="130">
        <v>98192</v>
      </c>
      <c r="BJ8" s="130">
        <v>156630</v>
      </c>
      <c r="BK8" s="130"/>
      <c r="BL8" s="130">
        <v>0</v>
      </c>
      <c r="BM8" s="130">
        <v>0</v>
      </c>
      <c r="BN8" s="130">
        <v>0</v>
      </c>
      <c r="BO8" s="130">
        <v>0</v>
      </c>
      <c r="BP8" s="130">
        <v>0</v>
      </c>
      <c r="BQ8" s="130">
        <v>0</v>
      </c>
      <c r="BR8" s="130">
        <v>53673.249500000013</v>
      </c>
      <c r="BS8" s="130">
        <v>51774.064206911178</v>
      </c>
      <c r="BT8" s="130">
        <v>40501.908259999916</v>
      </c>
      <c r="BU8" s="130">
        <v>22737.54760999998</v>
      </c>
      <c r="BV8" s="130">
        <v>19720.373909999984</v>
      </c>
      <c r="BW8" s="130">
        <v>15598.734470000003</v>
      </c>
      <c r="BX8" s="130">
        <v>178451.97247868375</v>
      </c>
      <c r="BY8" s="130">
        <f t="shared" si="0"/>
        <v>548296</v>
      </c>
      <c r="BZ8" s="130">
        <f t="shared" si="1"/>
        <v>360864</v>
      </c>
      <c r="CA8" s="160"/>
      <c r="CB8" s="160"/>
    </row>
    <row r="9" spans="1:80" ht="12.75" customHeight="1">
      <c r="A9" s="14"/>
      <c r="B9" s="134" t="s">
        <v>504</v>
      </c>
      <c r="C9" s="229" t="s">
        <v>74</v>
      </c>
      <c r="D9" s="139">
        <v>2419</v>
      </c>
      <c r="E9" s="139">
        <v>1539</v>
      </c>
      <c r="F9" s="139">
        <v>2443</v>
      </c>
      <c r="G9" s="139">
        <v>3789</v>
      </c>
      <c r="H9" s="139">
        <v>3338</v>
      </c>
      <c r="I9" s="139">
        <v>2442</v>
      </c>
      <c r="J9" s="139">
        <v>4470</v>
      </c>
      <c r="K9" s="139">
        <v>5447</v>
      </c>
      <c r="L9" s="139">
        <v>5258</v>
      </c>
      <c r="M9" s="139">
        <v>4267</v>
      </c>
      <c r="N9" s="139">
        <v>5011</v>
      </c>
      <c r="O9" s="139">
        <v>5911</v>
      </c>
      <c r="P9" s="139">
        <v>5705</v>
      </c>
      <c r="Q9" s="139">
        <v>5172</v>
      </c>
      <c r="R9" s="139">
        <v>4596</v>
      </c>
      <c r="S9" s="139">
        <v>7401</v>
      </c>
      <c r="T9" s="139">
        <v>8172</v>
      </c>
      <c r="U9" s="139">
        <v>5602</v>
      </c>
      <c r="V9" s="139">
        <v>5462</v>
      </c>
      <c r="W9" s="139">
        <v>9758</v>
      </c>
      <c r="X9" s="139">
        <v>5118</v>
      </c>
      <c r="Y9" s="139">
        <v>7580</v>
      </c>
      <c r="Z9" s="139">
        <v>7877</v>
      </c>
      <c r="AA9" s="139">
        <v>14916</v>
      </c>
      <c r="AB9" s="139">
        <v>8013.1121600000142</v>
      </c>
      <c r="AC9" s="139">
        <v>9090.2190399999818</v>
      </c>
      <c r="AD9" s="139">
        <v>8090.4508499999865</v>
      </c>
      <c r="AE9" s="139">
        <v>12518.361480000054</v>
      </c>
      <c r="AF9" s="139">
        <v>8865.9104299999944</v>
      </c>
      <c r="AG9" s="139">
        <v>10302.756550000015</v>
      </c>
      <c r="AH9" s="139">
        <v>11712.418829999962</v>
      </c>
      <c r="AI9" s="139">
        <v>16763.819369999921</v>
      </c>
      <c r="AJ9" s="139">
        <v>11243.281651868612</v>
      </c>
      <c r="AK9" s="139">
        <v>10950.800230000012</v>
      </c>
      <c r="AL9" s="139">
        <v>11010.718649999944</v>
      </c>
      <c r="AM9" s="139">
        <v>24797.550326351513</v>
      </c>
      <c r="AN9" s="139">
        <v>13880.553719999976</v>
      </c>
      <c r="AO9" s="139">
        <v>14509.268987519421</v>
      </c>
      <c r="AP9" s="139">
        <v>20661.230847857525</v>
      </c>
      <c r="AQ9" s="139">
        <v>22947.660319763127</v>
      </c>
      <c r="AR9" s="139">
        <v>20229.624287136947</v>
      </c>
      <c r="AS9" s="139">
        <v>18871.51706999998</v>
      </c>
      <c r="AT9" s="139">
        <v>24793.792669999952</v>
      </c>
      <c r="AU9" s="139">
        <v>36289.52000999984</v>
      </c>
      <c r="AV9" s="139">
        <v>31845.923614607364</v>
      </c>
      <c r="AW9" s="139">
        <v>37204.07656237889</v>
      </c>
      <c r="AX9" s="139">
        <v>47894.624060000424</v>
      </c>
      <c r="AY9" s="139">
        <v>52994.53471536591</v>
      </c>
      <c r="AZ9" s="139">
        <v>42680.563080000094</v>
      </c>
      <c r="BA9" s="139">
        <v>45536.640049999885</v>
      </c>
      <c r="BB9" s="139">
        <v>57230.79687000002</v>
      </c>
      <c r="BC9" s="139">
        <v>66472.825559844379</v>
      </c>
      <c r="BD9" s="139">
        <v>50955</v>
      </c>
      <c r="BE9" s="139">
        <v>60416</v>
      </c>
      <c r="BF9" s="139">
        <v>71264</v>
      </c>
      <c r="BG9" s="139">
        <f>88316-1</f>
        <v>88315</v>
      </c>
      <c r="BH9" s="139">
        <v>56964</v>
      </c>
      <c r="BI9" s="139">
        <v>57593</v>
      </c>
      <c r="BJ9" s="139">
        <v>72082</v>
      </c>
      <c r="BK9" s="139"/>
      <c r="BL9" s="139">
        <v>10190</v>
      </c>
      <c r="BM9" s="139">
        <v>15697</v>
      </c>
      <c r="BN9" s="139">
        <v>20447</v>
      </c>
      <c r="BO9" s="139">
        <v>22874</v>
      </c>
      <c r="BP9" s="139">
        <v>28994</v>
      </c>
      <c r="BQ9" s="139">
        <v>35491</v>
      </c>
      <c r="BR9" s="139">
        <v>37712.143530000038</v>
      </c>
      <c r="BS9" s="139">
        <v>47644.905179999892</v>
      </c>
      <c r="BT9" s="139">
        <v>58002.350858220081</v>
      </c>
      <c r="BU9" s="139">
        <v>71998.713875140049</v>
      </c>
      <c r="BV9" s="139">
        <v>100184.45403713672</v>
      </c>
      <c r="BW9" s="139">
        <v>169939.15895235259</v>
      </c>
      <c r="BX9" s="139">
        <v>211920.82555984438</v>
      </c>
      <c r="BY9" s="130">
        <f t="shared" si="0"/>
        <v>270950</v>
      </c>
      <c r="BZ9" s="130">
        <f t="shared" si="1"/>
        <v>186639</v>
      </c>
      <c r="CA9" s="160"/>
      <c r="CB9" s="160"/>
    </row>
    <row r="10" spans="1:80" s="37" customFormat="1" ht="12.75" customHeight="1">
      <c r="A10" s="133"/>
      <c r="B10" s="107" t="s">
        <v>1</v>
      </c>
      <c r="C10" s="193" t="s">
        <v>1</v>
      </c>
      <c r="D10" s="112">
        <v>73244</v>
      </c>
      <c r="E10" s="112">
        <v>75841</v>
      </c>
      <c r="F10" s="112">
        <v>97862</v>
      </c>
      <c r="G10" s="112">
        <v>119383</v>
      </c>
      <c r="H10" s="112">
        <v>60718</v>
      </c>
      <c r="I10" s="112">
        <v>86038</v>
      </c>
      <c r="J10" s="112">
        <v>125679</v>
      </c>
      <c r="K10" s="112">
        <v>149691</v>
      </c>
      <c r="L10" s="112">
        <v>97702</v>
      </c>
      <c r="M10" s="112">
        <v>73495</v>
      </c>
      <c r="N10" s="112">
        <v>94818</v>
      </c>
      <c r="O10" s="112">
        <v>158426</v>
      </c>
      <c r="P10" s="112">
        <v>119521</v>
      </c>
      <c r="Q10" s="112">
        <v>128779</v>
      </c>
      <c r="R10" s="112">
        <v>166926</v>
      </c>
      <c r="S10" s="112">
        <v>179536</v>
      </c>
      <c r="T10" s="112">
        <v>173270</v>
      </c>
      <c r="U10" s="112">
        <v>226683</v>
      </c>
      <c r="V10" s="112">
        <v>254348</v>
      </c>
      <c r="W10" s="112">
        <v>251540</v>
      </c>
      <c r="X10" s="112">
        <v>107909</v>
      </c>
      <c r="Y10" s="112">
        <v>171520</v>
      </c>
      <c r="Z10" s="112">
        <v>202765</v>
      </c>
      <c r="AA10" s="112">
        <v>223785</v>
      </c>
      <c r="AB10" s="112">
        <v>115792.96754</v>
      </c>
      <c r="AC10" s="112">
        <v>88293.196440000189</v>
      </c>
      <c r="AD10" s="112">
        <v>120911.53042000023</v>
      </c>
      <c r="AE10" s="112">
        <v>150300.33806999968</v>
      </c>
      <c r="AF10" s="112">
        <v>117230.88563691109</v>
      </c>
      <c r="AG10" s="112">
        <v>125031.37212169914</v>
      </c>
      <c r="AH10" s="112">
        <v>161768.81299338114</v>
      </c>
      <c r="AI10" s="112">
        <v>174344.1956899986</v>
      </c>
      <c r="AJ10" s="112">
        <v>108594.67700999998</v>
      </c>
      <c r="AK10" s="112">
        <v>107649.53812000001</v>
      </c>
      <c r="AL10" s="112">
        <v>166099.91819999946</v>
      </c>
      <c r="AM10" s="112">
        <v>193956.09740000183</v>
      </c>
      <c r="AN10" s="112">
        <v>137530.56060000003</v>
      </c>
      <c r="AO10" s="112">
        <v>117052.45440999995</v>
      </c>
      <c r="AP10" s="112">
        <v>149521.54153999919</v>
      </c>
      <c r="AQ10" s="112">
        <v>179360.6603500011</v>
      </c>
      <c r="AR10" s="112">
        <v>127481.77988000009</v>
      </c>
      <c r="AS10" s="112">
        <v>93992.584619999892</v>
      </c>
      <c r="AT10" s="112">
        <v>201645.06531999964</v>
      </c>
      <c r="AU10" s="112">
        <v>248123.97034000079</v>
      </c>
      <c r="AV10" s="112">
        <v>236180.39022000035</v>
      </c>
      <c r="AW10" s="112">
        <v>242653.36816000007</v>
      </c>
      <c r="AX10" s="112">
        <v>330466.8731550618</v>
      </c>
      <c r="AY10" s="112">
        <v>416878.05364376382</v>
      </c>
      <c r="AZ10" s="112">
        <v>437595.33143250726</v>
      </c>
      <c r="BA10" s="112">
        <v>360073.87169749272</v>
      </c>
      <c r="BB10" s="112">
        <v>515753.79687000002</v>
      </c>
      <c r="BC10" s="112">
        <v>501977.86445203872</v>
      </c>
      <c r="BD10" s="112">
        <v>323104</v>
      </c>
      <c r="BE10" s="112">
        <v>281197</v>
      </c>
      <c r="BF10" s="112">
        <v>405628.06665280648</v>
      </c>
      <c r="BG10" s="112">
        <f>SUM(BG5:BG9)</f>
        <v>502205</v>
      </c>
      <c r="BH10" s="112">
        <f>SUM(BH5:BH9)</f>
        <v>380311</v>
      </c>
      <c r="BI10" s="112">
        <f>SUM(BI5:BI9)</f>
        <v>327834</v>
      </c>
      <c r="BJ10" s="112">
        <f>SUM(BJ5:BJ9)</f>
        <v>439052</v>
      </c>
      <c r="BK10" s="112"/>
      <c r="BL10" s="112">
        <v>366330</v>
      </c>
      <c r="BM10" s="112">
        <v>422126</v>
      </c>
      <c r="BN10" s="112">
        <v>424441</v>
      </c>
      <c r="BO10" s="112">
        <v>594762</v>
      </c>
      <c r="BP10" s="112">
        <v>905841</v>
      </c>
      <c r="BQ10" s="112">
        <v>705979</v>
      </c>
      <c r="BR10" s="112">
        <v>475298.03247000015</v>
      </c>
      <c r="BS10" s="112">
        <v>578375.26644199004</v>
      </c>
      <c r="BT10" s="112">
        <v>576300.23073000135</v>
      </c>
      <c r="BU10" s="112">
        <v>583465.21690000035</v>
      </c>
      <c r="BV10" s="112">
        <v>671243.40016000043</v>
      </c>
      <c r="BW10" s="112">
        <v>1226178.6851788261</v>
      </c>
      <c r="BX10" s="112">
        <v>1815400.8644520389</v>
      </c>
      <c r="BY10" s="112">
        <f>SUM(BY5:BY9)</f>
        <v>1512134</v>
      </c>
      <c r="BZ10" s="112">
        <f>SUM(BZ5:BZ9)</f>
        <v>1147197</v>
      </c>
    </row>
    <row r="11" spans="1:80" ht="15.75" thickBot="1">
      <c r="A11" s="14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</row>
    <row r="12" spans="1:80" s="52" customFormat="1">
      <c r="A12" s="41"/>
      <c r="B12" s="4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</row>
  </sheetData>
  <mergeCells count="15">
    <mergeCell ref="BQ3:BQ4"/>
    <mergeCell ref="BL3:BL4"/>
    <mergeCell ref="BM3:BM4"/>
    <mergeCell ref="BN3:BN4"/>
    <mergeCell ref="BO3:BO4"/>
    <mergeCell ref="BP3:BP4"/>
    <mergeCell ref="BX3:BX4"/>
    <mergeCell ref="BY3:BY4"/>
    <mergeCell ref="BZ3:BZ4"/>
    <mergeCell ref="BR3:BR4"/>
    <mergeCell ref="BS3:BS4"/>
    <mergeCell ref="BT3:BT4"/>
    <mergeCell ref="BU3:BU4"/>
    <mergeCell ref="BV3:BV4"/>
    <mergeCell ref="BW3:BW4"/>
  </mergeCells>
  <phoneticPr fontId="87" type="noConversion"/>
  <pageMargins left="0.51181102362204722" right="0.51181102362204722" top="0.78740157480314965" bottom="0.78740157480314965" header="0.31496062992125984" footer="0.31496062992125984"/>
  <pageSetup paperSize="9" scale="76" orientation="landscape" r:id="rId1"/>
  <headerFooter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13</vt:i4>
      </vt:variant>
    </vt:vector>
  </HeadingPairs>
  <TitlesOfParts>
    <vt:vector size="25" baseType="lpstr">
      <vt:lpstr>ÍNDICE REALIZADO</vt:lpstr>
      <vt:lpstr>BP</vt:lpstr>
      <vt:lpstr>DRE</vt:lpstr>
      <vt:lpstr>DFC </vt:lpstr>
      <vt:lpstr>DESPESAS</vt:lpstr>
      <vt:lpstr>EBITDA</vt:lpstr>
      <vt:lpstr>ENDIVIDAMENTO</vt:lpstr>
      <vt:lpstr>ROIC</vt:lpstr>
      <vt:lpstr>RECEITA LÍQUIDA</vt:lpstr>
      <vt:lpstr>CAPEX</vt:lpstr>
      <vt:lpstr>RECEITA LIQUIDA - MI E ME.</vt:lpstr>
      <vt:lpstr>PAYOUT</vt:lpstr>
      <vt:lpstr>BP!Area_de_impressao</vt:lpstr>
      <vt:lpstr>CAPEX!Area_de_impressao</vt:lpstr>
      <vt:lpstr>DESPESAS!Area_de_impressao</vt:lpstr>
      <vt:lpstr>'DFC '!Area_de_impressao</vt:lpstr>
      <vt:lpstr>DRE!Area_de_impressao</vt:lpstr>
      <vt:lpstr>EBITDA!Area_de_impressao</vt:lpstr>
      <vt:lpstr>ENDIVIDAMENTO!Area_de_impressao</vt:lpstr>
      <vt:lpstr>'ÍNDICE REALIZADO'!Area_de_impressao</vt:lpstr>
      <vt:lpstr>PAYOUT!Area_de_impressao</vt:lpstr>
      <vt:lpstr>'RECEITA LÍQUIDA'!Area_de_impressao</vt:lpstr>
      <vt:lpstr>'RECEITA LIQUIDA - MI E ME.'!Area_de_impressao</vt:lpstr>
      <vt:lpstr>ROIC!Area_de_impressao</vt:lpstr>
      <vt:lpstr>'DFC '!Titulos_de_impressao</vt:lpstr>
    </vt:vector>
  </TitlesOfParts>
  <Company>MZ 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Lorenzo Monteiro</dc:creator>
  <cp:lastModifiedBy>Laura Goulart Sannomiya</cp:lastModifiedBy>
  <cp:lastPrinted>2024-07-23T19:16:19Z</cp:lastPrinted>
  <dcterms:created xsi:type="dcterms:W3CDTF">2009-06-02T19:41:32Z</dcterms:created>
  <dcterms:modified xsi:type="dcterms:W3CDTF">2024-10-29T15:03:48Z</dcterms:modified>
</cp:coreProperties>
</file>