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codeName="EstaPastaDeTrabalho" defaultThemeVersion="202300"/>
  <mc:AlternateContent xmlns:mc="http://schemas.openxmlformats.org/markup-compatibility/2006">
    <mc:Choice Requires="x15">
      <x15ac:absPath xmlns:x15ac="http://schemas.microsoft.com/office/spreadsheetml/2010/11/ac" url="https://quantitascombr.sharepoint.com/sites/fs-documentos/Documentos Compartilhados/CVM 175/Site/"/>
    </mc:Choice>
  </mc:AlternateContent>
  <xr:revisionPtr revIDLastSave="12" documentId="8_{9AFB70B0-7721-43C2-90AC-4FA8448BB18A}" xr6:coauthVersionLast="47" xr6:coauthVersionMax="47" xr10:uidLastSave="{01DD7F98-1DE8-4A10-9B65-D9372EE8F740}"/>
  <bookViews>
    <workbookView xWindow="22932" yWindow="564" windowWidth="23256" windowHeight="12456" xr2:uid="{DFAC0F7A-CF8F-48EF-9610-FFC2FF71E395}"/>
  </bookViews>
  <sheets>
    <sheet name="Simulação de Taxas - Quantita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23" i="1" l="1"/>
  <c r="R23" i="1"/>
  <c r="Q39" i="1"/>
  <c r="Q38" i="1"/>
  <c r="Q37" i="1"/>
  <c r="Q35" i="1"/>
  <c r="Q34" i="1"/>
  <c r="Q32" i="1"/>
  <c r="Q31" i="1"/>
  <c r="Q29" i="1"/>
  <c r="Q22" i="1"/>
  <c r="Q21" i="1"/>
  <c r="B17" i="1" l="1"/>
  <c r="B18" i="1"/>
  <c r="B47" i="1" s="1"/>
  <c r="B76" i="1" s="1"/>
  <c r="B19" i="1"/>
  <c r="B48" i="1" s="1"/>
  <c r="B77" i="1" s="1"/>
  <c r="B20" i="1"/>
  <c r="B49" i="1" s="1"/>
  <c r="B78" i="1" s="1"/>
  <c r="B21" i="1"/>
  <c r="B50" i="1" s="1"/>
  <c r="B79" i="1" s="1"/>
  <c r="B22" i="1"/>
  <c r="B51" i="1" s="1"/>
  <c r="B80" i="1" s="1"/>
  <c r="B23" i="1"/>
  <c r="B52" i="1" s="1"/>
  <c r="B81" i="1" s="1"/>
  <c r="B25" i="1"/>
  <c r="B54" i="1" s="1"/>
  <c r="B83" i="1" s="1"/>
  <c r="B26" i="1"/>
  <c r="B55" i="1" s="1"/>
  <c r="B84" i="1" s="1"/>
  <c r="B27" i="1"/>
  <c r="B56" i="1" s="1"/>
  <c r="B85" i="1" s="1"/>
  <c r="B28" i="1"/>
  <c r="B57" i="1" s="1"/>
  <c r="B86" i="1" s="1"/>
  <c r="B29" i="1"/>
  <c r="B58" i="1" s="1"/>
  <c r="B87" i="1" s="1"/>
  <c r="B30" i="1"/>
  <c r="B59" i="1" s="1"/>
  <c r="B88" i="1" s="1"/>
  <c r="B31" i="1"/>
  <c r="B60" i="1" s="1"/>
  <c r="B89" i="1" s="1"/>
  <c r="B32" i="1"/>
  <c r="B61" i="1" s="1"/>
  <c r="B90" i="1" s="1"/>
  <c r="B33" i="1"/>
  <c r="B62" i="1" s="1"/>
  <c r="B91" i="1" s="1"/>
  <c r="B34" i="1"/>
  <c r="B63" i="1" s="1"/>
  <c r="B92" i="1" s="1"/>
  <c r="B35" i="1"/>
  <c r="B64" i="1" s="1"/>
  <c r="B93" i="1" s="1"/>
  <c r="B36" i="1"/>
  <c r="B65" i="1" s="1"/>
  <c r="B94" i="1" s="1"/>
  <c r="B37" i="1"/>
  <c r="B66" i="1" s="1"/>
  <c r="B95" i="1" s="1"/>
  <c r="B38" i="1"/>
  <c r="B67" i="1" s="1"/>
  <c r="B96" i="1" s="1"/>
  <c r="B39" i="1"/>
  <c r="B68" i="1" s="1"/>
  <c r="B97" i="1" s="1"/>
  <c r="B40" i="1"/>
  <c r="B69" i="1" s="1"/>
  <c r="B98" i="1" s="1"/>
  <c r="B24" i="1"/>
  <c r="B53" i="1" s="1"/>
  <c r="B82" i="1" s="1"/>
  <c r="B41" i="1"/>
  <c r="B70" i="1" s="1"/>
  <c r="B99" i="1" s="1"/>
  <c r="I70" i="1"/>
  <c r="I69" i="1"/>
  <c r="I68" i="1"/>
  <c r="I67" i="1"/>
  <c r="I66" i="1"/>
  <c r="I65" i="1"/>
  <c r="I64" i="1"/>
  <c r="I63" i="1"/>
  <c r="H41" i="1"/>
  <c r="I41" i="1" s="1"/>
  <c r="H40" i="1"/>
  <c r="H39" i="1"/>
  <c r="H38" i="1"/>
  <c r="H37" i="1"/>
  <c r="H36" i="1"/>
  <c r="H35" i="1"/>
  <c r="I35" i="1" s="1"/>
  <c r="I62" i="1"/>
  <c r="I61" i="1"/>
  <c r="H34" i="1"/>
  <c r="I34" i="1" s="1"/>
  <c r="H33" i="1"/>
  <c r="I92" i="1" l="1"/>
  <c r="H92" i="1" s="1"/>
  <c r="I99" i="1"/>
  <c r="H99" i="1" s="1"/>
  <c r="I93" i="1"/>
  <c r="H93" i="1" s="1"/>
  <c r="I40" i="1"/>
  <c r="I98" i="1" s="1"/>
  <c r="H98" i="1" s="1"/>
  <c r="I37" i="1"/>
  <c r="I95" i="1" s="1"/>
  <c r="H95" i="1" s="1"/>
  <c r="I38" i="1"/>
  <c r="I96" i="1" s="1"/>
  <c r="H96" i="1" s="1"/>
  <c r="I36" i="1"/>
  <c r="I94" i="1" s="1"/>
  <c r="H94" i="1" s="1"/>
  <c r="I39" i="1"/>
  <c r="I97" i="1" s="1"/>
  <c r="H97" i="1" s="1"/>
  <c r="I33" i="1"/>
  <c r="I91" i="1" s="1"/>
  <c r="H91" i="1" s="1"/>
  <c r="D9" i="1" l="1"/>
  <c r="D10" i="1"/>
  <c r="C10" i="1"/>
  <c r="C9" i="1"/>
  <c r="K11" i="1" s="1"/>
  <c r="C11" i="1"/>
  <c r="C7" i="1"/>
  <c r="J63" i="1" l="1"/>
  <c r="J51" i="1"/>
  <c r="J62" i="1"/>
  <c r="J50" i="1"/>
  <c r="J61" i="1"/>
  <c r="J49" i="1"/>
  <c r="J60" i="1"/>
  <c r="J48" i="1"/>
  <c r="J47" i="1"/>
  <c r="J70" i="1"/>
  <c r="J58" i="1"/>
  <c r="J46" i="1"/>
  <c r="J69" i="1"/>
  <c r="J57" i="1"/>
  <c r="J56" i="1"/>
  <c r="J67" i="1"/>
  <c r="J55" i="1"/>
  <c r="J66" i="1"/>
  <c r="J54" i="1"/>
  <c r="J65" i="1"/>
  <c r="J53" i="1"/>
  <c r="J52" i="1"/>
  <c r="J59" i="1"/>
  <c r="J68" i="1"/>
  <c r="J64" i="1"/>
  <c r="I49" i="1"/>
  <c r="I59" i="1"/>
  <c r="I58" i="1"/>
  <c r="I57" i="1"/>
  <c r="I56" i="1"/>
  <c r="I55" i="1"/>
  <c r="I54" i="1"/>
  <c r="I53" i="1"/>
  <c r="I52" i="1"/>
  <c r="I51" i="1"/>
  <c r="I50" i="1"/>
  <c r="H22" i="1"/>
  <c r="H21" i="1"/>
  <c r="H20" i="1"/>
  <c r="H31" i="1"/>
  <c r="H30" i="1"/>
  <c r="I30" i="1" s="1"/>
  <c r="H29" i="1"/>
  <c r="H28" i="1"/>
  <c r="H27" i="1"/>
  <c r="H26" i="1"/>
  <c r="I26" i="1" s="1"/>
  <c r="H25" i="1"/>
  <c r="H24" i="1"/>
  <c r="I24" i="1" s="1"/>
  <c r="H23" i="1"/>
  <c r="H32" i="1"/>
  <c r="H19" i="1"/>
  <c r="H18" i="1"/>
  <c r="H17" i="1"/>
  <c r="B13" i="1"/>
  <c r="I82" i="1" l="1"/>
  <c r="H82" i="1" s="1"/>
  <c r="I84" i="1"/>
  <c r="H84" i="1" s="1"/>
  <c r="I88" i="1"/>
  <c r="H88" i="1" s="1"/>
  <c r="I21" i="1"/>
  <c r="I79" i="1" s="1"/>
  <c r="H79" i="1" s="1"/>
  <c r="I20" i="1"/>
  <c r="I78" i="1" s="1"/>
  <c r="H78" i="1" s="1"/>
  <c r="I22" i="1"/>
  <c r="I80" i="1" s="1"/>
  <c r="H80" i="1" s="1"/>
  <c r="I23" i="1"/>
  <c r="I81" i="1" s="1"/>
  <c r="H81" i="1" s="1"/>
  <c r="I29" i="1"/>
  <c r="I87" i="1" s="1"/>
  <c r="H87" i="1" s="1"/>
  <c r="I27" i="1"/>
  <c r="I85" i="1" s="1"/>
  <c r="H85" i="1" s="1"/>
  <c r="I25" i="1"/>
  <c r="I83" i="1" s="1"/>
  <c r="H83" i="1" s="1"/>
  <c r="I31" i="1"/>
  <c r="I28" i="1"/>
  <c r="I86" i="1" s="1"/>
  <c r="H86" i="1" s="1"/>
  <c r="B46" i="1"/>
  <c r="I60" i="1"/>
  <c r="I48" i="1"/>
  <c r="I47" i="1"/>
  <c r="I46" i="1"/>
  <c r="I32" i="1"/>
  <c r="I90" i="1" s="1"/>
  <c r="H90" i="1" s="1"/>
  <c r="I19" i="1"/>
  <c r="I18" i="1"/>
  <c r="I17" i="1"/>
  <c r="I76" i="1" l="1"/>
  <c r="H76" i="1" s="1"/>
  <c r="I77" i="1"/>
  <c r="H77" i="1" s="1"/>
  <c r="I89" i="1"/>
  <c r="H89" i="1" s="1"/>
  <c r="B75" i="1"/>
  <c r="I75" i="1"/>
  <c r="H75" i="1" s="1"/>
  <c r="F51" i="1" l="1"/>
  <c r="G51" i="1" s="1"/>
  <c r="D51" i="1" l="1"/>
  <c r="E51" i="1" s="1"/>
  <c r="C51" i="1"/>
  <c r="K51" i="1" l="1"/>
  <c r="F49" i="1" l="1"/>
  <c r="F50" i="1"/>
  <c r="C50" i="1" l="1"/>
  <c r="G50" i="1"/>
  <c r="C49" i="1"/>
  <c r="G49" i="1"/>
  <c r="D50" i="1"/>
  <c r="E50" i="1" s="1"/>
  <c r="D49" i="1"/>
  <c r="E49" i="1" s="1"/>
  <c r="K49" i="1" l="1"/>
  <c r="K50" i="1"/>
  <c r="F46" i="1" l="1"/>
  <c r="G46" i="1" s="1"/>
  <c r="C46" i="1" l="1"/>
  <c r="D46" i="1"/>
  <c r="E46" i="1" s="1"/>
  <c r="K46" i="1" s="1"/>
  <c r="F48" i="1" l="1"/>
  <c r="G48" i="1" s="1"/>
  <c r="D48" i="1" l="1"/>
  <c r="E48" i="1" s="1"/>
  <c r="C48" i="1"/>
  <c r="K48" i="1" l="1"/>
  <c r="F47" i="1" l="1"/>
  <c r="G47" i="1" s="1"/>
  <c r="C47" i="1" l="1"/>
  <c r="D47" i="1"/>
  <c r="E47" i="1" l="1"/>
  <c r="K47" i="1" l="1"/>
  <c r="F22" i="1" l="1"/>
  <c r="F17" i="1" l="1"/>
  <c r="F23" i="1"/>
  <c r="F52" i="1"/>
  <c r="F62" i="1"/>
  <c r="F33" i="1"/>
  <c r="F36" i="1"/>
  <c r="F65" i="1"/>
  <c r="D22" i="1"/>
  <c r="E22" i="1" s="1"/>
  <c r="E80" i="1" s="1"/>
  <c r="D80" i="1" s="1"/>
  <c r="G22" i="1"/>
  <c r="J22" i="1" l="1"/>
  <c r="C22" i="1" s="1"/>
  <c r="F69" i="1"/>
  <c r="F40" i="1"/>
  <c r="F19" i="1"/>
  <c r="F18" i="1"/>
  <c r="F38" i="1"/>
  <c r="F67" i="1"/>
  <c r="F20" i="1"/>
  <c r="G80" i="1"/>
  <c r="K22" i="1"/>
  <c r="D65" i="1"/>
  <c r="E65" i="1" s="1"/>
  <c r="G65" i="1"/>
  <c r="C65" i="1"/>
  <c r="G62" i="1"/>
  <c r="C62" i="1"/>
  <c r="D62" i="1"/>
  <c r="E62" i="1" s="1"/>
  <c r="C52" i="1"/>
  <c r="D52" i="1"/>
  <c r="E52" i="1" s="1"/>
  <c r="G52" i="1"/>
  <c r="G23" i="1"/>
  <c r="D23" i="1"/>
  <c r="E23" i="1" s="1"/>
  <c r="D36" i="1"/>
  <c r="E36" i="1" s="1"/>
  <c r="G36" i="1"/>
  <c r="G17" i="1"/>
  <c r="D17" i="1"/>
  <c r="E17" i="1" s="1"/>
  <c r="E75" i="1" s="1"/>
  <c r="D75" i="1" s="1"/>
  <c r="J17" i="1"/>
  <c r="C17" i="1" s="1"/>
  <c r="D33" i="1"/>
  <c r="E33" i="1" s="1"/>
  <c r="G33" i="1"/>
  <c r="E94" i="1" l="1"/>
  <c r="D94" i="1" s="1"/>
  <c r="K52" i="1"/>
  <c r="E81" i="1"/>
  <c r="D81" i="1" s="1"/>
  <c r="J33" i="1"/>
  <c r="C33" i="1" s="1"/>
  <c r="E91" i="1"/>
  <c r="D91" i="1" s="1"/>
  <c r="K65" i="1"/>
  <c r="F56" i="1"/>
  <c r="F27" i="1"/>
  <c r="J23" i="1"/>
  <c r="C23" i="1" s="1"/>
  <c r="K80" i="1"/>
  <c r="F80" i="1"/>
  <c r="J80" i="1" s="1"/>
  <c r="D20" i="1"/>
  <c r="E20" i="1" s="1"/>
  <c r="E78" i="1" s="1"/>
  <c r="D78" i="1" s="1"/>
  <c r="G20" i="1"/>
  <c r="G67" i="1"/>
  <c r="C67" i="1"/>
  <c r="D67" i="1"/>
  <c r="E67" i="1" s="1"/>
  <c r="G38" i="1"/>
  <c r="D38" i="1"/>
  <c r="E38" i="1" s="1"/>
  <c r="K62" i="1"/>
  <c r="G19" i="1"/>
  <c r="D19" i="1"/>
  <c r="E19" i="1" s="1"/>
  <c r="E77" i="1" s="1"/>
  <c r="D77" i="1" s="1"/>
  <c r="J19" i="1"/>
  <c r="C19" i="1" s="1"/>
  <c r="K23" i="1"/>
  <c r="G81" i="1"/>
  <c r="G18" i="1"/>
  <c r="D18" i="1"/>
  <c r="E18" i="1" s="1"/>
  <c r="E76" i="1" s="1"/>
  <c r="D76" i="1" s="1"/>
  <c r="K17" i="1"/>
  <c r="G75" i="1"/>
  <c r="J36" i="1"/>
  <c r="C36" i="1" s="1"/>
  <c r="K36" i="1"/>
  <c r="G94" i="1"/>
  <c r="D40" i="1"/>
  <c r="E40" i="1" s="1"/>
  <c r="G40" i="1"/>
  <c r="K33" i="1"/>
  <c r="G91" i="1"/>
  <c r="D69" i="1"/>
  <c r="E69" i="1" s="1"/>
  <c r="C69" i="1"/>
  <c r="G69" i="1"/>
  <c r="J18" i="1" l="1"/>
  <c r="C18" i="1" s="1"/>
  <c r="J38" i="1"/>
  <c r="C38" i="1" s="1"/>
  <c r="J40" i="1"/>
  <c r="C40" i="1" s="1"/>
  <c r="E96" i="1"/>
  <c r="D96" i="1" s="1"/>
  <c r="K69" i="1"/>
  <c r="K67" i="1"/>
  <c r="K81" i="1"/>
  <c r="F81" i="1"/>
  <c r="J81" i="1" s="1"/>
  <c r="J20" i="1"/>
  <c r="C20" i="1" s="1"/>
  <c r="K75" i="1"/>
  <c r="F75" i="1"/>
  <c r="J75" i="1" s="1"/>
  <c r="G96" i="1"/>
  <c r="K38" i="1"/>
  <c r="F91" i="1"/>
  <c r="J91" i="1" s="1"/>
  <c r="K91" i="1"/>
  <c r="G76" i="1"/>
  <c r="K18" i="1"/>
  <c r="K20" i="1"/>
  <c r="G78" i="1"/>
  <c r="K40" i="1"/>
  <c r="G98" i="1"/>
  <c r="E98" i="1"/>
  <c r="D98" i="1" s="1"/>
  <c r="F94" i="1"/>
  <c r="J94" i="1" s="1"/>
  <c r="K94" i="1"/>
  <c r="K19" i="1"/>
  <c r="G77" i="1"/>
  <c r="G27" i="1"/>
  <c r="D27" i="1"/>
  <c r="E27" i="1" s="1"/>
  <c r="J27" i="1"/>
  <c r="C27" i="1" s="1"/>
  <c r="G56" i="1"/>
  <c r="C56" i="1"/>
  <c r="D56" i="1"/>
  <c r="E56" i="1" s="1"/>
  <c r="K56" i="1" l="1"/>
  <c r="E85" i="1"/>
  <c r="D85" i="1" s="1"/>
  <c r="F76" i="1"/>
  <c r="J76" i="1" s="1"/>
  <c r="K76" i="1"/>
  <c r="F77" i="1"/>
  <c r="J77" i="1" s="1"/>
  <c r="K77" i="1"/>
  <c r="F96" i="1"/>
  <c r="J96" i="1" s="1"/>
  <c r="K96" i="1"/>
  <c r="K98" i="1"/>
  <c r="F98" i="1"/>
  <c r="J98" i="1" s="1"/>
  <c r="K27" i="1"/>
  <c r="G85" i="1"/>
  <c r="K78" i="1"/>
  <c r="F78" i="1"/>
  <c r="J78" i="1" s="1"/>
  <c r="F63" i="1" l="1"/>
  <c r="F34" i="1"/>
  <c r="F28" i="1"/>
  <c r="F57" i="1"/>
  <c r="F21" i="1"/>
  <c r="F64" i="1"/>
  <c r="F35" i="1"/>
  <c r="F70" i="1"/>
  <c r="F41" i="1"/>
  <c r="F39" i="1"/>
  <c r="F68" i="1"/>
  <c r="F66" i="1"/>
  <c r="F37" i="1"/>
  <c r="F59" i="1"/>
  <c r="F30" i="1"/>
  <c r="F54" i="1"/>
  <c r="F25" i="1"/>
  <c r="F55" i="1"/>
  <c r="F26" i="1"/>
  <c r="F60" i="1"/>
  <c r="F31" i="1"/>
  <c r="F53" i="1"/>
  <c r="F24" i="1"/>
  <c r="F58" i="1"/>
  <c r="F29" i="1"/>
  <c r="F32" i="1"/>
  <c r="F61" i="1"/>
  <c r="F85" i="1"/>
  <c r="J85" i="1" s="1"/>
  <c r="K85" i="1"/>
  <c r="G39" i="1" l="1"/>
  <c r="D39" i="1"/>
  <c r="E39" i="1" s="1"/>
  <c r="D31" i="1"/>
  <c r="E31" i="1" s="1"/>
  <c r="G31" i="1"/>
  <c r="D41" i="1"/>
  <c r="E41" i="1" s="1"/>
  <c r="G41" i="1"/>
  <c r="D24" i="1"/>
  <c r="E24" i="1" s="1"/>
  <c r="G24" i="1"/>
  <c r="C60" i="1"/>
  <c r="G60" i="1"/>
  <c r="D60" i="1"/>
  <c r="E60" i="1" s="1"/>
  <c r="D70" i="1"/>
  <c r="E70" i="1" s="1"/>
  <c r="G70" i="1"/>
  <c r="C70" i="1"/>
  <c r="G53" i="1"/>
  <c r="D53" i="1"/>
  <c r="E53" i="1" s="1"/>
  <c r="C53" i="1"/>
  <c r="D26" i="1"/>
  <c r="E26" i="1" s="1"/>
  <c r="G26" i="1"/>
  <c r="D35" i="1"/>
  <c r="E35" i="1" s="1"/>
  <c r="G35" i="1"/>
  <c r="G64" i="1"/>
  <c r="C64" i="1"/>
  <c r="D64" i="1"/>
  <c r="E64" i="1" s="1"/>
  <c r="G25" i="1"/>
  <c r="D25" i="1"/>
  <c r="E25" i="1" s="1"/>
  <c r="G55" i="1"/>
  <c r="C55" i="1"/>
  <c r="D55" i="1"/>
  <c r="E55" i="1" s="1"/>
  <c r="G54" i="1"/>
  <c r="C54" i="1"/>
  <c r="D54" i="1"/>
  <c r="E54" i="1" s="1"/>
  <c r="D21" i="1"/>
  <c r="E21" i="1" s="1"/>
  <c r="E79" i="1" s="1"/>
  <c r="D79" i="1" s="1"/>
  <c r="G21" i="1"/>
  <c r="C68" i="1"/>
  <c r="G68" i="1"/>
  <c r="D68" i="1"/>
  <c r="E68" i="1" s="1"/>
  <c r="G61" i="1"/>
  <c r="C61" i="1"/>
  <c r="D61" i="1"/>
  <c r="E61" i="1" s="1"/>
  <c r="G30" i="1"/>
  <c r="D30" i="1"/>
  <c r="E30" i="1" s="1"/>
  <c r="G57" i="1"/>
  <c r="D57" i="1"/>
  <c r="E57" i="1" s="1"/>
  <c r="C57" i="1"/>
  <c r="G32" i="1"/>
  <c r="D32" i="1"/>
  <c r="E32" i="1" s="1"/>
  <c r="D59" i="1"/>
  <c r="E59" i="1" s="1"/>
  <c r="G59" i="1"/>
  <c r="C59" i="1"/>
  <c r="D28" i="1"/>
  <c r="E28" i="1" s="1"/>
  <c r="G28" i="1"/>
  <c r="G29" i="1"/>
  <c r="D29" i="1"/>
  <c r="E29" i="1" s="1"/>
  <c r="G37" i="1"/>
  <c r="D37" i="1"/>
  <c r="E37" i="1" s="1"/>
  <c r="D34" i="1"/>
  <c r="E34" i="1" s="1"/>
  <c r="G34" i="1"/>
  <c r="J34" i="1"/>
  <c r="C34" i="1" s="1"/>
  <c r="G58" i="1"/>
  <c r="C58" i="1"/>
  <c r="D58" i="1"/>
  <c r="E58" i="1" s="1"/>
  <c r="C66" i="1"/>
  <c r="D66" i="1"/>
  <c r="E66" i="1" s="1"/>
  <c r="G66" i="1"/>
  <c r="D63" i="1"/>
  <c r="E63" i="1" s="1"/>
  <c r="G63" i="1"/>
  <c r="C63" i="1"/>
  <c r="J37" i="1" l="1"/>
  <c r="C37" i="1" s="1"/>
  <c r="E87" i="1"/>
  <c r="D87" i="1" s="1"/>
  <c r="K59" i="1"/>
  <c r="K60" i="1"/>
  <c r="J26" i="1"/>
  <c r="C26" i="1" s="1"/>
  <c r="J24" i="1"/>
  <c r="C24" i="1" s="1"/>
  <c r="J25" i="1"/>
  <c r="C25" i="1" s="1"/>
  <c r="E82" i="1"/>
  <c r="D82" i="1" s="1"/>
  <c r="K53" i="1"/>
  <c r="E83" i="1"/>
  <c r="D83" i="1" s="1"/>
  <c r="J32" i="1"/>
  <c r="C32" i="1" s="1"/>
  <c r="K57" i="1"/>
  <c r="K54" i="1"/>
  <c r="E92" i="1"/>
  <c r="D92" i="1" s="1"/>
  <c r="J39" i="1"/>
  <c r="C39" i="1" s="1"/>
  <c r="K58" i="1"/>
  <c r="G92" i="1"/>
  <c r="K34" i="1"/>
  <c r="E99" i="1" s="1"/>
  <c r="D99" i="1" s="1"/>
  <c r="K55" i="1"/>
  <c r="E84" i="1"/>
  <c r="D84" i="1" s="1"/>
  <c r="J41" i="1"/>
  <c r="C41" i="1" s="1"/>
  <c r="K63" i="1"/>
  <c r="E90" i="1"/>
  <c r="D90" i="1" s="1"/>
  <c r="G99" i="1"/>
  <c r="K41" i="1"/>
  <c r="K37" i="1"/>
  <c r="G95" i="1"/>
  <c r="G90" i="1"/>
  <c r="K32" i="1"/>
  <c r="K68" i="1" s="1"/>
  <c r="G83" i="1"/>
  <c r="K25" i="1"/>
  <c r="K61" i="1" s="1"/>
  <c r="K24" i="1"/>
  <c r="E89" i="1" s="1"/>
  <c r="D89" i="1" s="1"/>
  <c r="G82" i="1"/>
  <c r="K66" i="1"/>
  <c r="J29" i="1"/>
  <c r="C29" i="1" s="1"/>
  <c r="J21" i="1"/>
  <c r="C21" i="1" s="1"/>
  <c r="J31" i="1"/>
  <c r="C31" i="1" s="1"/>
  <c r="G79" i="1"/>
  <c r="K21" i="1"/>
  <c r="K70" i="1"/>
  <c r="G89" i="1"/>
  <c r="K31" i="1"/>
  <c r="K26" i="1"/>
  <c r="G84" i="1"/>
  <c r="G87" i="1"/>
  <c r="K29" i="1"/>
  <c r="J28" i="1"/>
  <c r="C28" i="1" s="1"/>
  <c r="J30" i="1"/>
  <c r="C30" i="1" s="1"/>
  <c r="J35" i="1"/>
  <c r="C35" i="1" s="1"/>
  <c r="K28" i="1"/>
  <c r="K64" i="1" s="1"/>
  <c r="G86" i="1"/>
  <c r="E88" i="1"/>
  <c r="D88" i="1" s="1"/>
  <c r="K35" i="1"/>
  <c r="G93" i="1"/>
  <c r="E97" i="1"/>
  <c r="D97" i="1" s="1"/>
  <c r="E86" i="1"/>
  <c r="D86" i="1" s="1"/>
  <c r="G88" i="1"/>
  <c r="K30" i="1"/>
  <c r="E95" i="1" s="1"/>
  <c r="D95" i="1" s="1"/>
  <c r="E93" i="1"/>
  <c r="D93" i="1" s="1"/>
  <c r="G97" i="1"/>
  <c r="K39" i="1"/>
  <c r="K86" i="1" l="1"/>
  <c r="F86" i="1"/>
  <c r="J86" i="1" s="1"/>
  <c r="K79" i="1"/>
  <c r="F79" i="1"/>
  <c r="J79" i="1" s="1"/>
  <c r="F88" i="1"/>
  <c r="J88" i="1" s="1"/>
  <c r="K88" i="1"/>
  <c r="F87" i="1"/>
  <c r="J87" i="1" s="1"/>
  <c r="K87" i="1"/>
  <c r="F82" i="1"/>
  <c r="J82" i="1" s="1"/>
  <c r="K82" i="1"/>
  <c r="F90" i="1"/>
  <c r="J90" i="1" s="1"/>
  <c r="K90" i="1"/>
  <c r="K99" i="1"/>
  <c r="F99" i="1"/>
  <c r="J99" i="1" s="1"/>
  <c r="K84" i="1"/>
  <c r="F84" i="1"/>
  <c r="J84" i="1" s="1"/>
  <c r="K97" i="1"/>
  <c r="F97" i="1"/>
  <c r="J97" i="1" s="1"/>
  <c r="F93" i="1"/>
  <c r="J93" i="1" s="1"/>
  <c r="K93" i="1"/>
  <c r="F83" i="1"/>
  <c r="J83" i="1" s="1"/>
  <c r="K83" i="1"/>
  <c r="F95" i="1"/>
  <c r="J95" i="1" s="1"/>
  <c r="K95" i="1"/>
  <c r="F89" i="1"/>
  <c r="J89" i="1" s="1"/>
  <c r="K89" i="1"/>
  <c r="F92" i="1"/>
  <c r="J92" i="1" s="1"/>
  <c r="K92" i="1"/>
</calcChain>
</file>

<file path=xl/sharedStrings.xml><?xml version="1.0" encoding="utf-8"?>
<sst xmlns="http://schemas.openxmlformats.org/spreadsheetml/2006/main" count="113" uniqueCount="73">
  <si>
    <t>Fundo:</t>
  </si>
  <si>
    <t>Taxa de Performance:</t>
  </si>
  <si>
    <t>Rentabilidade do Fundo acima do Indexador</t>
  </si>
  <si>
    <t>Simulação de Cenário</t>
  </si>
  <si>
    <t>PFEE do Fundo</t>
  </si>
  <si>
    <t>Investimento</t>
  </si>
  <si>
    <t>Taxas</t>
  </si>
  <si>
    <t>Rateio</t>
  </si>
  <si>
    <t>Gestor</t>
  </si>
  <si>
    <t>% do PL</t>
  </si>
  <si>
    <t>R$</t>
  </si>
  <si>
    <t>Distribuidor</t>
  </si>
  <si>
    <t>Adm</t>
  </si>
  <si>
    <t>Taxa Total</t>
  </si>
  <si>
    <t>Taxa de Performance</t>
  </si>
  <si>
    <t>Taxa Adm</t>
  </si>
  <si>
    <t>Pfee</t>
  </si>
  <si>
    <t>Taxa Global</t>
  </si>
  <si>
    <t>Taxa Pfee</t>
  </si>
  <si>
    <t>FUNDO</t>
  </si>
  <si>
    <t>CNPJ</t>
  </si>
  <si>
    <t>22.918.359/0001-85</t>
  </si>
  <si>
    <t>11.451.917/0001-29</t>
  </si>
  <si>
    <t>27.928.186/0001-08</t>
  </si>
  <si>
    <t>32.240.456/0001-15</t>
  </si>
  <si>
    <t>52.285.650/0001-24</t>
  </si>
  <si>
    <t>CNPJ:</t>
  </si>
  <si>
    <t>Taxa Global:</t>
  </si>
  <si>
    <t>Do que exceder:</t>
  </si>
  <si>
    <t>do CDI</t>
  </si>
  <si>
    <t>do Bovespa</t>
  </si>
  <si>
    <t>Andbank</t>
  </si>
  <si>
    <t>Ativa Investimentos</t>
  </si>
  <si>
    <t>Azimut</t>
  </si>
  <si>
    <t>BTG</t>
  </si>
  <si>
    <t>C6</t>
  </si>
  <si>
    <t>CM Capital</t>
  </si>
  <si>
    <t>Daycoval</t>
  </si>
  <si>
    <t>Galápagos Capital</t>
  </si>
  <si>
    <t>Genial</t>
  </si>
  <si>
    <t>Inter</t>
  </si>
  <si>
    <t>Mirae</t>
  </si>
  <si>
    <t>Nova Futura</t>
  </si>
  <si>
    <t>Pagbank</t>
  </si>
  <si>
    <t>XP</t>
  </si>
  <si>
    <t>XP Investimentos</t>
  </si>
  <si>
    <t>Galapagos Capital DTVM S.A</t>
  </si>
  <si>
    <t>Ailos - Transpocred</t>
  </si>
  <si>
    <t>Ailos - Credcrea</t>
  </si>
  <si>
    <t>Ailos - Evolua</t>
  </si>
  <si>
    <t>Ailos - Viacredi</t>
  </si>
  <si>
    <t>Ailos -Transpocred</t>
  </si>
  <si>
    <t>Banco Andbank</t>
  </si>
  <si>
    <t>Banco BTG</t>
  </si>
  <si>
    <t>Banco C6</t>
  </si>
  <si>
    <t>Banco Daycoval</t>
  </si>
  <si>
    <t>Banco Safra</t>
  </si>
  <si>
    <t>Banco Seguro</t>
  </si>
  <si>
    <t>Marsche</t>
  </si>
  <si>
    <t>Nu Investimentos</t>
  </si>
  <si>
    <t>Nubank</t>
  </si>
  <si>
    <t>RB</t>
  </si>
  <si>
    <t>Renascença</t>
  </si>
  <si>
    <t>Terra</t>
  </si>
  <si>
    <t>Toro</t>
  </si>
  <si>
    <t>Toro Corretora</t>
  </si>
  <si>
    <t>Marsche Assessoria de Investimentos LTDA</t>
  </si>
  <si>
    <t>Banco Safra S/A</t>
  </si>
  <si>
    <t>QUANTITAS FIF CIC MULT MALLORCA RESP LIMITADA</t>
  </si>
  <si>
    <t>QUANTITAS FIF AÇÕES MONTECRISTO BDR NÍVEL I RESP LIMITADA</t>
  </si>
  <si>
    <t>QUANTITAS FIF MULT GALÁPAGOS RESP LIMITADA</t>
  </si>
  <si>
    <t>QUANTITAS FIF MULT MALDIVAS LONG SHORT RESP LIMITADA</t>
  </si>
  <si>
    <t>QUANTITAS FIF RENDA FIXA MALTA LONGO PRAZO ATIVO RESP LIMITADA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</si>
</sst>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0.0%"/>
  </numFmts>
  <fonts count="8" x14ac:knownFonts="1">
    <font>
      <sz val="11"/>
      <color theme="1"/>
      <name val="Calibri"/>
      <family val="2"/>
    </font>
    <font>
      <sz val="11"/>
      <color theme="1"/>
      <name val="Calibri"/>
      <family val="2"/>
    </font>
    <font>
      <b/>
      <sz val="11"/>
      <color theme="0"/>
      <name val="Calibri"/>
      <family val="2"/>
    </font>
    <font>
      <b/>
      <sz val="11"/>
      <color theme="1"/>
      <name val="Calibri"/>
      <family val="2"/>
    </font>
    <font>
      <b/>
      <sz val="12"/>
      <color rgb="FF133C63"/>
      <name val="Calibri"/>
      <family val="2"/>
    </font>
    <font>
      <b/>
      <u/>
      <sz val="11"/>
      <color rgb="FF133C63"/>
      <name val="Calibri"/>
      <family val="2"/>
    </font>
    <font>
      <b/>
      <sz val="11"/>
      <name val="Calibri"/>
      <family val="2"/>
    </font>
    <font>
      <sz val="11"/>
      <color rgb="FF000000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133C6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60">
    <xf numFmtId="0" fontId="0" fillId="0" borderId="0" xfId="0"/>
    <xf numFmtId="0" fontId="0" fillId="0" borderId="0" xfId="0" applyProtection="1">
      <protection hidden="1"/>
    </xf>
    <xf numFmtId="10" fontId="0" fillId="0" borderId="0" xfId="0" applyNumberFormat="1" applyProtection="1">
      <protection hidden="1"/>
    </xf>
    <xf numFmtId="0" fontId="5" fillId="0" borderId="0" xfId="0" applyFont="1" applyAlignment="1" applyProtection="1">
      <alignment horizontal="left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3" fillId="0" borderId="0" xfId="0" applyFont="1" applyAlignment="1" applyProtection="1">
      <alignment horizontal="center" vertical="center"/>
      <protection hidden="1"/>
    </xf>
    <xf numFmtId="0" fontId="2" fillId="4" borderId="1" xfId="0" applyFont="1" applyFill="1" applyBorder="1" applyAlignment="1" applyProtection="1">
      <alignment horizontal="center" vertical="center"/>
      <protection hidden="1"/>
    </xf>
    <xf numFmtId="10" fontId="2" fillId="4" borderId="1" xfId="0" applyNumberFormat="1" applyFont="1" applyFill="1" applyBorder="1" applyAlignment="1" applyProtection="1">
      <alignment horizontal="center" vertical="center"/>
      <protection hidden="1"/>
    </xf>
    <xf numFmtId="43" fontId="0" fillId="0" borderId="1" xfId="1" applyFont="1" applyBorder="1" applyProtection="1">
      <protection hidden="1"/>
    </xf>
    <xf numFmtId="0" fontId="3" fillId="0" borderId="0" xfId="0" applyFont="1" applyProtection="1">
      <protection hidden="1"/>
    </xf>
    <xf numFmtId="44" fontId="0" fillId="5" borderId="1" xfId="2" applyFont="1" applyFill="1" applyBorder="1" applyAlignment="1" applyProtection="1">
      <protection locked="0" hidden="1"/>
    </xf>
    <xf numFmtId="9" fontId="0" fillId="5" borderId="1" xfId="0" applyNumberFormat="1" applyFill="1" applyBorder="1" applyAlignment="1" applyProtection="1">
      <alignment horizontal="center" vertical="center"/>
      <protection locked="0" hidden="1"/>
    </xf>
    <xf numFmtId="10" fontId="0" fillId="0" borderId="1" xfId="3" applyNumberFormat="1" applyFont="1" applyFill="1" applyBorder="1" applyProtection="1">
      <protection hidden="1"/>
    </xf>
    <xf numFmtId="0" fontId="2" fillId="4" borderId="3" xfId="0" applyFont="1" applyFill="1" applyBorder="1" applyAlignment="1" applyProtection="1">
      <alignment horizontal="center" vertical="center"/>
      <protection hidden="1"/>
    </xf>
    <xf numFmtId="0" fontId="2" fillId="4" borderId="4" xfId="0" applyFont="1" applyFill="1" applyBorder="1" applyAlignment="1" applyProtection="1">
      <alignment horizontal="center" vertical="center"/>
      <protection hidden="1"/>
    </xf>
    <xf numFmtId="0" fontId="2" fillId="4" borderId="5" xfId="0" applyFont="1" applyFill="1" applyBorder="1" applyAlignment="1" applyProtection="1">
      <alignment horizontal="center" vertical="center"/>
      <protection hidden="1"/>
    </xf>
    <xf numFmtId="10" fontId="0" fillId="0" borderId="4" xfId="3" applyNumberFormat="1" applyFont="1" applyFill="1" applyBorder="1" applyProtection="1">
      <protection hidden="1"/>
    </xf>
    <xf numFmtId="43" fontId="0" fillId="0" borderId="5" xfId="1" applyFont="1" applyBorder="1" applyProtection="1">
      <protection hidden="1"/>
    </xf>
    <xf numFmtId="10" fontId="0" fillId="0" borderId="3" xfId="3" applyNumberFormat="1" applyFont="1" applyBorder="1" applyProtection="1">
      <protection hidden="1"/>
    </xf>
    <xf numFmtId="0" fontId="3" fillId="0" borderId="1" xfId="0" applyFont="1" applyBorder="1" applyProtection="1">
      <protection hidden="1"/>
    </xf>
    <xf numFmtId="0" fontId="5" fillId="0" borderId="0" xfId="0" applyFont="1" applyProtection="1">
      <protection hidden="1"/>
    </xf>
    <xf numFmtId="0" fontId="0" fillId="0" borderId="0" xfId="0" applyAlignment="1" applyProtection="1">
      <alignment horizontal="center"/>
      <protection hidden="1"/>
    </xf>
    <xf numFmtId="0" fontId="0" fillId="0" borderId="0" xfId="0" applyAlignment="1" applyProtection="1">
      <alignment horizontal="left"/>
      <protection hidden="1"/>
    </xf>
    <xf numFmtId="9" fontId="0" fillId="0" borderId="0" xfId="0" applyNumberFormat="1" applyProtection="1">
      <protection hidden="1"/>
    </xf>
    <xf numFmtId="164" fontId="0" fillId="0" borderId="0" xfId="0" applyNumberFormat="1" applyProtection="1">
      <protection hidden="1"/>
    </xf>
    <xf numFmtId="10" fontId="3" fillId="3" borderId="2" xfId="0" applyNumberFormat="1" applyFont="1" applyFill="1" applyBorder="1" applyProtection="1">
      <protection hidden="1"/>
    </xf>
    <xf numFmtId="10" fontId="3" fillId="0" borderId="0" xfId="0" applyNumberFormat="1" applyFont="1" applyAlignment="1" applyProtection="1">
      <alignment horizontal="center" vertical="center"/>
      <protection hidden="1"/>
    </xf>
    <xf numFmtId="10" fontId="3" fillId="3" borderId="1" xfId="0" applyNumberFormat="1" applyFont="1" applyFill="1" applyBorder="1" applyProtection="1">
      <protection hidden="1"/>
    </xf>
    <xf numFmtId="0" fontId="3" fillId="0" borderId="2" xfId="0" applyFont="1" applyBorder="1" applyAlignment="1" applyProtection="1">
      <alignment horizontal="left"/>
      <protection hidden="1"/>
    </xf>
    <xf numFmtId="0" fontId="3" fillId="0" borderId="3" xfId="0" applyFont="1" applyBorder="1" applyAlignment="1" applyProtection="1">
      <alignment horizontal="left"/>
      <protection hidden="1"/>
    </xf>
    <xf numFmtId="10" fontId="0" fillId="0" borderId="0" xfId="3" applyNumberFormat="1" applyFont="1" applyFill="1" applyBorder="1" applyProtection="1">
      <protection hidden="1"/>
    </xf>
    <xf numFmtId="43" fontId="0" fillId="0" borderId="0" xfId="1" applyFont="1" applyBorder="1" applyProtection="1">
      <protection hidden="1"/>
    </xf>
    <xf numFmtId="10" fontId="0" fillId="0" borderId="0" xfId="3" applyNumberFormat="1" applyFont="1" applyBorder="1" applyProtection="1">
      <protection hidden="1"/>
    </xf>
    <xf numFmtId="0" fontId="3" fillId="0" borderId="0" xfId="0" applyFont="1" applyAlignment="1" applyProtection="1">
      <alignment horizontal="left"/>
      <protection hidden="1"/>
    </xf>
    <xf numFmtId="10" fontId="0" fillId="0" borderId="1" xfId="0" applyNumberFormat="1" applyBorder="1" applyAlignment="1" applyProtection="1">
      <alignment horizontal="center" vertical="center"/>
      <protection hidden="1"/>
    </xf>
    <xf numFmtId="9" fontId="0" fillId="0" borderId="0" xfId="3" applyFont="1" applyAlignment="1" applyProtection="1">
      <alignment vertical="top"/>
      <protection hidden="1"/>
    </xf>
    <xf numFmtId="10" fontId="0" fillId="0" borderId="0" xfId="0" applyNumberFormat="1" applyAlignment="1" applyProtection="1">
      <alignment vertical="top"/>
      <protection hidden="1"/>
    </xf>
    <xf numFmtId="0" fontId="3" fillId="7" borderId="1" xfId="0" applyFont="1" applyFill="1" applyBorder="1" applyProtection="1">
      <protection hidden="1"/>
    </xf>
    <xf numFmtId="4" fontId="0" fillId="0" borderId="0" xfId="0" applyNumberFormat="1" applyProtection="1">
      <protection hidden="1"/>
    </xf>
    <xf numFmtId="0" fontId="6" fillId="6" borderId="1" xfId="0" applyFont="1" applyFill="1" applyBorder="1" applyAlignment="1" applyProtection="1">
      <alignment horizontal="center" vertical="center" wrapText="1"/>
      <protection hidden="1"/>
    </xf>
    <xf numFmtId="4" fontId="6" fillId="6" borderId="1" xfId="0" applyNumberFormat="1" applyFont="1" applyFill="1" applyBorder="1" applyAlignment="1" applyProtection="1">
      <alignment horizontal="center" vertical="center" wrapText="1"/>
      <protection hidden="1"/>
    </xf>
    <xf numFmtId="0" fontId="7" fillId="0" borderId="1" xfId="0" applyFont="1" applyBorder="1" applyAlignment="1" applyProtection="1">
      <alignment vertical="center"/>
      <protection hidden="1"/>
    </xf>
    <xf numFmtId="4" fontId="7" fillId="0" borderId="1" xfId="0" applyNumberFormat="1" applyFont="1" applyBorder="1" applyAlignment="1" applyProtection="1">
      <alignment horizontal="center" vertical="center"/>
      <protection hidden="1"/>
    </xf>
    <xf numFmtId="164" fontId="0" fillId="8" borderId="0" xfId="3" applyNumberFormat="1" applyFont="1" applyFill="1" applyProtection="1">
      <protection hidden="1"/>
    </xf>
    <xf numFmtId="164" fontId="0" fillId="2" borderId="0" xfId="3" applyNumberFormat="1" applyFont="1" applyFill="1" applyProtection="1">
      <protection hidden="1"/>
    </xf>
    <xf numFmtId="164" fontId="0" fillId="7" borderId="0" xfId="3" applyNumberFormat="1" applyFont="1" applyFill="1" applyProtection="1">
      <protection hidden="1"/>
    </xf>
    <xf numFmtId="10" fontId="0" fillId="0" borderId="1" xfId="0" applyNumberFormat="1" applyBorder="1" applyProtection="1">
      <protection hidden="1"/>
    </xf>
    <xf numFmtId="9" fontId="0" fillId="0" borderId="1" xfId="0" applyNumberFormat="1" applyBorder="1" applyProtection="1">
      <protection hidden="1"/>
    </xf>
    <xf numFmtId="0" fontId="0" fillId="0" borderId="1" xfId="0" applyBorder="1" applyProtection="1">
      <protection hidden="1"/>
    </xf>
    <xf numFmtId="0" fontId="0" fillId="5" borderId="0" xfId="0" applyFill="1" applyAlignment="1" applyProtection="1">
      <alignment horizontal="left"/>
      <protection locked="0" hidden="1"/>
    </xf>
    <xf numFmtId="0" fontId="4" fillId="0" borderId="0" xfId="0" applyFont="1" applyAlignment="1" applyProtection="1">
      <alignment horizontal="center"/>
      <protection hidden="1"/>
    </xf>
    <xf numFmtId="0" fontId="2" fillId="4" borderId="1" xfId="0" applyFont="1" applyFill="1" applyBorder="1" applyAlignment="1" applyProtection="1">
      <alignment horizontal="center" vertical="center"/>
      <protection hidden="1"/>
    </xf>
    <xf numFmtId="0" fontId="2" fillId="4" borderId="5" xfId="0" applyFont="1" applyFill="1" applyBorder="1" applyAlignment="1" applyProtection="1">
      <alignment horizontal="center" vertical="center"/>
      <protection hidden="1"/>
    </xf>
    <xf numFmtId="0" fontId="2" fillId="4" borderId="4" xfId="0" applyFont="1" applyFill="1" applyBorder="1" applyAlignment="1" applyProtection="1">
      <alignment horizontal="center" vertical="center"/>
      <protection hidden="1"/>
    </xf>
    <xf numFmtId="0" fontId="2" fillId="4" borderId="3" xfId="0" applyFont="1" applyFill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/>
      <protection hidden="1"/>
    </xf>
    <xf numFmtId="0" fontId="0" fillId="0" borderId="2" xfId="0" applyBorder="1" applyAlignment="1" applyProtection="1">
      <alignment horizontal="left"/>
      <protection hidden="1"/>
    </xf>
    <xf numFmtId="0" fontId="0" fillId="0" borderId="3" xfId="0" applyBorder="1" applyAlignment="1" applyProtection="1">
      <alignment horizontal="left"/>
      <protection hidden="1"/>
    </xf>
    <xf numFmtId="0" fontId="0" fillId="0" borderId="2" xfId="0" applyBorder="1" applyAlignment="1" applyProtection="1">
      <alignment horizontal="left" wrapText="1"/>
      <protection hidden="1"/>
    </xf>
    <xf numFmtId="0" fontId="0" fillId="0" borderId="3" xfId="0" applyBorder="1" applyAlignment="1" applyProtection="1">
      <alignment horizontal="left" wrapText="1"/>
      <protection hidden="1"/>
    </xf>
  </cellXfs>
  <cellStyles count="4">
    <cellStyle name="Moeda" xfId="2" builtinId="4"/>
    <cellStyle name="Normal" xfId="0" builtinId="0"/>
    <cellStyle name="Porcentagem" xfId="3" builtinId="5"/>
    <cellStyle name="Vírgula" xfId="1" builtinId="3"/>
  </cellStyles>
  <dxfs count="4">
    <dxf>
      <fill>
        <patternFill>
          <bgColor theme="9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4" tint="0.79998168889431442"/>
        </patternFill>
      </fill>
    </dxf>
  </dxfs>
  <tableStyles count="0" defaultTableStyle="TableStyleMedium2" defaultPivotStyle="PivotStyleLight16"/>
  <colors>
    <mruColors>
      <color rgb="FFFFFFCC"/>
      <color rgb="FF133C6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12</xdr:col>
      <xdr:colOff>41413</xdr:colOff>
      <xdr:row>3</xdr:row>
      <xdr:rowOff>124239</xdr:rowOff>
    </xdr:to>
    <xdr:grpSp>
      <xdr:nvGrpSpPr>
        <xdr:cNvPr id="7" name="Agrupar 6">
          <a:extLst>
            <a:ext uri="{FF2B5EF4-FFF2-40B4-BE49-F238E27FC236}">
              <a16:creationId xmlns:a16="http://schemas.microsoft.com/office/drawing/2014/main" id="{FD0B7C78-36B9-C1BA-EC88-2D822D2BBE28}"/>
            </a:ext>
          </a:extLst>
        </xdr:cNvPr>
        <xdr:cNvGrpSpPr/>
      </xdr:nvGrpSpPr>
      <xdr:grpSpPr>
        <a:xfrm>
          <a:off x="0" y="0"/>
          <a:ext cx="9117496" cy="698804"/>
          <a:chOff x="0" y="0"/>
          <a:chExt cx="9112296" cy="687003"/>
        </a:xfrm>
      </xdr:grpSpPr>
      <xdr:pic>
        <xdr:nvPicPr>
          <xdr:cNvPr id="5" name="Imagem 4">
            <a:extLst>
              <a:ext uri="{FF2B5EF4-FFF2-40B4-BE49-F238E27FC236}">
                <a16:creationId xmlns:a16="http://schemas.microsoft.com/office/drawing/2014/main" id="{82E56A1C-C881-6AA3-A511-18765C86BBE3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/>
          <a:stretch>
            <a:fillRect/>
          </a:stretch>
        </xdr:blipFill>
        <xdr:spPr>
          <a:xfrm>
            <a:off x="0" y="0"/>
            <a:ext cx="7563505" cy="687003"/>
          </a:xfrm>
          <a:prstGeom prst="rect">
            <a:avLst/>
          </a:prstGeom>
        </xdr:spPr>
      </xdr:pic>
      <xdr:pic>
        <xdr:nvPicPr>
          <xdr:cNvPr id="6" name="Imagem 5">
            <a:extLst>
              <a:ext uri="{FF2B5EF4-FFF2-40B4-BE49-F238E27FC236}">
                <a16:creationId xmlns:a16="http://schemas.microsoft.com/office/drawing/2014/main" id="{4E0C7665-8B61-4AD0-9C5E-617B781B0DB0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1"/>
          <a:srcRect l="27731"/>
          <a:stretch/>
        </xdr:blipFill>
        <xdr:spPr>
          <a:xfrm>
            <a:off x="3651911" y="0"/>
            <a:ext cx="5460385" cy="687003"/>
          </a:xfrm>
          <a:prstGeom prst="rect">
            <a:avLst/>
          </a:prstGeom>
        </xdr:spPr>
      </xdr:pic>
    </xdr:grpSp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CC844A-9C55-4C42-9DDB-318983A9330D}">
  <sheetPr codeName="Planilha1"/>
  <dimension ref="A1:X1048571"/>
  <sheetViews>
    <sheetView showGridLines="0" tabSelected="1" zoomScale="115" zoomScaleNormal="115" workbookViewId="0">
      <pane ySplit="8" topLeftCell="A9" activePane="bottomLeft" state="frozen"/>
      <selection pane="bottomLeft" activeCell="K10" sqref="K10"/>
    </sheetView>
  </sheetViews>
  <sheetFormatPr defaultColWidth="0" defaultRowHeight="15" zeroHeight="1" x14ac:dyDescent="0.25"/>
  <cols>
    <col min="1" max="1" width="6.7109375" style="1" customWidth="1"/>
    <col min="2" max="2" width="21.85546875" style="33" customWidth="1"/>
    <col min="3" max="3" width="7.28515625" style="33" customWidth="1"/>
    <col min="4" max="4" width="8.42578125" style="30" customWidth="1"/>
    <col min="5" max="5" width="14.140625" style="31" customWidth="1"/>
    <col min="6" max="6" width="8.42578125" style="30" customWidth="1"/>
    <col min="7" max="7" width="14.140625" style="31" customWidth="1"/>
    <col min="8" max="8" width="8.42578125" style="30" customWidth="1"/>
    <col min="9" max="9" width="14.140625" style="31" customWidth="1"/>
    <col min="10" max="10" width="8.42578125" style="32" customWidth="1"/>
    <col min="11" max="11" width="17.5703125" style="31" customWidth="1"/>
    <col min="12" max="12" width="6.7109375" style="1" customWidth="1"/>
    <col min="13" max="15" width="9.140625" style="1" hidden="1" customWidth="1"/>
    <col min="16" max="16" width="64" style="1" hidden="1" customWidth="1"/>
    <col min="17" max="17" width="19" style="1" hidden="1" customWidth="1"/>
    <col min="18" max="18" width="17.42578125" style="1" hidden="1" customWidth="1"/>
    <col min="19" max="19" width="9.140625" style="1" hidden="1" customWidth="1"/>
    <col min="20" max="20" width="15" style="1" hidden="1" customWidth="1"/>
    <col min="21" max="21" width="10.7109375" style="1" hidden="1" customWidth="1"/>
    <col min="22" max="24" width="0" style="1" hidden="1" customWidth="1"/>
    <col min="25" max="16384" width="9.140625" style="1" hidden="1"/>
  </cols>
  <sheetData>
    <row r="1" spans="2:22" x14ac:dyDescent="0.25">
      <c r="B1" s="1"/>
      <c r="C1" s="1"/>
      <c r="D1" s="2"/>
      <c r="E1" s="1"/>
      <c r="F1" s="1"/>
      <c r="G1" s="1"/>
      <c r="H1" s="1"/>
      <c r="I1" s="1"/>
      <c r="J1" s="1"/>
      <c r="K1" s="1"/>
    </row>
    <row r="2" spans="2:22" x14ac:dyDescent="0.25">
      <c r="B2" s="1"/>
      <c r="C2" s="1"/>
      <c r="D2" s="2"/>
      <c r="E2" s="1"/>
      <c r="F2" s="1"/>
      <c r="G2" s="1"/>
      <c r="H2" s="1"/>
      <c r="I2" s="1"/>
      <c r="J2" s="1"/>
      <c r="K2" s="1"/>
      <c r="Q2" s="38"/>
      <c r="V2" s="4"/>
    </row>
    <row r="3" spans="2:22" x14ac:dyDescent="0.25">
      <c r="B3" s="1"/>
      <c r="C3" s="1"/>
      <c r="D3" s="2"/>
      <c r="E3" s="1"/>
      <c r="F3" s="1"/>
      <c r="G3" s="1"/>
      <c r="H3" s="1"/>
      <c r="I3" s="1"/>
      <c r="J3" s="1"/>
      <c r="K3" s="1"/>
      <c r="P3" s="1" t="s">
        <v>15</v>
      </c>
      <c r="Q3" s="38"/>
      <c r="R3" s="2">
        <v>5.0000000000000001E-4</v>
      </c>
      <c r="V3" s="4"/>
    </row>
    <row r="4" spans="2:22" x14ac:dyDescent="0.25">
      <c r="B4" s="1"/>
      <c r="C4" s="1"/>
      <c r="D4" s="2"/>
      <c r="E4" s="1"/>
      <c r="F4" s="1"/>
      <c r="G4" s="1"/>
      <c r="H4" s="1"/>
      <c r="I4" s="1"/>
      <c r="J4" s="1"/>
      <c r="K4" s="1"/>
      <c r="Q4" s="38"/>
    </row>
    <row r="5" spans="2:22" ht="30" x14ac:dyDescent="0.25">
      <c r="B5" s="1"/>
      <c r="C5" s="1"/>
      <c r="D5" s="2"/>
      <c r="E5" s="1"/>
      <c r="F5" s="1"/>
      <c r="G5" s="1"/>
      <c r="H5" s="1"/>
      <c r="I5" s="1"/>
      <c r="J5" s="1"/>
      <c r="K5" s="1"/>
      <c r="P5" s="39" t="s">
        <v>19</v>
      </c>
      <c r="Q5" s="40" t="s">
        <v>20</v>
      </c>
      <c r="R5" s="40" t="s">
        <v>17</v>
      </c>
      <c r="S5" s="40" t="s">
        <v>18</v>
      </c>
      <c r="T5" s="40" t="s">
        <v>28</v>
      </c>
      <c r="U5" s="40"/>
    </row>
    <row r="6" spans="2:22" x14ac:dyDescent="0.25">
      <c r="B6" s="1" t="s">
        <v>0</v>
      </c>
      <c r="C6" s="49" t="s">
        <v>68</v>
      </c>
      <c r="D6" s="49"/>
      <c r="E6" s="49"/>
      <c r="F6" s="49"/>
      <c r="G6" s="49"/>
      <c r="H6" s="49"/>
      <c r="I6" s="49"/>
      <c r="J6" s="49"/>
      <c r="K6" s="49"/>
      <c r="P6" s="41" t="s">
        <v>68</v>
      </c>
      <c r="Q6" s="42" t="s">
        <v>21</v>
      </c>
      <c r="R6" s="46">
        <v>1.7999999999999999E-2</v>
      </c>
      <c r="S6" s="47">
        <v>0.2</v>
      </c>
      <c r="T6" s="47">
        <v>1</v>
      </c>
      <c r="U6" s="48" t="s">
        <v>29</v>
      </c>
    </row>
    <row r="7" spans="2:22" x14ac:dyDescent="0.25">
      <c r="B7" s="1" t="s">
        <v>26</v>
      </c>
      <c r="C7" s="22" t="str">
        <f>IFERROR(VLOOKUP(C6,'Simulação de Taxas - Quantitas'!$P$6:$Q$10,2,FALSE),"")</f>
        <v>22.918.359/0001-85</v>
      </c>
      <c r="D7" s="21"/>
      <c r="E7" s="21"/>
      <c r="F7" s="21"/>
      <c r="G7" s="21"/>
      <c r="H7" s="21"/>
      <c r="I7" s="21"/>
      <c r="J7" s="21"/>
      <c r="K7" s="21"/>
      <c r="P7" s="41" t="s">
        <v>69</v>
      </c>
      <c r="Q7" s="42" t="s">
        <v>22</v>
      </c>
      <c r="R7" s="47">
        <v>0.02</v>
      </c>
      <c r="S7" s="47">
        <v>0.2</v>
      </c>
      <c r="T7" s="47">
        <v>1</v>
      </c>
      <c r="U7" s="48" t="s">
        <v>30</v>
      </c>
    </row>
    <row r="8" spans="2:22" x14ac:dyDescent="0.25">
      <c r="B8" s="1"/>
      <c r="C8" s="1"/>
      <c r="D8" s="2"/>
      <c r="E8" s="1"/>
      <c r="F8" s="1"/>
      <c r="G8" s="1"/>
      <c r="H8" s="1"/>
      <c r="I8" s="55" t="s">
        <v>3</v>
      </c>
      <c r="J8" s="55"/>
      <c r="K8" s="55"/>
      <c r="P8" s="41" t="s">
        <v>70</v>
      </c>
      <c r="Q8" s="42" t="s">
        <v>23</v>
      </c>
      <c r="R8" s="46">
        <v>1.7999999999999999E-2</v>
      </c>
      <c r="S8" s="47">
        <v>0.2</v>
      </c>
      <c r="T8" s="47">
        <v>1</v>
      </c>
      <c r="U8" s="48" t="s">
        <v>29</v>
      </c>
    </row>
    <row r="9" spans="2:22" x14ac:dyDescent="0.25">
      <c r="B9" s="1" t="s">
        <v>1</v>
      </c>
      <c r="C9" s="23">
        <f>IFERROR(VLOOKUP(C6,'Simulação de Taxas - Quantitas'!$P$6:$S$10,4,FALSE),"")</f>
        <v>0.2</v>
      </c>
      <c r="D9" s="1" t="str">
        <f>IF(C6="","","do que exceder ")</f>
        <v xml:space="preserve">do que exceder </v>
      </c>
      <c r="E9" s="1"/>
      <c r="F9" s="1"/>
      <c r="G9" s="1"/>
      <c r="H9" s="1"/>
      <c r="I9" s="56" t="s">
        <v>5</v>
      </c>
      <c r="J9" s="57"/>
      <c r="K9" s="10">
        <v>100000</v>
      </c>
      <c r="P9" s="41" t="s">
        <v>71</v>
      </c>
      <c r="Q9" s="42" t="s">
        <v>24</v>
      </c>
      <c r="R9" s="46">
        <v>1.7999999999999999E-2</v>
      </c>
      <c r="S9" s="47">
        <v>0.2</v>
      </c>
      <c r="T9" s="47">
        <v>1</v>
      </c>
      <c r="U9" s="48" t="s">
        <v>29</v>
      </c>
    </row>
    <row r="10" spans="2:22" ht="28.9" customHeight="1" x14ac:dyDescent="0.25">
      <c r="B10" s="1"/>
      <c r="C10" s="35">
        <f>IFERROR(VLOOKUP(C6,'Simulação de Taxas - Quantitas'!$P$6:$U$10,5,FALSE),"")</f>
        <v>1</v>
      </c>
      <c r="D10" s="36" t="str">
        <f>IFERROR(VLOOKUP(C6,'Simulação de Taxas - Quantitas'!$P$6:$U$10,6,FALSE),"")</f>
        <v>do CDI</v>
      </c>
      <c r="E10" s="1"/>
      <c r="F10" s="1"/>
      <c r="G10" s="1"/>
      <c r="H10" s="1"/>
      <c r="I10" s="58" t="s">
        <v>2</v>
      </c>
      <c r="J10" s="59"/>
      <c r="K10" s="11">
        <v>0.01</v>
      </c>
      <c r="P10" s="41" t="s">
        <v>72</v>
      </c>
      <c r="Q10" s="42" t="s">
        <v>25</v>
      </c>
      <c r="R10" s="46">
        <v>7.4999999999999997E-3</v>
      </c>
      <c r="S10" s="48"/>
      <c r="T10" s="48"/>
      <c r="U10" s="48"/>
    </row>
    <row r="11" spans="2:22" x14ac:dyDescent="0.25">
      <c r="B11" s="1" t="s">
        <v>27</v>
      </c>
      <c r="C11" s="24">
        <f>IFERROR(VLOOKUP(C6,'Simulação de Taxas - Quantitas'!$P$6:$S$10,3,FALSE),"")</f>
        <v>1.7999999999999999E-2</v>
      </c>
      <c r="D11" s="2"/>
      <c r="E11" s="1"/>
      <c r="F11" s="1"/>
      <c r="G11" s="1"/>
      <c r="H11" s="1"/>
      <c r="I11" s="56" t="s">
        <v>4</v>
      </c>
      <c r="J11" s="57"/>
      <c r="K11" s="34">
        <f>IFERROR(K10*C9,0)</f>
        <v>2E-3</v>
      </c>
    </row>
    <row r="12" spans="2:22" x14ac:dyDescent="0.25">
      <c r="B12" s="1"/>
      <c r="C12" s="1"/>
      <c r="D12" s="2"/>
      <c r="E12" s="1"/>
      <c r="F12" s="1"/>
      <c r="G12" s="1"/>
      <c r="H12" s="1"/>
      <c r="I12" s="1"/>
      <c r="J12" s="1"/>
      <c r="K12" s="1"/>
    </row>
    <row r="13" spans="2:22" ht="15.75" x14ac:dyDescent="0.25">
      <c r="B13" s="50" t="str">
        <f>UPPER("Remuneração dos Prestadores de Serviço")</f>
        <v>REMUNERAÇÃO DOS PRESTADORES DE SERVIÇO</v>
      </c>
      <c r="C13" s="50"/>
      <c r="D13" s="50"/>
      <c r="E13" s="50"/>
      <c r="F13" s="50"/>
      <c r="G13" s="50"/>
      <c r="H13" s="50"/>
      <c r="I13" s="50"/>
      <c r="J13" s="50"/>
      <c r="K13" s="50"/>
    </row>
    <row r="14" spans="2:22" ht="7.9" customHeight="1" x14ac:dyDescent="0.25">
      <c r="B14" s="1"/>
      <c r="C14" s="1"/>
      <c r="D14" s="2"/>
      <c r="E14" s="1"/>
      <c r="F14" s="1"/>
      <c r="G14" s="1"/>
      <c r="H14" s="1"/>
      <c r="I14" s="1"/>
      <c r="J14" s="1"/>
      <c r="K14" s="1"/>
    </row>
    <row r="15" spans="2:22" s="4" customFormat="1" x14ac:dyDescent="0.25">
      <c r="B15" s="3" t="s">
        <v>6</v>
      </c>
      <c r="C15" s="5"/>
      <c r="D15" s="51" t="s">
        <v>8</v>
      </c>
      <c r="E15" s="52"/>
      <c r="F15" s="53" t="s">
        <v>11</v>
      </c>
      <c r="G15" s="52"/>
      <c r="H15" s="53" t="s">
        <v>12</v>
      </c>
      <c r="I15" s="52"/>
      <c r="J15" s="54" t="s">
        <v>13</v>
      </c>
      <c r="K15" s="51"/>
      <c r="O15" s="1"/>
      <c r="P15" s="1"/>
      <c r="Q15" s="1"/>
      <c r="R15" s="1"/>
      <c r="S15" s="1"/>
      <c r="T15" s="1"/>
      <c r="U15" s="1"/>
      <c r="V15" s="1"/>
    </row>
    <row r="16" spans="2:22" s="4" customFormat="1" x14ac:dyDescent="0.25">
      <c r="B16" s="5"/>
      <c r="C16" s="5" t="s">
        <v>7</v>
      </c>
      <c r="D16" s="7" t="s">
        <v>9</v>
      </c>
      <c r="E16" s="15" t="s">
        <v>10</v>
      </c>
      <c r="F16" s="14" t="s">
        <v>9</v>
      </c>
      <c r="G16" s="15" t="s">
        <v>10</v>
      </c>
      <c r="H16" s="14" t="s">
        <v>9</v>
      </c>
      <c r="I16" s="15" t="s">
        <v>10</v>
      </c>
      <c r="J16" s="13" t="s">
        <v>9</v>
      </c>
      <c r="K16" s="6" t="s">
        <v>10</v>
      </c>
      <c r="O16" s="1"/>
      <c r="P16" s="1" t="s">
        <v>11</v>
      </c>
      <c r="Q16" s="38"/>
      <c r="R16" s="1" t="s">
        <v>12</v>
      </c>
      <c r="S16" s="1" t="s">
        <v>16</v>
      </c>
      <c r="T16" s="1"/>
      <c r="U16" s="1"/>
      <c r="V16" s="1"/>
    </row>
    <row r="17" spans="2:22" x14ac:dyDescent="0.25">
      <c r="B17" s="19" t="str">
        <f>'Simulação de Taxas - Quantitas'!P17</f>
        <v>Ailos - Transpocred</v>
      </c>
      <c r="C17" s="25">
        <f>F17/J17</f>
        <v>0.3</v>
      </c>
      <c r="D17" s="12">
        <f>IFERROR($C$11-F17-H17,0)</f>
        <v>1.21E-2</v>
      </c>
      <c r="E17" s="17">
        <f t="shared" ref="E17:E41" si="0">D17*$K$9</f>
        <v>1210</v>
      </c>
      <c r="F17" s="16">
        <f>IFERROR(VLOOKUP(B17,'Simulação de Taxas - Quantitas'!$P$17:$R$41,3,FALSE)*$C$11,0)</f>
        <v>5.3999999999999994E-3</v>
      </c>
      <c r="G17" s="17">
        <f t="shared" ref="G17:G41" si="1">F17*$K$9</f>
        <v>539.99999999999989</v>
      </c>
      <c r="H17" s="16">
        <f>'Simulação de Taxas - Quantitas'!$R$3</f>
        <v>5.0000000000000001E-4</v>
      </c>
      <c r="I17" s="17">
        <f t="shared" ref="I17:I41" si="2">H17*$K$9</f>
        <v>50</v>
      </c>
      <c r="J17" s="18">
        <f>H17+F17+D17</f>
        <v>1.7999999999999999E-2</v>
      </c>
      <c r="K17" s="8">
        <f>I17+G17+E17</f>
        <v>1800</v>
      </c>
      <c r="P17" s="1" t="s">
        <v>47</v>
      </c>
      <c r="Q17" s="1" t="s">
        <v>51</v>
      </c>
      <c r="R17" s="43">
        <v>0.3</v>
      </c>
      <c r="S17" s="43">
        <v>0</v>
      </c>
    </row>
    <row r="18" spans="2:22" x14ac:dyDescent="0.25">
      <c r="B18" s="19" t="str">
        <f>'Simulação de Taxas - Quantitas'!P18</f>
        <v>Ailos - Credcrea</v>
      </c>
      <c r="C18" s="25">
        <f t="shared" ref="C18:C32" si="3">F18/J18</f>
        <v>0.3</v>
      </c>
      <c r="D18" s="12">
        <f t="shared" ref="D18:D32" si="4">IFERROR($C$11-F18-H18,0)</f>
        <v>1.21E-2</v>
      </c>
      <c r="E18" s="17">
        <f t="shared" si="0"/>
        <v>1210</v>
      </c>
      <c r="F18" s="16">
        <f>IFERROR(VLOOKUP(B18,'Simulação de Taxas - Quantitas'!$P$17:$R$41,3,FALSE)*$C$11,0)</f>
        <v>5.3999999999999994E-3</v>
      </c>
      <c r="G18" s="17">
        <f t="shared" si="1"/>
        <v>539.99999999999989</v>
      </c>
      <c r="H18" s="16">
        <f>'Simulação de Taxas - Quantitas'!$R$3</f>
        <v>5.0000000000000001E-4</v>
      </c>
      <c r="I18" s="17">
        <f t="shared" si="2"/>
        <v>50</v>
      </c>
      <c r="J18" s="18">
        <f t="shared" ref="J18:J32" si="5">H18+F18+D18</f>
        <v>1.7999999999999999E-2</v>
      </c>
      <c r="K18" s="8">
        <f t="shared" ref="K18:K32" si="6">I18+G18+E18</f>
        <v>1800</v>
      </c>
      <c r="P18" s="1" t="s">
        <v>48</v>
      </c>
      <c r="Q18" s="1" t="s">
        <v>48</v>
      </c>
      <c r="R18" s="43">
        <v>0.3</v>
      </c>
      <c r="S18" s="43">
        <v>0</v>
      </c>
    </row>
    <row r="19" spans="2:22" x14ac:dyDescent="0.25">
      <c r="B19" s="19" t="str">
        <f>'Simulação de Taxas - Quantitas'!P19</f>
        <v>Ailos - Evolua</v>
      </c>
      <c r="C19" s="25">
        <f t="shared" si="3"/>
        <v>0.3</v>
      </c>
      <c r="D19" s="12">
        <f t="shared" si="4"/>
        <v>1.21E-2</v>
      </c>
      <c r="E19" s="17">
        <f t="shared" si="0"/>
        <v>1210</v>
      </c>
      <c r="F19" s="16">
        <f>IFERROR(VLOOKUP(B19,'Simulação de Taxas - Quantitas'!$P$17:$R$41,3,FALSE)*$C$11,0)</f>
        <v>5.3999999999999994E-3</v>
      </c>
      <c r="G19" s="17">
        <f t="shared" si="1"/>
        <v>539.99999999999989</v>
      </c>
      <c r="H19" s="16">
        <f>'Simulação de Taxas - Quantitas'!$R$3</f>
        <v>5.0000000000000001E-4</v>
      </c>
      <c r="I19" s="17">
        <f t="shared" si="2"/>
        <v>50</v>
      </c>
      <c r="J19" s="18">
        <f t="shared" si="5"/>
        <v>1.7999999999999999E-2</v>
      </c>
      <c r="K19" s="8">
        <f t="shared" si="6"/>
        <v>1800</v>
      </c>
      <c r="P19" s="1" t="s">
        <v>49</v>
      </c>
      <c r="Q19" s="1" t="s">
        <v>49</v>
      </c>
      <c r="R19" s="43">
        <v>0.3</v>
      </c>
      <c r="S19" s="43">
        <v>0</v>
      </c>
    </row>
    <row r="20" spans="2:22" x14ac:dyDescent="0.25">
      <c r="B20" s="19" t="str">
        <f>'Simulação de Taxas - Quantitas'!P20</f>
        <v>Ailos - Viacredi</v>
      </c>
      <c r="C20" s="25">
        <f t="shared" si="3"/>
        <v>0.3</v>
      </c>
      <c r="D20" s="12">
        <f t="shared" si="4"/>
        <v>1.21E-2</v>
      </c>
      <c r="E20" s="17">
        <f t="shared" si="0"/>
        <v>1210</v>
      </c>
      <c r="F20" s="16">
        <f>IFERROR(VLOOKUP(B20,'Simulação de Taxas - Quantitas'!$P$17:$R$41,3,FALSE)*$C$11,0)</f>
        <v>5.3999999999999994E-3</v>
      </c>
      <c r="G20" s="17">
        <f t="shared" si="1"/>
        <v>539.99999999999989</v>
      </c>
      <c r="H20" s="16">
        <f>'Simulação de Taxas - Quantitas'!$R$3</f>
        <v>5.0000000000000001E-4</v>
      </c>
      <c r="I20" s="17">
        <f t="shared" si="2"/>
        <v>50</v>
      </c>
      <c r="J20" s="18">
        <f t="shared" si="5"/>
        <v>1.7999999999999999E-2</v>
      </c>
      <c r="K20" s="8">
        <f t="shared" si="6"/>
        <v>1800</v>
      </c>
      <c r="P20" s="1" t="s">
        <v>50</v>
      </c>
      <c r="Q20" s="1" t="s">
        <v>50</v>
      </c>
      <c r="R20" s="43">
        <v>0.3</v>
      </c>
      <c r="S20" s="43">
        <v>0</v>
      </c>
    </row>
    <row r="21" spans="2:22" x14ac:dyDescent="0.25">
      <c r="B21" s="19" t="str">
        <f>'Simulação de Taxas - Quantitas'!P21</f>
        <v>Ativa Investimentos</v>
      </c>
      <c r="C21" s="25">
        <f t="shared" si="3"/>
        <v>0.3</v>
      </c>
      <c r="D21" s="12">
        <f t="shared" si="4"/>
        <v>1.21E-2</v>
      </c>
      <c r="E21" s="17">
        <f t="shared" si="0"/>
        <v>1210</v>
      </c>
      <c r="F21" s="16">
        <f>IFERROR(VLOOKUP(B21,'Simulação de Taxas - Quantitas'!$P$17:$R$41,3,FALSE)*$C$11,0)</f>
        <v>5.3999999999999994E-3</v>
      </c>
      <c r="G21" s="17">
        <f t="shared" si="1"/>
        <v>539.99999999999989</v>
      </c>
      <c r="H21" s="16">
        <f>'Simulação de Taxas - Quantitas'!$R$3</f>
        <v>5.0000000000000001E-4</v>
      </c>
      <c r="I21" s="17">
        <f t="shared" si="2"/>
        <v>50</v>
      </c>
      <c r="J21" s="18">
        <f t="shared" si="5"/>
        <v>1.7999999999999999E-2</v>
      </c>
      <c r="K21" s="8">
        <f t="shared" si="6"/>
        <v>1800</v>
      </c>
      <c r="P21" s="19" t="s">
        <v>32</v>
      </c>
      <c r="Q21" s="1" t="str">
        <f>P21</f>
        <v>Ativa Investimentos</v>
      </c>
      <c r="R21" s="43">
        <v>0.3</v>
      </c>
      <c r="S21" s="43">
        <v>0</v>
      </c>
    </row>
    <row r="22" spans="2:22" x14ac:dyDescent="0.25">
      <c r="B22" s="19" t="str">
        <f>'Simulação de Taxas - Quantitas'!P22</f>
        <v>Azimut</v>
      </c>
      <c r="C22" s="25">
        <f t="shared" si="3"/>
        <v>0.3</v>
      </c>
      <c r="D22" s="12">
        <f t="shared" si="4"/>
        <v>1.21E-2</v>
      </c>
      <c r="E22" s="17">
        <f t="shared" si="0"/>
        <v>1210</v>
      </c>
      <c r="F22" s="16">
        <f>IFERROR(VLOOKUP(B22,'Simulação de Taxas - Quantitas'!$P$17:$R$41,3,FALSE)*$C$11,0)</f>
        <v>5.3999999999999994E-3</v>
      </c>
      <c r="G22" s="17">
        <f t="shared" si="1"/>
        <v>539.99999999999989</v>
      </c>
      <c r="H22" s="16">
        <f>'Simulação de Taxas - Quantitas'!$R$3</f>
        <v>5.0000000000000001E-4</v>
      </c>
      <c r="I22" s="17">
        <f t="shared" si="2"/>
        <v>50</v>
      </c>
      <c r="J22" s="18">
        <f t="shared" si="5"/>
        <v>1.7999999999999999E-2</v>
      </c>
      <c r="K22" s="8">
        <f t="shared" si="6"/>
        <v>1800</v>
      </c>
      <c r="P22" s="19" t="s">
        <v>33</v>
      </c>
      <c r="Q22" s="1" t="str">
        <f>P22</f>
        <v>Azimut</v>
      </c>
      <c r="R22" s="43">
        <v>0.3</v>
      </c>
      <c r="S22" s="43">
        <v>0</v>
      </c>
    </row>
    <row r="23" spans="2:22" x14ac:dyDescent="0.25">
      <c r="B23" s="19" t="str">
        <f>'Simulação de Taxas - Quantitas'!P23</f>
        <v>Banco Andbank</v>
      </c>
      <c r="C23" s="25">
        <f t="shared" ref="C23:C31" si="7">F23/J23</f>
        <v>0.3</v>
      </c>
      <c r="D23" s="12">
        <f t="shared" si="4"/>
        <v>1.21E-2</v>
      </c>
      <c r="E23" s="17">
        <f t="shared" si="0"/>
        <v>1210</v>
      </c>
      <c r="F23" s="16">
        <f>IFERROR(VLOOKUP(B23,'Simulação de Taxas - Quantitas'!$P$17:$R$41,3,FALSE)*$C$11,0)</f>
        <v>5.3999999999999994E-3</v>
      </c>
      <c r="G23" s="17">
        <f t="shared" si="1"/>
        <v>539.99999999999989</v>
      </c>
      <c r="H23" s="16">
        <f>'Simulação de Taxas - Quantitas'!$R$3</f>
        <v>5.0000000000000001E-4</v>
      </c>
      <c r="I23" s="17">
        <f t="shared" si="2"/>
        <v>50</v>
      </c>
      <c r="J23" s="18">
        <f t="shared" ref="J23:J31" si="8">H23+F23+D23</f>
        <v>1.7999999999999999E-2</v>
      </c>
      <c r="K23" s="8">
        <f t="shared" ref="K23:K31" si="9">I23+G23+E23</f>
        <v>1800</v>
      </c>
      <c r="P23" s="19" t="s">
        <v>52</v>
      </c>
      <c r="Q23" s="1" t="s">
        <v>31</v>
      </c>
      <c r="R23" s="44">
        <f>IF('Simulação de Taxas - Quantitas'!$C$6='Simulação de Taxas - Quantitas'!$P$9,35%,30%)</f>
        <v>0.3</v>
      </c>
      <c r="S23" s="44">
        <f>IF('Simulação de Taxas - Quantitas'!$C$6='Simulação de Taxas - Quantitas'!$P$9,10%,0%)</f>
        <v>0</v>
      </c>
    </row>
    <row r="24" spans="2:22" x14ac:dyDescent="0.25">
      <c r="B24" s="19" t="str">
        <f>'Simulação de Taxas - Quantitas'!P24</f>
        <v>Banco BTG</v>
      </c>
      <c r="C24" s="25">
        <f t="shared" si="7"/>
        <v>0.4</v>
      </c>
      <c r="D24" s="12">
        <f t="shared" si="4"/>
        <v>1.0299999999999998E-2</v>
      </c>
      <c r="E24" s="17">
        <f t="shared" si="0"/>
        <v>1029.9999999999998</v>
      </c>
      <c r="F24" s="16">
        <f>IFERROR(VLOOKUP(B24,'Simulação de Taxas - Quantitas'!$P$17:$R$41,3,FALSE)*$C$11,0)</f>
        <v>7.1999999999999998E-3</v>
      </c>
      <c r="G24" s="17">
        <f t="shared" si="1"/>
        <v>720</v>
      </c>
      <c r="H24" s="16">
        <f>'Simulação de Taxas - Quantitas'!$R$3</f>
        <v>5.0000000000000001E-4</v>
      </c>
      <c r="I24" s="17">
        <f t="shared" si="2"/>
        <v>50</v>
      </c>
      <c r="J24" s="18">
        <f t="shared" si="8"/>
        <v>1.7999999999999999E-2</v>
      </c>
      <c r="K24" s="8">
        <f t="shared" si="9"/>
        <v>1799.9999999999998</v>
      </c>
      <c r="P24" s="19" t="s">
        <v>53</v>
      </c>
      <c r="Q24" s="1" t="s">
        <v>34</v>
      </c>
      <c r="R24" s="43">
        <v>0.4</v>
      </c>
      <c r="S24" s="43">
        <v>0</v>
      </c>
    </row>
    <row r="25" spans="2:22" x14ac:dyDescent="0.25">
      <c r="B25" s="19" t="str">
        <f>'Simulação de Taxas - Quantitas'!P25</f>
        <v>Banco C6</v>
      </c>
      <c r="C25" s="25">
        <f t="shared" si="7"/>
        <v>0.3</v>
      </c>
      <c r="D25" s="12">
        <f t="shared" si="4"/>
        <v>1.21E-2</v>
      </c>
      <c r="E25" s="17">
        <f t="shared" si="0"/>
        <v>1210</v>
      </c>
      <c r="F25" s="16">
        <f>IFERROR(VLOOKUP(B25,'Simulação de Taxas - Quantitas'!$P$17:$R$41,3,FALSE)*$C$11,0)</f>
        <v>5.3999999999999994E-3</v>
      </c>
      <c r="G25" s="17">
        <f t="shared" si="1"/>
        <v>539.99999999999989</v>
      </c>
      <c r="H25" s="16">
        <f>'Simulação de Taxas - Quantitas'!$R$3</f>
        <v>5.0000000000000001E-4</v>
      </c>
      <c r="I25" s="17">
        <f t="shared" si="2"/>
        <v>50</v>
      </c>
      <c r="J25" s="18">
        <f t="shared" si="8"/>
        <v>1.7999999999999999E-2</v>
      </c>
      <c r="K25" s="8">
        <f t="shared" si="9"/>
        <v>1800</v>
      </c>
      <c r="P25" s="19" t="s">
        <v>54</v>
      </c>
      <c r="Q25" s="1" t="s">
        <v>35</v>
      </c>
      <c r="R25" s="43">
        <v>0.3</v>
      </c>
      <c r="S25" s="43">
        <v>0</v>
      </c>
    </row>
    <row r="26" spans="2:22" x14ac:dyDescent="0.25">
      <c r="B26" s="19" t="str">
        <f>'Simulação de Taxas - Quantitas'!P26</f>
        <v>Banco Daycoval</v>
      </c>
      <c r="C26" s="25">
        <f t="shared" si="7"/>
        <v>0.3</v>
      </c>
      <c r="D26" s="12">
        <f t="shared" si="4"/>
        <v>1.21E-2</v>
      </c>
      <c r="E26" s="17">
        <f t="shared" si="0"/>
        <v>1210</v>
      </c>
      <c r="F26" s="16">
        <f>IFERROR(VLOOKUP(B26,'Simulação de Taxas - Quantitas'!$P$17:$R$41,3,FALSE)*$C$11,0)</f>
        <v>5.3999999999999994E-3</v>
      </c>
      <c r="G26" s="17">
        <f t="shared" si="1"/>
        <v>539.99999999999989</v>
      </c>
      <c r="H26" s="16">
        <f>'Simulação de Taxas - Quantitas'!$R$3</f>
        <v>5.0000000000000001E-4</v>
      </c>
      <c r="I26" s="17">
        <f t="shared" si="2"/>
        <v>50</v>
      </c>
      <c r="J26" s="18">
        <f t="shared" si="8"/>
        <v>1.7999999999999999E-2</v>
      </c>
      <c r="K26" s="8">
        <f t="shared" si="9"/>
        <v>1800</v>
      </c>
      <c r="P26" s="19" t="s">
        <v>55</v>
      </c>
      <c r="Q26" s="1" t="s">
        <v>37</v>
      </c>
      <c r="R26" s="43">
        <v>0.3</v>
      </c>
      <c r="S26" s="43">
        <v>0</v>
      </c>
    </row>
    <row r="27" spans="2:22" x14ac:dyDescent="0.25">
      <c r="B27" s="19" t="str">
        <f>'Simulação de Taxas - Quantitas'!P27</f>
        <v>Banco Safra</v>
      </c>
      <c r="C27" s="25">
        <f t="shared" si="7"/>
        <v>0.3</v>
      </c>
      <c r="D27" s="12">
        <f t="shared" si="4"/>
        <v>1.21E-2</v>
      </c>
      <c r="E27" s="17">
        <f t="shared" si="0"/>
        <v>1210</v>
      </c>
      <c r="F27" s="16">
        <f>IFERROR(VLOOKUP(B27,'Simulação de Taxas - Quantitas'!$P$17:$R$41,3,FALSE)*$C$11,0)</f>
        <v>5.3999999999999994E-3</v>
      </c>
      <c r="G27" s="17">
        <f t="shared" si="1"/>
        <v>539.99999999999989</v>
      </c>
      <c r="H27" s="16">
        <f>'Simulação de Taxas - Quantitas'!$R$3</f>
        <v>5.0000000000000001E-4</v>
      </c>
      <c r="I27" s="17">
        <f t="shared" si="2"/>
        <v>50</v>
      </c>
      <c r="J27" s="18">
        <f t="shared" si="8"/>
        <v>1.7999999999999999E-2</v>
      </c>
      <c r="K27" s="8">
        <f t="shared" si="9"/>
        <v>1800</v>
      </c>
      <c r="P27" s="19" t="s">
        <v>56</v>
      </c>
      <c r="Q27" s="1" t="s">
        <v>67</v>
      </c>
      <c r="R27" s="43">
        <v>0.3</v>
      </c>
      <c r="S27" s="43">
        <v>0</v>
      </c>
    </row>
    <row r="28" spans="2:22" x14ac:dyDescent="0.25">
      <c r="B28" s="19" t="str">
        <f>'Simulação de Taxas - Quantitas'!P28</f>
        <v>Banco Seguro</v>
      </c>
      <c r="C28" s="25">
        <f t="shared" si="7"/>
        <v>0.3</v>
      </c>
      <c r="D28" s="12">
        <f t="shared" si="4"/>
        <v>1.21E-2</v>
      </c>
      <c r="E28" s="17">
        <f t="shared" si="0"/>
        <v>1210</v>
      </c>
      <c r="F28" s="16">
        <f>IFERROR(VLOOKUP(B28,'Simulação de Taxas - Quantitas'!$P$17:$R$41,3,FALSE)*$C$11,0)</f>
        <v>5.3999999999999994E-3</v>
      </c>
      <c r="G28" s="17">
        <f t="shared" si="1"/>
        <v>539.99999999999989</v>
      </c>
      <c r="H28" s="16">
        <f>'Simulação de Taxas - Quantitas'!$R$3</f>
        <v>5.0000000000000001E-4</v>
      </c>
      <c r="I28" s="17">
        <f t="shared" si="2"/>
        <v>50</v>
      </c>
      <c r="J28" s="18">
        <f t="shared" si="8"/>
        <v>1.7999999999999999E-2</v>
      </c>
      <c r="K28" s="8">
        <f t="shared" si="9"/>
        <v>1800</v>
      </c>
      <c r="P28" s="19" t="s">
        <v>57</v>
      </c>
      <c r="Q28" s="1" t="s">
        <v>43</v>
      </c>
      <c r="R28" s="43">
        <v>0.3</v>
      </c>
      <c r="S28" s="43">
        <v>0</v>
      </c>
    </row>
    <row r="29" spans="2:22" x14ac:dyDescent="0.25">
      <c r="B29" s="19" t="str">
        <f>'Simulação de Taxas - Quantitas'!P29</f>
        <v>CM Capital</v>
      </c>
      <c r="C29" s="25">
        <f t="shared" si="7"/>
        <v>0.3</v>
      </c>
      <c r="D29" s="12">
        <f t="shared" si="4"/>
        <v>1.21E-2</v>
      </c>
      <c r="E29" s="17">
        <f t="shared" si="0"/>
        <v>1210</v>
      </c>
      <c r="F29" s="16">
        <f>IFERROR(VLOOKUP(B29,'Simulação de Taxas - Quantitas'!$P$17:$R$41,3,FALSE)*$C$11,0)</f>
        <v>5.3999999999999994E-3</v>
      </c>
      <c r="G29" s="17">
        <f t="shared" si="1"/>
        <v>539.99999999999989</v>
      </c>
      <c r="H29" s="16">
        <f>'Simulação de Taxas - Quantitas'!$R$3</f>
        <v>5.0000000000000001E-4</v>
      </c>
      <c r="I29" s="17">
        <f t="shared" si="2"/>
        <v>50</v>
      </c>
      <c r="J29" s="18">
        <f t="shared" si="8"/>
        <v>1.7999999999999999E-2</v>
      </c>
      <c r="K29" s="8">
        <f t="shared" si="9"/>
        <v>1800</v>
      </c>
      <c r="P29" s="19" t="s">
        <v>36</v>
      </c>
      <c r="Q29" s="1" t="str">
        <f>P29</f>
        <v>CM Capital</v>
      </c>
      <c r="R29" s="43">
        <v>0.3</v>
      </c>
      <c r="S29" s="43">
        <v>0</v>
      </c>
    </row>
    <row r="30" spans="2:22" x14ac:dyDescent="0.25">
      <c r="B30" s="19" t="str">
        <f>'Simulação de Taxas - Quantitas'!P30</f>
        <v>Galápagos Capital</v>
      </c>
      <c r="C30" s="25">
        <f t="shared" si="7"/>
        <v>0.3</v>
      </c>
      <c r="D30" s="12">
        <f t="shared" si="4"/>
        <v>1.21E-2</v>
      </c>
      <c r="E30" s="17">
        <f t="shared" si="0"/>
        <v>1210</v>
      </c>
      <c r="F30" s="16">
        <f>IFERROR(VLOOKUP(B30,'Simulação de Taxas - Quantitas'!$P$17:$R$41,3,FALSE)*$C$11,0)</f>
        <v>5.3999999999999994E-3</v>
      </c>
      <c r="G30" s="17">
        <f t="shared" si="1"/>
        <v>539.99999999999989</v>
      </c>
      <c r="H30" s="16">
        <f>'Simulação de Taxas - Quantitas'!$R$3</f>
        <v>5.0000000000000001E-4</v>
      </c>
      <c r="I30" s="17">
        <f t="shared" si="2"/>
        <v>50</v>
      </c>
      <c r="J30" s="18">
        <f t="shared" si="8"/>
        <v>1.7999999999999999E-2</v>
      </c>
      <c r="K30" s="8">
        <f t="shared" si="9"/>
        <v>1800</v>
      </c>
      <c r="P30" s="19" t="s">
        <v>38</v>
      </c>
      <c r="Q30" s="1" t="s">
        <v>46</v>
      </c>
      <c r="R30" s="43">
        <v>0.3</v>
      </c>
      <c r="S30" s="43">
        <v>0</v>
      </c>
    </row>
    <row r="31" spans="2:22" x14ac:dyDescent="0.25">
      <c r="B31" s="19" t="str">
        <f>'Simulação de Taxas - Quantitas'!P31</f>
        <v>Genial</v>
      </c>
      <c r="C31" s="25">
        <f t="shared" si="7"/>
        <v>0.3</v>
      </c>
      <c r="D31" s="12">
        <f t="shared" si="4"/>
        <v>1.21E-2</v>
      </c>
      <c r="E31" s="17">
        <f t="shared" si="0"/>
        <v>1210</v>
      </c>
      <c r="F31" s="16">
        <f>IFERROR(VLOOKUP(B31,'Simulação de Taxas - Quantitas'!$P$17:$R$41,3,FALSE)*$C$11,0)</f>
        <v>5.3999999999999994E-3</v>
      </c>
      <c r="G31" s="17">
        <f t="shared" si="1"/>
        <v>539.99999999999989</v>
      </c>
      <c r="H31" s="16">
        <f>'Simulação de Taxas - Quantitas'!$R$3</f>
        <v>5.0000000000000001E-4</v>
      </c>
      <c r="I31" s="17">
        <f t="shared" si="2"/>
        <v>50</v>
      </c>
      <c r="J31" s="18">
        <f t="shared" si="8"/>
        <v>1.7999999999999999E-2</v>
      </c>
      <c r="K31" s="8">
        <f t="shared" si="9"/>
        <v>1800</v>
      </c>
      <c r="O31" s="4"/>
      <c r="P31" s="19" t="s">
        <v>39</v>
      </c>
      <c r="Q31" s="1" t="str">
        <f>P31</f>
        <v>Genial</v>
      </c>
      <c r="R31" s="43">
        <v>0.3</v>
      </c>
      <c r="S31" s="43">
        <v>0</v>
      </c>
      <c r="T31" s="4"/>
      <c r="U31" s="4"/>
      <c r="V31" s="4"/>
    </row>
    <row r="32" spans="2:22" x14ac:dyDescent="0.25">
      <c r="B32" s="19" t="str">
        <f>'Simulação de Taxas - Quantitas'!P32</f>
        <v>Inter</v>
      </c>
      <c r="C32" s="25">
        <f t="shared" si="3"/>
        <v>0.3</v>
      </c>
      <c r="D32" s="12">
        <f t="shared" si="4"/>
        <v>1.21E-2</v>
      </c>
      <c r="E32" s="17">
        <f t="shared" si="0"/>
        <v>1210</v>
      </c>
      <c r="F32" s="16">
        <f>IFERROR(VLOOKUP(B32,'Simulação de Taxas - Quantitas'!$P$17:$R$41,3,FALSE)*$C$11,0)</f>
        <v>5.3999999999999994E-3</v>
      </c>
      <c r="G32" s="17">
        <f t="shared" si="1"/>
        <v>539.99999999999989</v>
      </c>
      <c r="H32" s="16">
        <f>'Simulação de Taxas - Quantitas'!$R$3</f>
        <v>5.0000000000000001E-4</v>
      </c>
      <c r="I32" s="17">
        <f t="shared" si="2"/>
        <v>50</v>
      </c>
      <c r="J32" s="18">
        <f t="shared" si="5"/>
        <v>1.7999999999999999E-2</v>
      </c>
      <c r="K32" s="8">
        <f t="shared" si="6"/>
        <v>1800</v>
      </c>
      <c r="O32" s="4"/>
      <c r="P32" s="19" t="s">
        <v>40</v>
      </c>
      <c r="Q32" s="1" t="str">
        <f>P32</f>
        <v>Inter</v>
      </c>
      <c r="R32" s="43">
        <v>0.3</v>
      </c>
      <c r="S32" s="43">
        <v>0</v>
      </c>
      <c r="T32" s="4"/>
      <c r="U32" s="4"/>
      <c r="V32" s="4"/>
    </row>
    <row r="33" spans="2:24" x14ac:dyDescent="0.25">
      <c r="B33" s="19" t="str">
        <f>'Simulação de Taxas - Quantitas'!P33</f>
        <v>Marsche</v>
      </c>
      <c r="C33" s="25">
        <f t="shared" ref="C33:C34" si="10">F33/J33</f>
        <v>0.3</v>
      </c>
      <c r="D33" s="12">
        <f t="shared" ref="D33:D34" si="11">IFERROR($C$11-F33-H33,0)</f>
        <v>1.21E-2</v>
      </c>
      <c r="E33" s="17">
        <f t="shared" si="0"/>
        <v>1210</v>
      </c>
      <c r="F33" s="16">
        <f>IFERROR(VLOOKUP(B33,'Simulação de Taxas - Quantitas'!$P$17:$R$41,3,FALSE)*$C$11,0)</f>
        <v>5.3999999999999994E-3</v>
      </c>
      <c r="G33" s="17">
        <f t="shared" si="1"/>
        <v>539.99999999999989</v>
      </c>
      <c r="H33" s="16">
        <f>'Simulação de Taxas - Quantitas'!$R$3</f>
        <v>5.0000000000000001E-4</v>
      </c>
      <c r="I33" s="17">
        <f t="shared" si="2"/>
        <v>50</v>
      </c>
      <c r="J33" s="18">
        <f t="shared" ref="J33:J34" si="12">H33+F33+D33</f>
        <v>1.7999999999999999E-2</v>
      </c>
      <c r="K33" s="8">
        <f t="shared" ref="K33:K34" si="13">I33+G33+E33</f>
        <v>1800</v>
      </c>
      <c r="P33" s="19" t="s">
        <v>58</v>
      </c>
      <c r="Q33" s="1" t="s">
        <v>66</v>
      </c>
      <c r="R33" s="43">
        <v>0.3</v>
      </c>
      <c r="S33" s="43">
        <v>0</v>
      </c>
    </row>
    <row r="34" spans="2:24" x14ac:dyDescent="0.25">
      <c r="B34" s="19" t="str">
        <f>'Simulação de Taxas - Quantitas'!P34</f>
        <v>Mirae</v>
      </c>
      <c r="C34" s="25">
        <f t="shared" si="10"/>
        <v>0.3</v>
      </c>
      <c r="D34" s="12">
        <f t="shared" si="11"/>
        <v>1.21E-2</v>
      </c>
      <c r="E34" s="17">
        <f t="shared" si="0"/>
        <v>1210</v>
      </c>
      <c r="F34" s="16">
        <f>IFERROR(VLOOKUP(B34,'Simulação de Taxas - Quantitas'!$P$17:$R$41,3,FALSE)*$C$11,0)</f>
        <v>5.3999999999999994E-3</v>
      </c>
      <c r="G34" s="17">
        <f t="shared" si="1"/>
        <v>539.99999999999989</v>
      </c>
      <c r="H34" s="16">
        <f>'Simulação de Taxas - Quantitas'!$R$3</f>
        <v>5.0000000000000001E-4</v>
      </c>
      <c r="I34" s="17">
        <f t="shared" si="2"/>
        <v>50</v>
      </c>
      <c r="J34" s="18">
        <f t="shared" si="12"/>
        <v>1.7999999999999999E-2</v>
      </c>
      <c r="K34" s="8">
        <f t="shared" si="13"/>
        <v>1800</v>
      </c>
      <c r="P34" s="19" t="s">
        <v>41</v>
      </c>
      <c r="Q34" s="1" t="str">
        <f>P34</f>
        <v>Mirae</v>
      </c>
      <c r="R34" s="43">
        <v>0.3</v>
      </c>
      <c r="S34" s="43">
        <v>0</v>
      </c>
    </row>
    <row r="35" spans="2:24" x14ac:dyDescent="0.25">
      <c r="B35" s="19" t="str">
        <f>'Simulação de Taxas - Quantitas'!P35</f>
        <v>Nova Futura</v>
      </c>
      <c r="C35" s="25">
        <f t="shared" ref="C35:C41" si="14">F35/J35</f>
        <v>0.3</v>
      </c>
      <c r="D35" s="12">
        <f t="shared" ref="D35:D41" si="15">IFERROR($C$11-F35-H35,0)</f>
        <v>1.21E-2</v>
      </c>
      <c r="E35" s="17">
        <f t="shared" si="0"/>
        <v>1210</v>
      </c>
      <c r="F35" s="16">
        <f>IFERROR(VLOOKUP(B35,'Simulação de Taxas - Quantitas'!$P$17:$R$41,3,FALSE)*$C$11,0)</f>
        <v>5.3999999999999994E-3</v>
      </c>
      <c r="G35" s="17">
        <f t="shared" si="1"/>
        <v>539.99999999999989</v>
      </c>
      <c r="H35" s="16">
        <f>'Simulação de Taxas - Quantitas'!$R$3</f>
        <v>5.0000000000000001E-4</v>
      </c>
      <c r="I35" s="17">
        <f t="shared" si="2"/>
        <v>50</v>
      </c>
      <c r="J35" s="18">
        <f t="shared" ref="J35:J41" si="16">H35+F35+D35</f>
        <v>1.7999999999999999E-2</v>
      </c>
      <c r="K35" s="8">
        <f t="shared" ref="K35:K41" si="17">I35+G35+E35</f>
        <v>1800</v>
      </c>
      <c r="P35" s="19" t="s">
        <v>42</v>
      </c>
      <c r="Q35" s="1" t="str">
        <f>P35</f>
        <v>Nova Futura</v>
      </c>
      <c r="R35" s="43">
        <v>0.3</v>
      </c>
      <c r="S35" s="43">
        <v>0</v>
      </c>
    </row>
    <row r="36" spans="2:24" x14ac:dyDescent="0.25">
      <c r="B36" s="19" t="str">
        <f>'Simulação de Taxas - Quantitas'!P36</f>
        <v>Nu Investimentos</v>
      </c>
      <c r="C36" s="25">
        <f t="shared" si="14"/>
        <v>0.4</v>
      </c>
      <c r="D36" s="12">
        <f t="shared" si="15"/>
        <v>1.0299999999999998E-2</v>
      </c>
      <c r="E36" s="17">
        <f t="shared" si="0"/>
        <v>1029.9999999999998</v>
      </c>
      <c r="F36" s="16">
        <f>IFERROR(VLOOKUP(B36,'Simulação de Taxas - Quantitas'!$P$17:$R$41,3,FALSE)*$C$11,0)</f>
        <v>7.1999999999999998E-3</v>
      </c>
      <c r="G36" s="17">
        <f t="shared" si="1"/>
        <v>720</v>
      </c>
      <c r="H36" s="16">
        <f>'Simulação de Taxas - Quantitas'!$R$3</f>
        <v>5.0000000000000001E-4</v>
      </c>
      <c r="I36" s="17">
        <f t="shared" si="2"/>
        <v>50</v>
      </c>
      <c r="J36" s="18">
        <f t="shared" si="16"/>
        <v>1.7999999999999999E-2</v>
      </c>
      <c r="K36" s="8">
        <f t="shared" si="17"/>
        <v>1799.9999999999998</v>
      </c>
      <c r="P36" s="37" t="s">
        <v>59</v>
      </c>
      <c r="Q36" s="1" t="s">
        <v>60</v>
      </c>
      <c r="R36" s="45">
        <v>0.4</v>
      </c>
      <c r="S36" s="45">
        <v>0</v>
      </c>
    </row>
    <row r="37" spans="2:24" x14ac:dyDescent="0.25">
      <c r="B37" s="19" t="str">
        <f>'Simulação de Taxas - Quantitas'!P37</f>
        <v>RB</v>
      </c>
      <c r="C37" s="25">
        <f t="shared" si="14"/>
        <v>0.3</v>
      </c>
      <c r="D37" s="12">
        <f t="shared" si="15"/>
        <v>1.21E-2</v>
      </c>
      <c r="E37" s="17">
        <f t="shared" si="0"/>
        <v>1210</v>
      </c>
      <c r="F37" s="16">
        <f>IFERROR(VLOOKUP(B37,'Simulação de Taxas - Quantitas'!$P$17:$R$41,3,FALSE)*$C$11,0)</f>
        <v>5.3999999999999994E-3</v>
      </c>
      <c r="G37" s="17">
        <f t="shared" si="1"/>
        <v>539.99999999999989</v>
      </c>
      <c r="H37" s="16">
        <f>'Simulação de Taxas - Quantitas'!$R$3</f>
        <v>5.0000000000000001E-4</v>
      </c>
      <c r="I37" s="17">
        <f t="shared" si="2"/>
        <v>50</v>
      </c>
      <c r="J37" s="18">
        <f t="shared" si="16"/>
        <v>1.7999999999999999E-2</v>
      </c>
      <c r="K37" s="8">
        <f t="shared" si="17"/>
        <v>1800</v>
      </c>
      <c r="P37" s="19" t="s">
        <v>61</v>
      </c>
      <c r="Q37" s="1" t="str">
        <f>P37</f>
        <v>RB</v>
      </c>
      <c r="R37" s="43">
        <v>0.3</v>
      </c>
      <c r="S37" s="43">
        <v>0</v>
      </c>
    </row>
    <row r="38" spans="2:24" x14ac:dyDescent="0.25">
      <c r="B38" s="19" t="str">
        <f>'Simulação de Taxas - Quantitas'!P38</f>
        <v>Renascença</v>
      </c>
      <c r="C38" s="25">
        <f t="shared" si="14"/>
        <v>0.3</v>
      </c>
      <c r="D38" s="12">
        <f t="shared" si="15"/>
        <v>1.21E-2</v>
      </c>
      <c r="E38" s="17">
        <f t="shared" si="0"/>
        <v>1210</v>
      </c>
      <c r="F38" s="16">
        <f>IFERROR(VLOOKUP(B38,'Simulação de Taxas - Quantitas'!$P$17:$R$41,3,FALSE)*$C$11,0)</f>
        <v>5.3999999999999994E-3</v>
      </c>
      <c r="G38" s="17">
        <f t="shared" si="1"/>
        <v>539.99999999999989</v>
      </c>
      <c r="H38" s="16">
        <f>'Simulação de Taxas - Quantitas'!$R$3</f>
        <v>5.0000000000000001E-4</v>
      </c>
      <c r="I38" s="17">
        <f t="shared" si="2"/>
        <v>50</v>
      </c>
      <c r="J38" s="18">
        <f t="shared" si="16"/>
        <v>1.7999999999999999E-2</v>
      </c>
      <c r="K38" s="8">
        <f t="shared" si="17"/>
        <v>1800</v>
      </c>
      <c r="P38" s="19" t="s">
        <v>62</v>
      </c>
      <c r="Q38" s="1" t="str">
        <f>P38</f>
        <v>Renascença</v>
      </c>
      <c r="R38" s="43">
        <v>0.3</v>
      </c>
      <c r="S38" s="43">
        <v>0</v>
      </c>
    </row>
    <row r="39" spans="2:24" x14ac:dyDescent="0.25">
      <c r="B39" s="19" t="str">
        <f>'Simulação de Taxas - Quantitas'!P39</f>
        <v>Terra</v>
      </c>
      <c r="C39" s="25">
        <f t="shared" si="14"/>
        <v>0.3</v>
      </c>
      <c r="D39" s="12">
        <f t="shared" si="15"/>
        <v>1.21E-2</v>
      </c>
      <c r="E39" s="17">
        <f t="shared" si="0"/>
        <v>1210</v>
      </c>
      <c r="F39" s="16">
        <f>IFERROR(VLOOKUP(B39,'Simulação de Taxas - Quantitas'!$P$17:$R$41,3,FALSE)*$C$11,0)</f>
        <v>5.3999999999999994E-3</v>
      </c>
      <c r="G39" s="17">
        <f t="shared" si="1"/>
        <v>539.99999999999989</v>
      </c>
      <c r="H39" s="16">
        <f>'Simulação de Taxas - Quantitas'!$R$3</f>
        <v>5.0000000000000001E-4</v>
      </c>
      <c r="I39" s="17">
        <f t="shared" si="2"/>
        <v>50</v>
      </c>
      <c r="J39" s="18">
        <f t="shared" si="16"/>
        <v>1.7999999999999999E-2</v>
      </c>
      <c r="K39" s="8">
        <f t="shared" si="17"/>
        <v>1800</v>
      </c>
      <c r="P39" s="19" t="s">
        <v>63</v>
      </c>
      <c r="Q39" s="1" t="str">
        <f>P39</f>
        <v>Terra</v>
      </c>
      <c r="R39" s="43">
        <v>0.3</v>
      </c>
      <c r="S39" s="43">
        <v>0</v>
      </c>
    </row>
    <row r="40" spans="2:24" x14ac:dyDescent="0.25">
      <c r="B40" s="19" t="str">
        <f>'Simulação de Taxas - Quantitas'!P40</f>
        <v>Toro</v>
      </c>
      <c r="C40" s="25">
        <f t="shared" si="14"/>
        <v>0.3</v>
      </c>
      <c r="D40" s="12">
        <f t="shared" si="15"/>
        <v>1.21E-2</v>
      </c>
      <c r="E40" s="17">
        <f t="shared" si="0"/>
        <v>1210</v>
      </c>
      <c r="F40" s="16">
        <f>IFERROR(VLOOKUP(B40,'Simulação de Taxas - Quantitas'!$P$17:$R$41,3,FALSE)*$C$11,0)</f>
        <v>5.3999999999999994E-3</v>
      </c>
      <c r="G40" s="17">
        <f t="shared" si="1"/>
        <v>539.99999999999989</v>
      </c>
      <c r="H40" s="16">
        <f>'Simulação de Taxas - Quantitas'!$R$3</f>
        <v>5.0000000000000001E-4</v>
      </c>
      <c r="I40" s="17">
        <f t="shared" si="2"/>
        <v>50</v>
      </c>
      <c r="J40" s="18">
        <f t="shared" si="16"/>
        <v>1.7999999999999999E-2</v>
      </c>
      <c r="K40" s="8">
        <f t="shared" si="17"/>
        <v>1800</v>
      </c>
      <c r="P40" s="19" t="s">
        <v>64</v>
      </c>
      <c r="Q40" s="1" t="s">
        <v>65</v>
      </c>
      <c r="R40" s="43">
        <v>0.3</v>
      </c>
      <c r="S40" s="43">
        <v>0</v>
      </c>
    </row>
    <row r="41" spans="2:24" x14ac:dyDescent="0.25">
      <c r="B41" s="19" t="str">
        <f>'Simulação de Taxas - Quantitas'!P41</f>
        <v>XP</v>
      </c>
      <c r="C41" s="25">
        <f t="shared" si="14"/>
        <v>0.51</v>
      </c>
      <c r="D41" s="12">
        <f t="shared" si="15"/>
        <v>8.3199999999999993E-3</v>
      </c>
      <c r="E41" s="17">
        <f t="shared" si="0"/>
        <v>831.99999999999989</v>
      </c>
      <c r="F41" s="16">
        <f>IFERROR(VLOOKUP(B41,'Simulação de Taxas - Quantitas'!$P$17:$R$41,3,FALSE)*$C$11,0)</f>
        <v>9.1799999999999989E-3</v>
      </c>
      <c r="G41" s="17">
        <f t="shared" si="1"/>
        <v>917.99999999999989</v>
      </c>
      <c r="H41" s="16">
        <f>'Simulação de Taxas - Quantitas'!$R$3</f>
        <v>5.0000000000000001E-4</v>
      </c>
      <c r="I41" s="17">
        <f t="shared" si="2"/>
        <v>50</v>
      </c>
      <c r="J41" s="18">
        <f t="shared" si="16"/>
        <v>1.7999999999999999E-2</v>
      </c>
      <c r="K41" s="8">
        <f t="shared" si="17"/>
        <v>1799.9999999999998</v>
      </c>
      <c r="P41" s="19" t="s">
        <v>44</v>
      </c>
      <c r="Q41" s="1" t="s">
        <v>45</v>
      </c>
      <c r="R41" s="43">
        <v>0.51</v>
      </c>
      <c r="S41" s="43">
        <v>0.3</v>
      </c>
    </row>
    <row r="42" spans="2:24" x14ac:dyDescent="0.25">
      <c r="B42" s="1"/>
      <c r="C42" s="2"/>
      <c r="D42" s="2"/>
      <c r="E42" s="1"/>
      <c r="F42" s="1"/>
      <c r="G42" s="1"/>
      <c r="H42" s="1"/>
      <c r="I42" s="1"/>
      <c r="J42" s="1"/>
      <c r="K42" s="1"/>
    </row>
    <row r="43" spans="2:24" x14ac:dyDescent="0.25">
      <c r="B43" s="1"/>
      <c r="C43" s="2"/>
      <c r="D43" s="2"/>
      <c r="E43" s="1"/>
      <c r="F43" s="1"/>
      <c r="G43" s="1"/>
      <c r="H43" s="1"/>
      <c r="I43" s="1"/>
      <c r="J43" s="1"/>
      <c r="K43" s="1"/>
    </row>
    <row r="44" spans="2:24" s="4" customFormat="1" x14ac:dyDescent="0.25">
      <c r="B44" s="3" t="s">
        <v>14</v>
      </c>
      <c r="C44" s="26"/>
      <c r="D44" s="51" t="s">
        <v>8</v>
      </c>
      <c r="E44" s="52"/>
      <c r="F44" s="53" t="s">
        <v>11</v>
      </c>
      <c r="G44" s="52"/>
      <c r="H44" s="53" t="s">
        <v>12</v>
      </c>
      <c r="I44" s="52"/>
      <c r="J44" s="54" t="s">
        <v>13</v>
      </c>
      <c r="K44" s="51"/>
      <c r="O44" s="1"/>
      <c r="P44" s="1"/>
      <c r="Q44" s="1"/>
      <c r="R44" s="1"/>
      <c r="S44" s="1"/>
      <c r="T44" s="1"/>
      <c r="U44" s="1"/>
      <c r="V44" s="1"/>
    </row>
    <row r="45" spans="2:24" s="4" customFormat="1" x14ac:dyDescent="0.25">
      <c r="B45" s="5"/>
      <c r="C45" s="26" t="s">
        <v>7</v>
      </c>
      <c r="D45" s="7" t="s">
        <v>9</v>
      </c>
      <c r="E45" s="15" t="s">
        <v>10</v>
      </c>
      <c r="F45" s="14" t="s">
        <v>9</v>
      </c>
      <c r="G45" s="15" t="s">
        <v>10</v>
      </c>
      <c r="H45" s="14" t="s">
        <v>9</v>
      </c>
      <c r="I45" s="15" t="s">
        <v>10</v>
      </c>
      <c r="J45" s="13" t="s">
        <v>9</v>
      </c>
      <c r="K45" s="6" t="s">
        <v>10</v>
      </c>
      <c r="O45" s="1"/>
      <c r="P45" s="1"/>
      <c r="Q45" s="38"/>
      <c r="R45" s="1"/>
      <c r="S45" s="1"/>
      <c r="T45" s="1"/>
      <c r="U45" s="1"/>
      <c r="V45" s="1"/>
      <c r="W45" s="1"/>
      <c r="X45" s="1"/>
    </row>
    <row r="46" spans="2:24" x14ac:dyDescent="0.25">
      <c r="B46" s="19" t="str">
        <f t="shared" ref="B46:B70" si="18">B17</f>
        <v>Ailos - Transpocred</v>
      </c>
      <c r="C46" s="27">
        <f>IFERROR(F46/J46,"")</f>
        <v>0</v>
      </c>
      <c r="D46" s="12">
        <f>J46-F46</f>
        <v>2E-3</v>
      </c>
      <c r="E46" s="17">
        <f>IF($K$10&gt;0,D46*$K$9,0)</f>
        <v>200</v>
      </c>
      <c r="F46" s="16">
        <f>IFERROR(VLOOKUP(B46,'Simulação de Taxas - Quantitas'!$P$23:$S$41,4,FALSE)*J46,0)</f>
        <v>0</v>
      </c>
      <c r="G46" s="17">
        <f>IF($K$10&gt;0,F46*$K$9,0)</f>
        <v>0</v>
      </c>
      <c r="H46" s="16">
        <v>0</v>
      </c>
      <c r="I46" s="17">
        <f t="shared" ref="I46:I70" si="19">H46*$K$9</f>
        <v>0</v>
      </c>
      <c r="J46" s="18">
        <f t="shared" ref="J46:J70" si="20">IF($K$11&gt;0,$K$11,0)</f>
        <v>2E-3</v>
      </c>
      <c r="K46" s="8">
        <f>I46+G46+E46</f>
        <v>200</v>
      </c>
    </row>
    <row r="47" spans="2:24" x14ac:dyDescent="0.25">
      <c r="B47" s="19" t="str">
        <f t="shared" si="18"/>
        <v>Ailos - Credcrea</v>
      </c>
      <c r="C47" s="27">
        <f t="shared" ref="C47:C70" si="21">IFERROR(F47/J47,"")</f>
        <v>0</v>
      </c>
      <c r="D47" s="12">
        <f t="shared" ref="D47:D60" si="22">J47-F47</f>
        <v>2E-3</v>
      </c>
      <c r="E47" s="17">
        <f t="shared" ref="E47:E70" si="23">IF($K$10&gt;0,D47*$K$9,0)</f>
        <v>200</v>
      </c>
      <c r="F47" s="16">
        <f>IFERROR(VLOOKUP(B47,'Simulação de Taxas - Quantitas'!$P$23:$S$41,4,FALSE)*J47,0)</f>
        <v>0</v>
      </c>
      <c r="G47" s="17">
        <f t="shared" ref="G47:G70" si="24">IF($K$10&gt;0,F47*$K$9,0)</f>
        <v>0</v>
      </c>
      <c r="H47" s="16">
        <v>0</v>
      </c>
      <c r="I47" s="17">
        <f t="shared" si="19"/>
        <v>0</v>
      </c>
      <c r="J47" s="18">
        <f t="shared" si="20"/>
        <v>2E-3</v>
      </c>
      <c r="K47" s="8">
        <f t="shared" ref="K47:K60" si="25">I47+G47+E47</f>
        <v>200</v>
      </c>
    </row>
    <row r="48" spans="2:24" x14ac:dyDescent="0.25">
      <c r="B48" s="19" t="str">
        <f t="shared" si="18"/>
        <v>Ailos - Evolua</v>
      </c>
      <c r="C48" s="27">
        <f t="shared" si="21"/>
        <v>0</v>
      </c>
      <c r="D48" s="12">
        <f t="shared" si="22"/>
        <v>2E-3</v>
      </c>
      <c r="E48" s="17">
        <f t="shared" si="23"/>
        <v>200</v>
      </c>
      <c r="F48" s="16">
        <f>IFERROR(VLOOKUP(B48,'Simulação de Taxas - Quantitas'!$P$23:$S$41,4,FALSE)*J48,0)</f>
        <v>0</v>
      </c>
      <c r="G48" s="17">
        <f t="shared" si="24"/>
        <v>0</v>
      </c>
      <c r="H48" s="16">
        <v>0</v>
      </c>
      <c r="I48" s="17">
        <f t="shared" si="19"/>
        <v>0</v>
      </c>
      <c r="J48" s="18">
        <f t="shared" si="20"/>
        <v>2E-3</v>
      </c>
      <c r="K48" s="8">
        <f t="shared" si="25"/>
        <v>200</v>
      </c>
    </row>
    <row r="49" spans="2:11" x14ac:dyDescent="0.25">
      <c r="B49" s="19" t="str">
        <f t="shared" si="18"/>
        <v>Ailos - Viacredi</v>
      </c>
      <c r="C49" s="27">
        <f t="shared" si="21"/>
        <v>0</v>
      </c>
      <c r="D49" s="12">
        <f t="shared" si="22"/>
        <v>2E-3</v>
      </c>
      <c r="E49" s="17">
        <f t="shared" si="23"/>
        <v>200</v>
      </c>
      <c r="F49" s="16">
        <f>IFERROR(VLOOKUP(B49,'Simulação de Taxas - Quantitas'!$P$23:$S$41,4,FALSE)*J49,0)</f>
        <v>0</v>
      </c>
      <c r="G49" s="17">
        <f t="shared" si="24"/>
        <v>0</v>
      </c>
      <c r="H49" s="16">
        <v>0</v>
      </c>
      <c r="I49" s="17">
        <f t="shared" si="19"/>
        <v>0</v>
      </c>
      <c r="J49" s="18">
        <f t="shared" si="20"/>
        <v>2E-3</v>
      </c>
      <c r="K49" s="8">
        <f t="shared" si="25"/>
        <v>200</v>
      </c>
    </row>
    <row r="50" spans="2:11" x14ac:dyDescent="0.25">
      <c r="B50" s="19" t="str">
        <f t="shared" si="18"/>
        <v>Ativa Investimentos</v>
      </c>
      <c r="C50" s="27">
        <f t="shared" si="21"/>
        <v>0</v>
      </c>
      <c r="D50" s="12">
        <f t="shared" ref="D50:D59" si="26">J50-F50</f>
        <v>2E-3</v>
      </c>
      <c r="E50" s="17">
        <f t="shared" si="23"/>
        <v>200</v>
      </c>
      <c r="F50" s="16">
        <f>IFERROR(VLOOKUP(B50,'Simulação de Taxas - Quantitas'!$P$23:$S$41,4,FALSE)*J50,0)</f>
        <v>0</v>
      </c>
      <c r="G50" s="17">
        <f t="shared" si="24"/>
        <v>0</v>
      </c>
      <c r="H50" s="16">
        <v>0</v>
      </c>
      <c r="I50" s="17">
        <f t="shared" si="19"/>
        <v>0</v>
      </c>
      <c r="J50" s="18">
        <f t="shared" si="20"/>
        <v>2E-3</v>
      </c>
      <c r="K50" s="8">
        <f t="shared" ref="K50:K59" si="27">I50+G50+E50</f>
        <v>200</v>
      </c>
    </row>
    <row r="51" spans="2:11" x14ac:dyDescent="0.25">
      <c r="B51" s="19" t="str">
        <f t="shared" si="18"/>
        <v>Azimut</v>
      </c>
      <c r="C51" s="27">
        <f t="shared" si="21"/>
        <v>0</v>
      </c>
      <c r="D51" s="12">
        <f t="shared" si="26"/>
        <v>2E-3</v>
      </c>
      <c r="E51" s="17">
        <f t="shared" si="23"/>
        <v>200</v>
      </c>
      <c r="F51" s="16">
        <f>IFERROR(VLOOKUP(B51,'Simulação de Taxas - Quantitas'!$P$23:$S$41,4,FALSE)*J51,0)</f>
        <v>0</v>
      </c>
      <c r="G51" s="17">
        <f t="shared" si="24"/>
        <v>0</v>
      </c>
      <c r="H51" s="16">
        <v>0</v>
      </c>
      <c r="I51" s="17">
        <f t="shared" si="19"/>
        <v>0</v>
      </c>
      <c r="J51" s="18">
        <f t="shared" si="20"/>
        <v>2E-3</v>
      </c>
      <c r="K51" s="8">
        <f t="shared" si="27"/>
        <v>200</v>
      </c>
    </row>
    <row r="52" spans="2:11" x14ac:dyDescent="0.25">
      <c r="B52" s="19" t="str">
        <f t="shared" si="18"/>
        <v>Banco Andbank</v>
      </c>
      <c r="C52" s="27">
        <f t="shared" si="21"/>
        <v>0</v>
      </c>
      <c r="D52" s="12">
        <f t="shared" si="26"/>
        <v>2E-3</v>
      </c>
      <c r="E52" s="17">
        <f t="shared" si="23"/>
        <v>200</v>
      </c>
      <c r="F52" s="16">
        <f>IFERROR(VLOOKUP(B52,'Simulação de Taxas - Quantitas'!$P$23:$S$41,4,FALSE)*J52,0)</f>
        <v>0</v>
      </c>
      <c r="G52" s="17">
        <f t="shared" si="24"/>
        <v>0</v>
      </c>
      <c r="H52" s="16">
        <v>0</v>
      </c>
      <c r="I52" s="17">
        <f t="shared" si="19"/>
        <v>0</v>
      </c>
      <c r="J52" s="18">
        <f t="shared" si="20"/>
        <v>2E-3</v>
      </c>
      <c r="K52" s="8">
        <f t="shared" si="27"/>
        <v>200</v>
      </c>
    </row>
    <row r="53" spans="2:11" x14ac:dyDescent="0.25">
      <c r="B53" s="19" t="str">
        <f t="shared" si="18"/>
        <v>Banco BTG</v>
      </c>
      <c r="C53" s="27">
        <f t="shared" si="21"/>
        <v>0</v>
      </c>
      <c r="D53" s="12">
        <f t="shared" si="26"/>
        <v>2E-3</v>
      </c>
      <c r="E53" s="17">
        <f t="shared" si="23"/>
        <v>200</v>
      </c>
      <c r="F53" s="16">
        <f>IFERROR(VLOOKUP(B53,'Simulação de Taxas - Quantitas'!$P$23:$S$41,4,FALSE)*J53,0)</f>
        <v>0</v>
      </c>
      <c r="G53" s="17">
        <f t="shared" si="24"/>
        <v>0</v>
      </c>
      <c r="H53" s="16">
        <v>0</v>
      </c>
      <c r="I53" s="17">
        <f t="shared" si="19"/>
        <v>0</v>
      </c>
      <c r="J53" s="18">
        <f t="shared" si="20"/>
        <v>2E-3</v>
      </c>
      <c r="K53" s="8">
        <f t="shared" si="27"/>
        <v>200</v>
      </c>
    </row>
    <row r="54" spans="2:11" x14ac:dyDescent="0.25">
      <c r="B54" s="19" t="str">
        <f t="shared" si="18"/>
        <v>Banco C6</v>
      </c>
      <c r="C54" s="27">
        <f t="shared" si="21"/>
        <v>0</v>
      </c>
      <c r="D54" s="12">
        <f t="shared" si="26"/>
        <v>2E-3</v>
      </c>
      <c r="E54" s="17">
        <f t="shared" si="23"/>
        <v>200</v>
      </c>
      <c r="F54" s="16">
        <f>IFERROR(VLOOKUP(B54,'Simulação de Taxas - Quantitas'!$P$23:$S$41,4,FALSE)*J54,0)</f>
        <v>0</v>
      </c>
      <c r="G54" s="17">
        <f t="shared" si="24"/>
        <v>0</v>
      </c>
      <c r="H54" s="16">
        <v>0</v>
      </c>
      <c r="I54" s="17">
        <f t="shared" si="19"/>
        <v>0</v>
      </c>
      <c r="J54" s="18">
        <f t="shared" si="20"/>
        <v>2E-3</v>
      </c>
      <c r="K54" s="8">
        <f t="shared" si="27"/>
        <v>200</v>
      </c>
    </row>
    <row r="55" spans="2:11" x14ac:dyDescent="0.25">
      <c r="B55" s="19" t="str">
        <f t="shared" si="18"/>
        <v>Banco Daycoval</v>
      </c>
      <c r="C55" s="27">
        <f t="shared" si="21"/>
        <v>0</v>
      </c>
      <c r="D55" s="12">
        <f t="shared" si="26"/>
        <v>2E-3</v>
      </c>
      <c r="E55" s="17">
        <f t="shared" si="23"/>
        <v>200</v>
      </c>
      <c r="F55" s="16">
        <f>IFERROR(VLOOKUP(B55,'Simulação de Taxas - Quantitas'!$P$23:$S$41,4,FALSE)*J55,0)</f>
        <v>0</v>
      </c>
      <c r="G55" s="17">
        <f t="shared" si="24"/>
        <v>0</v>
      </c>
      <c r="H55" s="16">
        <v>0</v>
      </c>
      <c r="I55" s="17">
        <f t="shared" si="19"/>
        <v>0</v>
      </c>
      <c r="J55" s="18">
        <f t="shared" si="20"/>
        <v>2E-3</v>
      </c>
      <c r="K55" s="8">
        <f t="shared" si="27"/>
        <v>200</v>
      </c>
    </row>
    <row r="56" spans="2:11" x14ac:dyDescent="0.25">
      <c r="B56" s="19" t="str">
        <f t="shared" si="18"/>
        <v>Banco Safra</v>
      </c>
      <c r="C56" s="27">
        <f t="shared" si="21"/>
        <v>0</v>
      </c>
      <c r="D56" s="12">
        <f t="shared" si="26"/>
        <v>2E-3</v>
      </c>
      <c r="E56" s="17">
        <f t="shared" si="23"/>
        <v>200</v>
      </c>
      <c r="F56" s="16">
        <f>IFERROR(VLOOKUP(B56,'Simulação de Taxas - Quantitas'!$P$23:$S$41,4,FALSE)*J56,0)</f>
        <v>0</v>
      </c>
      <c r="G56" s="17">
        <f t="shared" si="24"/>
        <v>0</v>
      </c>
      <c r="H56" s="16">
        <v>0</v>
      </c>
      <c r="I56" s="17">
        <f t="shared" si="19"/>
        <v>0</v>
      </c>
      <c r="J56" s="18">
        <f t="shared" si="20"/>
        <v>2E-3</v>
      </c>
      <c r="K56" s="8">
        <f t="shared" si="27"/>
        <v>200</v>
      </c>
    </row>
    <row r="57" spans="2:11" x14ac:dyDescent="0.25">
      <c r="B57" s="19" t="str">
        <f t="shared" si="18"/>
        <v>Banco Seguro</v>
      </c>
      <c r="C57" s="27">
        <f t="shared" si="21"/>
        <v>0</v>
      </c>
      <c r="D57" s="12">
        <f t="shared" si="26"/>
        <v>2E-3</v>
      </c>
      <c r="E57" s="17">
        <f t="shared" si="23"/>
        <v>200</v>
      </c>
      <c r="F57" s="16">
        <f>IFERROR(VLOOKUP(B57,'Simulação de Taxas - Quantitas'!$P$23:$S$41,4,FALSE)*J57,0)</f>
        <v>0</v>
      </c>
      <c r="G57" s="17">
        <f t="shared" si="24"/>
        <v>0</v>
      </c>
      <c r="H57" s="16">
        <v>0</v>
      </c>
      <c r="I57" s="17">
        <f t="shared" si="19"/>
        <v>0</v>
      </c>
      <c r="J57" s="18">
        <f t="shared" si="20"/>
        <v>2E-3</v>
      </c>
      <c r="K57" s="8">
        <f t="shared" si="27"/>
        <v>200</v>
      </c>
    </row>
    <row r="58" spans="2:11" x14ac:dyDescent="0.25">
      <c r="B58" s="19" t="str">
        <f t="shared" si="18"/>
        <v>CM Capital</v>
      </c>
      <c r="C58" s="27">
        <f t="shared" si="21"/>
        <v>0</v>
      </c>
      <c r="D58" s="12">
        <f t="shared" si="26"/>
        <v>2E-3</v>
      </c>
      <c r="E58" s="17">
        <f t="shared" si="23"/>
        <v>200</v>
      </c>
      <c r="F58" s="16">
        <f>IFERROR(VLOOKUP(B58,'Simulação de Taxas - Quantitas'!$P$23:$S$41,4,FALSE)*J58,0)</f>
        <v>0</v>
      </c>
      <c r="G58" s="17">
        <f t="shared" si="24"/>
        <v>0</v>
      </c>
      <c r="H58" s="16">
        <v>0</v>
      </c>
      <c r="I58" s="17">
        <f t="shared" si="19"/>
        <v>0</v>
      </c>
      <c r="J58" s="18">
        <f t="shared" si="20"/>
        <v>2E-3</v>
      </c>
      <c r="K58" s="8">
        <f t="shared" si="27"/>
        <v>200</v>
      </c>
    </row>
    <row r="59" spans="2:11" x14ac:dyDescent="0.25">
      <c r="B59" s="19" t="str">
        <f t="shared" si="18"/>
        <v>Galápagos Capital</v>
      </c>
      <c r="C59" s="27">
        <f t="shared" si="21"/>
        <v>0</v>
      </c>
      <c r="D59" s="12">
        <f t="shared" si="26"/>
        <v>2E-3</v>
      </c>
      <c r="E59" s="17">
        <f t="shared" si="23"/>
        <v>200</v>
      </c>
      <c r="F59" s="16">
        <f>IFERROR(VLOOKUP(B59,'Simulação de Taxas - Quantitas'!$P$23:$S$41,4,FALSE)*J59,0)</f>
        <v>0</v>
      </c>
      <c r="G59" s="17">
        <f t="shared" si="24"/>
        <v>0</v>
      </c>
      <c r="H59" s="16">
        <v>0</v>
      </c>
      <c r="I59" s="17">
        <f t="shared" si="19"/>
        <v>0</v>
      </c>
      <c r="J59" s="18">
        <f t="shared" si="20"/>
        <v>2E-3</v>
      </c>
      <c r="K59" s="8">
        <f t="shared" si="27"/>
        <v>200</v>
      </c>
    </row>
    <row r="60" spans="2:11" x14ac:dyDescent="0.25">
      <c r="B60" s="19" t="str">
        <f t="shared" si="18"/>
        <v>Genial</v>
      </c>
      <c r="C60" s="27">
        <f t="shared" si="21"/>
        <v>0</v>
      </c>
      <c r="D60" s="12">
        <f t="shared" si="22"/>
        <v>2E-3</v>
      </c>
      <c r="E60" s="17">
        <f t="shared" si="23"/>
        <v>200</v>
      </c>
      <c r="F60" s="16">
        <f>IFERROR(VLOOKUP(B60,'Simulação de Taxas - Quantitas'!$P$23:$S$41,4,FALSE)*J60,0)</f>
        <v>0</v>
      </c>
      <c r="G60" s="17">
        <f t="shared" si="24"/>
        <v>0</v>
      </c>
      <c r="H60" s="16">
        <v>0</v>
      </c>
      <c r="I60" s="17">
        <f t="shared" si="19"/>
        <v>0</v>
      </c>
      <c r="J60" s="18">
        <f t="shared" si="20"/>
        <v>2E-3</v>
      </c>
      <c r="K60" s="8">
        <f t="shared" si="25"/>
        <v>200</v>
      </c>
    </row>
    <row r="61" spans="2:11" x14ac:dyDescent="0.25">
      <c r="B61" s="19" t="str">
        <f t="shared" si="18"/>
        <v>Inter</v>
      </c>
      <c r="C61" s="27">
        <f t="shared" si="21"/>
        <v>0</v>
      </c>
      <c r="D61" s="12">
        <f t="shared" ref="D61:D62" si="28">J61-F61</f>
        <v>2E-3</v>
      </c>
      <c r="E61" s="17">
        <f t="shared" si="23"/>
        <v>200</v>
      </c>
      <c r="F61" s="16">
        <f>IFERROR(VLOOKUP(B61,'Simulação de Taxas - Quantitas'!$P$23:$S$41,4,FALSE)*J61,0)</f>
        <v>0</v>
      </c>
      <c r="G61" s="17">
        <f t="shared" si="24"/>
        <v>0</v>
      </c>
      <c r="H61" s="16">
        <v>0</v>
      </c>
      <c r="I61" s="17">
        <f t="shared" si="19"/>
        <v>0</v>
      </c>
      <c r="J61" s="18">
        <f t="shared" si="20"/>
        <v>2E-3</v>
      </c>
      <c r="K61" s="8">
        <f t="shared" ref="K61:K62" si="29">I61+G61+E61</f>
        <v>200</v>
      </c>
    </row>
    <row r="62" spans="2:11" x14ac:dyDescent="0.25">
      <c r="B62" s="19" t="str">
        <f t="shared" si="18"/>
        <v>Marsche</v>
      </c>
      <c r="C62" s="27">
        <f t="shared" si="21"/>
        <v>0</v>
      </c>
      <c r="D62" s="12">
        <f t="shared" si="28"/>
        <v>2E-3</v>
      </c>
      <c r="E62" s="17">
        <f t="shared" si="23"/>
        <v>200</v>
      </c>
      <c r="F62" s="16">
        <f>IFERROR(VLOOKUP(B62,'Simulação de Taxas - Quantitas'!$P$23:$S$41,4,FALSE)*J62,0)</f>
        <v>0</v>
      </c>
      <c r="G62" s="17">
        <f t="shared" si="24"/>
        <v>0</v>
      </c>
      <c r="H62" s="16">
        <v>0</v>
      </c>
      <c r="I62" s="17">
        <f t="shared" si="19"/>
        <v>0</v>
      </c>
      <c r="J62" s="18">
        <f t="shared" si="20"/>
        <v>2E-3</v>
      </c>
      <c r="K62" s="8">
        <f t="shared" si="29"/>
        <v>200</v>
      </c>
    </row>
    <row r="63" spans="2:11" x14ac:dyDescent="0.25">
      <c r="B63" s="19" t="str">
        <f t="shared" si="18"/>
        <v>Mirae</v>
      </c>
      <c r="C63" s="27">
        <f t="shared" si="21"/>
        <v>0</v>
      </c>
      <c r="D63" s="12">
        <f t="shared" ref="D63:D70" si="30">J63-F63</f>
        <v>2E-3</v>
      </c>
      <c r="E63" s="17">
        <f t="shared" si="23"/>
        <v>200</v>
      </c>
      <c r="F63" s="16">
        <f>IFERROR(VLOOKUP(B63,'Simulação de Taxas - Quantitas'!$P$23:$S$41,4,FALSE)*J63,0)</f>
        <v>0</v>
      </c>
      <c r="G63" s="17">
        <f t="shared" si="24"/>
        <v>0</v>
      </c>
      <c r="H63" s="16">
        <v>0</v>
      </c>
      <c r="I63" s="17">
        <f t="shared" si="19"/>
        <v>0</v>
      </c>
      <c r="J63" s="18">
        <f t="shared" si="20"/>
        <v>2E-3</v>
      </c>
      <c r="K63" s="8">
        <f t="shared" ref="K63:K70" si="31">I63+G63+E63</f>
        <v>200</v>
      </c>
    </row>
    <row r="64" spans="2:11" x14ac:dyDescent="0.25">
      <c r="B64" s="19" t="str">
        <f t="shared" si="18"/>
        <v>Nova Futura</v>
      </c>
      <c r="C64" s="27">
        <f t="shared" si="21"/>
        <v>0</v>
      </c>
      <c r="D64" s="12">
        <f t="shared" si="30"/>
        <v>2E-3</v>
      </c>
      <c r="E64" s="17">
        <f t="shared" si="23"/>
        <v>200</v>
      </c>
      <c r="F64" s="16">
        <f>IFERROR(VLOOKUP(B64,'Simulação de Taxas - Quantitas'!$P$23:$S$41,4,FALSE)*J64,0)</f>
        <v>0</v>
      </c>
      <c r="G64" s="17">
        <f t="shared" si="24"/>
        <v>0</v>
      </c>
      <c r="H64" s="16">
        <v>0</v>
      </c>
      <c r="I64" s="17">
        <f t="shared" si="19"/>
        <v>0</v>
      </c>
      <c r="J64" s="18">
        <f t="shared" si="20"/>
        <v>2E-3</v>
      </c>
      <c r="K64" s="8">
        <f t="shared" si="31"/>
        <v>200</v>
      </c>
    </row>
    <row r="65" spans="2:11" x14ac:dyDescent="0.25">
      <c r="B65" s="19" t="str">
        <f t="shared" si="18"/>
        <v>Nu Investimentos</v>
      </c>
      <c r="C65" s="27">
        <f t="shared" si="21"/>
        <v>0</v>
      </c>
      <c r="D65" s="12">
        <f t="shared" si="30"/>
        <v>2E-3</v>
      </c>
      <c r="E65" s="17">
        <f t="shared" si="23"/>
        <v>200</v>
      </c>
      <c r="F65" s="16">
        <f>IFERROR(VLOOKUP(B65,'Simulação de Taxas - Quantitas'!$P$23:$S$41,4,FALSE)*J65,0)</f>
        <v>0</v>
      </c>
      <c r="G65" s="17">
        <f t="shared" si="24"/>
        <v>0</v>
      </c>
      <c r="H65" s="16">
        <v>0</v>
      </c>
      <c r="I65" s="17">
        <f t="shared" si="19"/>
        <v>0</v>
      </c>
      <c r="J65" s="18">
        <f t="shared" si="20"/>
        <v>2E-3</v>
      </c>
      <c r="K65" s="8">
        <f t="shared" si="31"/>
        <v>200</v>
      </c>
    </row>
    <row r="66" spans="2:11" x14ac:dyDescent="0.25">
      <c r="B66" s="19" t="str">
        <f t="shared" si="18"/>
        <v>RB</v>
      </c>
      <c r="C66" s="27">
        <f t="shared" si="21"/>
        <v>0</v>
      </c>
      <c r="D66" s="12">
        <f t="shared" si="30"/>
        <v>2E-3</v>
      </c>
      <c r="E66" s="17">
        <f t="shared" si="23"/>
        <v>200</v>
      </c>
      <c r="F66" s="16">
        <f>IFERROR(VLOOKUP(B66,'Simulação de Taxas - Quantitas'!$P$23:$S$41,4,FALSE)*J66,0)</f>
        <v>0</v>
      </c>
      <c r="G66" s="17">
        <f t="shared" si="24"/>
        <v>0</v>
      </c>
      <c r="H66" s="16">
        <v>0</v>
      </c>
      <c r="I66" s="17">
        <f t="shared" si="19"/>
        <v>0</v>
      </c>
      <c r="J66" s="18">
        <f t="shared" si="20"/>
        <v>2E-3</v>
      </c>
      <c r="K66" s="8">
        <f t="shared" si="31"/>
        <v>200</v>
      </c>
    </row>
    <row r="67" spans="2:11" x14ac:dyDescent="0.25">
      <c r="B67" s="19" t="str">
        <f t="shared" si="18"/>
        <v>Renascença</v>
      </c>
      <c r="C67" s="27">
        <f t="shared" si="21"/>
        <v>0</v>
      </c>
      <c r="D67" s="12">
        <f t="shared" si="30"/>
        <v>2E-3</v>
      </c>
      <c r="E67" s="17">
        <f t="shared" si="23"/>
        <v>200</v>
      </c>
      <c r="F67" s="16">
        <f>IFERROR(VLOOKUP(B67,'Simulação de Taxas - Quantitas'!$P$23:$S$41,4,FALSE)*J67,0)</f>
        <v>0</v>
      </c>
      <c r="G67" s="17">
        <f t="shared" si="24"/>
        <v>0</v>
      </c>
      <c r="H67" s="16">
        <v>0</v>
      </c>
      <c r="I67" s="17">
        <f t="shared" si="19"/>
        <v>0</v>
      </c>
      <c r="J67" s="18">
        <f t="shared" si="20"/>
        <v>2E-3</v>
      </c>
      <c r="K67" s="8">
        <f t="shared" si="31"/>
        <v>200</v>
      </c>
    </row>
    <row r="68" spans="2:11" x14ac:dyDescent="0.25">
      <c r="B68" s="19" t="str">
        <f t="shared" si="18"/>
        <v>Terra</v>
      </c>
      <c r="C68" s="27">
        <f t="shared" si="21"/>
        <v>0</v>
      </c>
      <c r="D68" s="12">
        <f t="shared" si="30"/>
        <v>2E-3</v>
      </c>
      <c r="E68" s="17">
        <f t="shared" si="23"/>
        <v>200</v>
      </c>
      <c r="F68" s="16">
        <f>IFERROR(VLOOKUP(B68,'Simulação de Taxas - Quantitas'!$P$23:$S$41,4,FALSE)*J68,0)</f>
        <v>0</v>
      </c>
      <c r="G68" s="17">
        <f t="shared" si="24"/>
        <v>0</v>
      </c>
      <c r="H68" s="16">
        <v>0</v>
      </c>
      <c r="I68" s="17">
        <f t="shared" si="19"/>
        <v>0</v>
      </c>
      <c r="J68" s="18">
        <f t="shared" si="20"/>
        <v>2E-3</v>
      </c>
      <c r="K68" s="8">
        <f t="shared" si="31"/>
        <v>200</v>
      </c>
    </row>
    <row r="69" spans="2:11" x14ac:dyDescent="0.25">
      <c r="B69" s="19" t="str">
        <f t="shared" si="18"/>
        <v>Toro</v>
      </c>
      <c r="C69" s="27">
        <f t="shared" si="21"/>
        <v>0</v>
      </c>
      <c r="D69" s="12">
        <f t="shared" si="30"/>
        <v>2E-3</v>
      </c>
      <c r="E69" s="17">
        <f t="shared" si="23"/>
        <v>200</v>
      </c>
      <c r="F69" s="16">
        <f>IFERROR(VLOOKUP(B69,'Simulação de Taxas - Quantitas'!$P$23:$S$41,4,FALSE)*J69,0)</f>
        <v>0</v>
      </c>
      <c r="G69" s="17">
        <f t="shared" si="24"/>
        <v>0</v>
      </c>
      <c r="H69" s="16">
        <v>0</v>
      </c>
      <c r="I69" s="17">
        <f t="shared" si="19"/>
        <v>0</v>
      </c>
      <c r="J69" s="18">
        <f t="shared" si="20"/>
        <v>2E-3</v>
      </c>
      <c r="K69" s="8">
        <f t="shared" si="31"/>
        <v>200</v>
      </c>
    </row>
    <row r="70" spans="2:11" x14ac:dyDescent="0.25">
      <c r="B70" s="19" t="str">
        <f t="shared" si="18"/>
        <v>XP</v>
      </c>
      <c r="C70" s="27">
        <f t="shared" si="21"/>
        <v>0.3</v>
      </c>
      <c r="D70" s="12">
        <f t="shared" si="30"/>
        <v>1.4000000000000002E-3</v>
      </c>
      <c r="E70" s="17">
        <f t="shared" si="23"/>
        <v>140.00000000000003</v>
      </c>
      <c r="F70" s="16">
        <f>IFERROR(VLOOKUP(B70,'Simulação de Taxas - Quantitas'!$P$23:$S$41,4,FALSE)*J70,0)</f>
        <v>5.9999999999999995E-4</v>
      </c>
      <c r="G70" s="17">
        <f t="shared" si="24"/>
        <v>59.999999999999993</v>
      </c>
      <c r="H70" s="16">
        <v>0</v>
      </c>
      <c r="I70" s="17">
        <f t="shared" si="19"/>
        <v>0</v>
      </c>
      <c r="J70" s="18">
        <f t="shared" si="20"/>
        <v>2E-3</v>
      </c>
      <c r="K70" s="8">
        <f t="shared" si="31"/>
        <v>200.00000000000003</v>
      </c>
    </row>
    <row r="71" spans="2:11" x14ac:dyDescent="0.25">
      <c r="B71" s="1"/>
      <c r="C71" s="1"/>
      <c r="D71" s="2"/>
      <c r="E71" s="1"/>
      <c r="F71" s="1"/>
      <c r="G71" s="1"/>
      <c r="H71" s="1"/>
      <c r="I71" s="1"/>
      <c r="J71" s="1"/>
      <c r="K71" s="1"/>
    </row>
    <row r="72" spans="2:11" x14ac:dyDescent="0.25">
      <c r="B72" s="1"/>
      <c r="C72" s="1"/>
      <c r="D72" s="2"/>
      <c r="E72" s="1"/>
      <c r="F72" s="1"/>
      <c r="G72" s="1"/>
      <c r="H72" s="1"/>
      <c r="I72" s="1"/>
      <c r="J72" s="1"/>
      <c r="K72" s="1"/>
    </row>
    <row r="73" spans="2:11" x14ac:dyDescent="0.25">
      <c r="B73" s="20" t="s">
        <v>13</v>
      </c>
      <c r="C73" s="9"/>
      <c r="D73" s="51" t="s">
        <v>8</v>
      </c>
      <c r="E73" s="52"/>
      <c r="F73" s="53" t="s">
        <v>11</v>
      </c>
      <c r="G73" s="52"/>
      <c r="H73" s="53" t="s">
        <v>12</v>
      </c>
      <c r="I73" s="52"/>
      <c r="J73" s="54" t="s">
        <v>13</v>
      </c>
      <c r="K73" s="51"/>
    </row>
    <row r="74" spans="2:11" x14ac:dyDescent="0.25">
      <c r="B74" s="9"/>
      <c r="C74" s="9"/>
      <c r="D74" s="7" t="s">
        <v>9</v>
      </c>
      <c r="E74" s="15" t="s">
        <v>10</v>
      </c>
      <c r="F74" s="14" t="s">
        <v>9</v>
      </c>
      <c r="G74" s="15" t="s">
        <v>10</v>
      </c>
      <c r="H74" s="14" t="s">
        <v>9</v>
      </c>
      <c r="I74" s="15" t="s">
        <v>10</v>
      </c>
      <c r="J74" s="13" t="s">
        <v>9</v>
      </c>
      <c r="K74" s="6" t="s">
        <v>10</v>
      </c>
    </row>
    <row r="75" spans="2:11" x14ac:dyDescent="0.25">
      <c r="B75" s="28" t="str">
        <f t="shared" ref="B75:B99" si="32">B46</f>
        <v>Ailos - Transpocred</v>
      </c>
      <c r="C75" s="29"/>
      <c r="D75" s="12">
        <f t="shared" ref="D75:D99" si="33">E75/$K$9</f>
        <v>1.41E-2</v>
      </c>
      <c r="E75" s="17">
        <f t="shared" ref="E75:E99" si="34">E17+E46</f>
        <v>1410</v>
      </c>
      <c r="F75" s="16">
        <f t="shared" ref="F75:F99" si="35">G75/$K$9</f>
        <v>5.3999999999999986E-3</v>
      </c>
      <c r="G75" s="17">
        <f t="shared" ref="G75:G99" si="36">G17+G46</f>
        <v>539.99999999999989</v>
      </c>
      <c r="H75" s="16">
        <f t="shared" ref="H75:H99" si="37">I75/$K$9</f>
        <v>5.0000000000000001E-4</v>
      </c>
      <c r="I75" s="17">
        <f t="shared" ref="I75:I99" si="38">I17+I46</f>
        <v>50</v>
      </c>
      <c r="J75" s="18">
        <f>H75+F75+D75</f>
        <v>1.9999999999999997E-2</v>
      </c>
      <c r="K75" s="8">
        <f>I75+G75+E75</f>
        <v>2000</v>
      </c>
    </row>
    <row r="76" spans="2:11" x14ac:dyDescent="0.25">
      <c r="B76" s="28" t="str">
        <f t="shared" si="32"/>
        <v>Ailos - Credcrea</v>
      </c>
      <c r="C76" s="29"/>
      <c r="D76" s="12">
        <f t="shared" si="33"/>
        <v>1.41E-2</v>
      </c>
      <c r="E76" s="17">
        <f t="shared" si="34"/>
        <v>1410</v>
      </c>
      <c r="F76" s="16">
        <f t="shared" si="35"/>
        <v>5.3999999999999986E-3</v>
      </c>
      <c r="G76" s="17">
        <f t="shared" si="36"/>
        <v>539.99999999999989</v>
      </c>
      <c r="H76" s="16">
        <f t="shared" si="37"/>
        <v>5.0000000000000001E-4</v>
      </c>
      <c r="I76" s="17">
        <f t="shared" si="38"/>
        <v>50</v>
      </c>
      <c r="J76" s="18">
        <f t="shared" ref="J76:J95" si="39">H76+F76+D76</f>
        <v>1.9999999999999997E-2</v>
      </c>
      <c r="K76" s="8">
        <f t="shared" ref="K76:K95" si="40">I76+G76+E76</f>
        <v>2000</v>
      </c>
    </row>
    <row r="77" spans="2:11" x14ac:dyDescent="0.25">
      <c r="B77" s="28" t="str">
        <f t="shared" si="32"/>
        <v>Ailos - Evolua</v>
      </c>
      <c r="C77" s="29"/>
      <c r="D77" s="12">
        <f t="shared" si="33"/>
        <v>1.41E-2</v>
      </c>
      <c r="E77" s="17">
        <f t="shared" si="34"/>
        <v>1410</v>
      </c>
      <c r="F77" s="16">
        <f t="shared" si="35"/>
        <v>5.3999999999999986E-3</v>
      </c>
      <c r="G77" s="17">
        <f t="shared" si="36"/>
        <v>539.99999999999989</v>
      </c>
      <c r="H77" s="16">
        <f t="shared" si="37"/>
        <v>5.0000000000000001E-4</v>
      </c>
      <c r="I77" s="17">
        <f t="shared" si="38"/>
        <v>50</v>
      </c>
      <c r="J77" s="18">
        <f t="shared" si="39"/>
        <v>1.9999999999999997E-2</v>
      </c>
      <c r="K77" s="8">
        <f t="shared" si="40"/>
        <v>2000</v>
      </c>
    </row>
    <row r="78" spans="2:11" x14ac:dyDescent="0.25">
      <c r="B78" s="28" t="str">
        <f t="shared" si="32"/>
        <v>Ailos - Viacredi</v>
      </c>
      <c r="C78" s="29"/>
      <c r="D78" s="12">
        <f t="shared" si="33"/>
        <v>1.41E-2</v>
      </c>
      <c r="E78" s="17">
        <f t="shared" si="34"/>
        <v>1410</v>
      </c>
      <c r="F78" s="16">
        <f t="shared" si="35"/>
        <v>5.3999999999999986E-3</v>
      </c>
      <c r="G78" s="17">
        <f t="shared" si="36"/>
        <v>539.99999999999989</v>
      </c>
      <c r="H78" s="16">
        <f t="shared" si="37"/>
        <v>5.0000000000000001E-4</v>
      </c>
      <c r="I78" s="17">
        <f t="shared" si="38"/>
        <v>50</v>
      </c>
      <c r="J78" s="18">
        <f t="shared" si="39"/>
        <v>1.9999999999999997E-2</v>
      </c>
      <c r="K78" s="8">
        <f t="shared" si="40"/>
        <v>2000</v>
      </c>
    </row>
    <row r="79" spans="2:11" x14ac:dyDescent="0.25">
      <c r="B79" s="28" t="str">
        <f t="shared" si="32"/>
        <v>Ativa Investimentos</v>
      </c>
      <c r="C79" s="29"/>
      <c r="D79" s="12">
        <f t="shared" si="33"/>
        <v>1.41E-2</v>
      </c>
      <c r="E79" s="17">
        <f t="shared" si="34"/>
        <v>1410</v>
      </c>
      <c r="F79" s="16">
        <f t="shared" si="35"/>
        <v>5.3999999999999986E-3</v>
      </c>
      <c r="G79" s="17">
        <f t="shared" si="36"/>
        <v>539.99999999999989</v>
      </c>
      <c r="H79" s="16">
        <f t="shared" si="37"/>
        <v>5.0000000000000001E-4</v>
      </c>
      <c r="I79" s="17">
        <f t="shared" si="38"/>
        <v>50</v>
      </c>
      <c r="J79" s="18">
        <f t="shared" si="39"/>
        <v>1.9999999999999997E-2</v>
      </c>
      <c r="K79" s="8">
        <f t="shared" si="40"/>
        <v>2000</v>
      </c>
    </row>
    <row r="80" spans="2:11" x14ac:dyDescent="0.25">
      <c r="B80" s="28" t="str">
        <f t="shared" si="32"/>
        <v>Azimut</v>
      </c>
      <c r="C80" s="29"/>
      <c r="D80" s="12">
        <f t="shared" si="33"/>
        <v>1.41E-2</v>
      </c>
      <c r="E80" s="17">
        <f t="shared" si="34"/>
        <v>1410</v>
      </c>
      <c r="F80" s="16">
        <f t="shared" si="35"/>
        <v>5.3999999999999986E-3</v>
      </c>
      <c r="G80" s="17">
        <f t="shared" si="36"/>
        <v>539.99999999999989</v>
      </c>
      <c r="H80" s="16">
        <f t="shared" si="37"/>
        <v>5.0000000000000001E-4</v>
      </c>
      <c r="I80" s="17">
        <f t="shared" si="38"/>
        <v>50</v>
      </c>
      <c r="J80" s="18">
        <f t="shared" si="39"/>
        <v>1.9999999999999997E-2</v>
      </c>
      <c r="K80" s="8">
        <f t="shared" si="40"/>
        <v>2000</v>
      </c>
    </row>
    <row r="81" spans="2:11" x14ac:dyDescent="0.25">
      <c r="B81" s="28" t="str">
        <f t="shared" si="32"/>
        <v>Banco Andbank</v>
      </c>
      <c r="C81" s="29"/>
      <c r="D81" s="12">
        <f t="shared" si="33"/>
        <v>1.41E-2</v>
      </c>
      <c r="E81" s="17">
        <f t="shared" si="34"/>
        <v>1410</v>
      </c>
      <c r="F81" s="16">
        <f t="shared" si="35"/>
        <v>5.3999999999999986E-3</v>
      </c>
      <c r="G81" s="17">
        <f t="shared" si="36"/>
        <v>539.99999999999989</v>
      </c>
      <c r="H81" s="16">
        <f t="shared" si="37"/>
        <v>5.0000000000000001E-4</v>
      </c>
      <c r="I81" s="17">
        <f t="shared" si="38"/>
        <v>50</v>
      </c>
      <c r="J81" s="18">
        <f t="shared" si="39"/>
        <v>1.9999999999999997E-2</v>
      </c>
      <c r="K81" s="8">
        <f t="shared" si="40"/>
        <v>2000</v>
      </c>
    </row>
    <row r="82" spans="2:11" x14ac:dyDescent="0.25">
      <c r="B82" s="28" t="str">
        <f t="shared" si="32"/>
        <v>Banco BTG</v>
      </c>
      <c r="C82" s="29"/>
      <c r="D82" s="12">
        <f t="shared" si="33"/>
        <v>1.2299999999999998E-2</v>
      </c>
      <c r="E82" s="17">
        <f t="shared" si="34"/>
        <v>1229.9999999999998</v>
      </c>
      <c r="F82" s="16">
        <f t="shared" si="35"/>
        <v>7.1999999999999998E-3</v>
      </c>
      <c r="G82" s="17">
        <f t="shared" si="36"/>
        <v>720</v>
      </c>
      <c r="H82" s="16">
        <f t="shared" si="37"/>
        <v>5.0000000000000001E-4</v>
      </c>
      <c r="I82" s="17">
        <f t="shared" si="38"/>
        <v>50</v>
      </c>
      <c r="J82" s="18">
        <f t="shared" si="39"/>
        <v>1.9999999999999997E-2</v>
      </c>
      <c r="K82" s="8">
        <f t="shared" si="40"/>
        <v>1999.9999999999998</v>
      </c>
    </row>
    <row r="83" spans="2:11" x14ac:dyDescent="0.25">
      <c r="B83" s="28" t="str">
        <f t="shared" si="32"/>
        <v>Banco C6</v>
      </c>
      <c r="C83" s="29"/>
      <c r="D83" s="12">
        <f t="shared" si="33"/>
        <v>1.41E-2</v>
      </c>
      <c r="E83" s="17">
        <f t="shared" si="34"/>
        <v>1410</v>
      </c>
      <c r="F83" s="16">
        <f t="shared" si="35"/>
        <v>5.3999999999999986E-3</v>
      </c>
      <c r="G83" s="17">
        <f t="shared" si="36"/>
        <v>539.99999999999989</v>
      </c>
      <c r="H83" s="16">
        <f t="shared" si="37"/>
        <v>5.0000000000000001E-4</v>
      </c>
      <c r="I83" s="17">
        <f t="shared" si="38"/>
        <v>50</v>
      </c>
      <c r="J83" s="18">
        <f t="shared" si="39"/>
        <v>1.9999999999999997E-2</v>
      </c>
      <c r="K83" s="8">
        <f t="shared" si="40"/>
        <v>2000</v>
      </c>
    </row>
    <row r="84" spans="2:11" x14ac:dyDescent="0.25">
      <c r="B84" s="28" t="str">
        <f t="shared" si="32"/>
        <v>Banco Daycoval</v>
      </c>
      <c r="C84" s="29"/>
      <c r="D84" s="12">
        <f t="shared" si="33"/>
        <v>1.41E-2</v>
      </c>
      <c r="E84" s="17">
        <f t="shared" si="34"/>
        <v>1410</v>
      </c>
      <c r="F84" s="16">
        <f t="shared" si="35"/>
        <v>5.3999999999999986E-3</v>
      </c>
      <c r="G84" s="17">
        <f t="shared" si="36"/>
        <v>539.99999999999989</v>
      </c>
      <c r="H84" s="16">
        <f t="shared" si="37"/>
        <v>5.0000000000000001E-4</v>
      </c>
      <c r="I84" s="17">
        <f t="shared" si="38"/>
        <v>50</v>
      </c>
      <c r="J84" s="18">
        <f t="shared" si="39"/>
        <v>1.9999999999999997E-2</v>
      </c>
      <c r="K84" s="8">
        <f t="shared" si="40"/>
        <v>2000</v>
      </c>
    </row>
    <row r="85" spans="2:11" x14ac:dyDescent="0.25">
      <c r="B85" s="28" t="str">
        <f t="shared" si="32"/>
        <v>Banco Safra</v>
      </c>
      <c r="C85" s="29"/>
      <c r="D85" s="12">
        <f t="shared" si="33"/>
        <v>1.41E-2</v>
      </c>
      <c r="E85" s="17">
        <f t="shared" si="34"/>
        <v>1410</v>
      </c>
      <c r="F85" s="16">
        <f t="shared" si="35"/>
        <v>5.3999999999999986E-3</v>
      </c>
      <c r="G85" s="17">
        <f t="shared" si="36"/>
        <v>539.99999999999989</v>
      </c>
      <c r="H85" s="16">
        <f t="shared" si="37"/>
        <v>5.0000000000000001E-4</v>
      </c>
      <c r="I85" s="17">
        <f t="shared" si="38"/>
        <v>50</v>
      </c>
      <c r="J85" s="18">
        <f t="shared" si="39"/>
        <v>1.9999999999999997E-2</v>
      </c>
      <c r="K85" s="8">
        <f t="shared" si="40"/>
        <v>2000</v>
      </c>
    </row>
    <row r="86" spans="2:11" x14ac:dyDescent="0.25">
      <c r="B86" s="28" t="str">
        <f t="shared" si="32"/>
        <v>Banco Seguro</v>
      </c>
      <c r="C86" s="29"/>
      <c r="D86" s="12">
        <f t="shared" si="33"/>
        <v>1.41E-2</v>
      </c>
      <c r="E86" s="17">
        <f t="shared" si="34"/>
        <v>1410</v>
      </c>
      <c r="F86" s="16">
        <f t="shared" si="35"/>
        <v>5.3999999999999986E-3</v>
      </c>
      <c r="G86" s="17">
        <f t="shared" si="36"/>
        <v>539.99999999999989</v>
      </c>
      <c r="H86" s="16">
        <f t="shared" si="37"/>
        <v>5.0000000000000001E-4</v>
      </c>
      <c r="I86" s="17">
        <f t="shared" si="38"/>
        <v>50</v>
      </c>
      <c r="J86" s="18">
        <f t="shared" si="39"/>
        <v>1.9999999999999997E-2</v>
      </c>
      <c r="K86" s="8">
        <f t="shared" si="40"/>
        <v>2000</v>
      </c>
    </row>
    <row r="87" spans="2:11" x14ac:dyDescent="0.25">
      <c r="B87" s="28" t="str">
        <f t="shared" si="32"/>
        <v>CM Capital</v>
      </c>
      <c r="C87" s="29"/>
      <c r="D87" s="12">
        <f t="shared" si="33"/>
        <v>1.41E-2</v>
      </c>
      <c r="E87" s="17">
        <f t="shared" si="34"/>
        <v>1410</v>
      </c>
      <c r="F87" s="16">
        <f t="shared" si="35"/>
        <v>5.3999999999999986E-3</v>
      </c>
      <c r="G87" s="17">
        <f t="shared" si="36"/>
        <v>539.99999999999989</v>
      </c>
      <c r="H87" s="16">
        <f t="shared" si="37"/>
        <v>5.0000000000000001E-4</v>
      </c>
      <c r="I87" s="17">
        <f t="shared" si="38"/>
        <v>50</v>
      </c>
      <c r="J87" s="18">
        <f t="shared" si="39"/>
        <v>1.9999999999999997E-2</v>
      </c>
      <c r="K87" s="8">
        <f t="shared" si="40"/>
        <v>2000</v>
      </c>
    </row>
    <row r="88" spans="2:11" x14ac:dyDescent="0.25">
      <c r="B88" s="28" t="str">
        <f t="shared" si="32"/>
        <v>Galápagos Capital</v>
      </c>
      <c r="C88" s="29"/>
      <c r="D88" s="12">
        <f t="shared" si="33"/>
        <v>1.41E-2</v>
      </c>
      <c r="E88" s="17">
        <f t="shared" si="34"/>
        <v>1410</v>
      </c>
      <c r="F88" s="16">
        <f t="shared" si="35"/>
        <v>5.3999999999999986E-3</v>
      </c>
      <c r="G88" s="17">
        <f t="shared" si="36"/>
        <v>539.99999999999989</v>
      </c>
      <c r="H88" s="16">
        <f t="shared" si="37"/>
        <v>5.0000000000000001E-4</v>
      </c>
      <c r="I88" s="17">
        <f t="shared" si="38"/>
        <v>50</v>
      </c>
      <c r="J88" s="18">
        <f t="shared" si="39"/>
        <v>1.9999999999999997E-2</v>
      </c>
      <c r="K88" s="8">
        <f t="shared" si="40"/>
        <v>2000</v>
      </c>
    </row>
    <row r="89" spans="2:11" x14ac:dyDescent="0.25">
      <c r="B89" s="28" t="str">
        <f t="shared" si="32"/>
        <v>Genial</v>
      </c>
      <c r="C89" s="29"/>
      <c r="D89" s="12">
        <f t="shared" si="33"/>
        <v>1.41E-2</v>
      </c>
      <c r="E89" s="17">
        <f t="shared" si="34"/>
        <v>1410</v>
      </c>
      <c r="F89" s="16">
        <f t="shared" si="35"/>
        <v>5.3999999999999986E-3</v>
      </c>
      <c r="G89" s="17">
        <f t="shared" si="36"/>
        <v>539.99999999999989</v>
      </c>
      <c r="H89" s="16">
        <f t="shared" si="37"/>
        <v>5.0000000000000001E-4</v>
      </c>
      <c r="I89" s="17">
        <f t="shared" si="38"/>
        <v>50</v>
      </c>
      <c r="J89" s="18">
        <f t="shared" si="39"/>
        <v>1.9999999999999997E-2</v>
      </c>
      <c r="K89" s="8">
        <f t="shared" si="40"/>
        <v>2000</v>
      </c>
    </row>
    <row r="90" spans="2:11" x14ac:dyDescent="0.25">
      <c r="B90" s="28" t="str">
        <f t="shared" si="32"/>
        <v>Inter</v>
      </c>
      <c r="C90" s="29"/>
      <c r="D90" s="12">
        <f t="shared" si="33"/>
        <v>1.41E-2</v>
      </c>
      <c r="E90" s="17">
        <f t="shared" si="34"/>
        <v>1410</v>
      </c>
      <c r="F90" s="16">
        <f t="shared" si="35"/>
        <v>5.3999999999999986E-3</v>
      </c>
      <c r="G90" s="17">
        <f t="shared" si="36"/>
        <v>539.99999999999989</v>
      </c>
      <c r="H90" s="16">
        <f t="shared" si="37"/>
        <v>5.0000000000000001E-4</v>
      </c>
      <c r="I90" s="17">
        <f t="shared" si="38"/>
        <v>50</v>
      </c>
      <c r="J90" s="18">
        <f t="shared" si="39"/>
        <v>1.9999999999999997E-2</v>
      </c>
      <c r="K90" s="8">
        <f t="shared" si="40"/>
        <v>2000</v>
      </c>
    </row>
    <row r="91" spans="2:11" x14ac:dyDescent="0.25">
      <c r="B91" s="28" t="str">
        <f t="shared" si="32"/>
        <v>Marsche</v>
      </c>
      <c r="C91" s="29"/>
      <c r="D91" s="12">
        <f t="shared" si="33"/>
        <v>1.41E-2</v>
      </c>
      <c r="E91" s="17">
        <f t="shared" si="34"/>
        <v>1410</v>
      </c>
      <c r="F91" s="16">
        <f t="shared" si="35"/>
        <v>5.3999999999999986E-3</v>
      </c>
      <c r="G91" s="17">
        <f t="shared" si="36"/>
        <v>539.99999999999989</v>
      </c>
      <c r="H91" s="16">
        <f t="shared" si="37"/>
        <v>5.0000000000000001E-4</v>
      </c>
      <c r="I91" s="17">
        <f t="shared" si="38"/>
        <v>50</v>
      </c>
      <c r="J91" s="18">
        <f t="shared" si="39"/>
        <v>1.9999999999999997E-2</v>
      </c>
      <c r="K91" s="8">
        <f t="shared" si="40"/>
        <v>2000</v>
      </c>
    </row>
    <row r="92" spans="2:11" x14ac:dyDescent="0.25">
      <c r="B92" s="28" t="str">
        <f t="shared" si="32"/>
        <v>Mirae</v>
      </c>
      <c r="C92" s="29"/>
      <c r="D92" s="12">
        <f t="shared" si="33"/>
        <v>1.41E-2</v>
      </c>
      <c r="E92" s="17">
        <f t="shared" si="34"/>
        <v>1410</v>
      </c>
      <c r="F92" s="16">
        <f t="shared" si="35"/>
        <v>5.3999999999999986E-3</v>
      </c>
      <c r="G92" s="17">
        <f t="shared" si="36"/>
        <v>539.99999999999989</v>
      </c>
      <c r="H92" s="16">
        <f t="shared" si="37"/>
        <v>5.0000000000000001E-4</v>
      </c>
      <c r="I92" s="17">
        <f t="shared" si="38"/>
        <v>50</v>
      </c>
      <c r="J92" s="18">
        <f t="shared" si="39"/>
        <v>1.9999999999999997E-2</v>
      </c>
      <c r="K92" s="8">
        <f t="shared" si="40"/>
        <v>2000</v>
      </c>
    </row>
    <row r="93" spans="2:11" x14ac:dyDescent="0.25">
      <c r="B93" s="28" t="str">
        <f t="shared" si="32"/>
        <v>Nova Futura</v>
      </c>
      <c r="C93" s="29"/>
      <c r="D93" s="12">
        <f t="shared" si="33"/>
        <v>1.41E-2</v>
      </c>
      <c r="E93" s="17">
        <f t="shared" si="34"/>
        <v>1410</v>
      </c>
      <c r="F93" s="16">
        <f t="shared" si="35"/>
        <v>5.3999999999999986E-3</v>
      </c>
      <c r="G93" s="17">
        <f t="shared" si="36"/>
        <v>539.99999999999989</v>
      </c>
      <c r="H93" s="16">
        <f t="shared" si="37"/>
        <v>5.0000000000000001E-4</v>
      </c>
      <c r="I93" s="17">
        <f t="shared" si="38"/>
        <v>50</v>
      </c>
      <c r="J93" s="18">
        <f t="shared" si="39"/>
        <v>1.9999999999999997E-2</v>
      </c>
      <c r="K93" s="8">
        <f t="shared" si="40"/>
        <v>2000</v>
      </c>
    </row>
    <row r="94" spans="2:11" x14ac:dyDescent="0.25">
      <c r="B94" s="28" t="str">
        <f t="shared" si="32"/>
        <v>Nu Investimentos</v>
      </c>
      <c r="C94" s="29"/>
      <c r="D94" s="12">
        <f t="shared" si="33"/>
        <v>1.2299999999999998E-2</v>
      </c>
      <c r="E94" s="17">
        <f t="shared" si="34"/>
        <v>1229.9999999999998</v>
      </c>
      <c r="F94" s="16">
        <f t="shared" si="35"/>
        <v>7.1999999999999998E-3</v>
      </c>
      <c r="G94" s="17">
        <f t="shared" si="36"/>
        <v>720</v>
      </c>
      <c r="H94" s="16">
        <f t="shared" si="37"/>
        <v>5.0000000000000001E-4</v>
      </c>
      <c r="I94" s="17">
        <f t="shared" si="38"/>
        <v>50</v>
      </c>
      <c r="J94" s="18">
        <f t="shared" si="39"/>
        <v>1.9999999999999997E-2</v>
      </c>
      <c r="K94" s="8">
        <f t="shared" si="40"/>
        <v>1999.9999999999998</v>
      </c>
    </row>
    <row r="95" spans="2:11" x14ac:dyDescent="0.25">
      <c r="B95" s="28" t="str">
        <f t="shared" si="32"/>
        <v>RB</v>
      </c>
      <c r="C95" s="29"/>
      <c r="D95" s="12">
        <f t="shared" si="33"/>
        <v>1.41E-2</v>
      </c>
      <c r="E95" s="17">
        <f t="shared" si="34"/>
        <v>1410</v>
      </c>
      <c r="F95" s="16">
        <f t="shared" si="35"/>
        <v>5.3999999999999986E-3</v>
      </c>
      <c r="G95" s="17">
        <f t="shared" si="36"/>
        <v>539.99999999999989</v>
      </c>
      <c r="H95" s="16">
        <f t="shared" si="37"/>
        <v>5.0000000000000001E-4</v>
      </c>
      <c r="I95" s="17">
        <f t="shared" si="38"/>
        <v>50</v>
      </c>
      <c r="J95" s="18">
        <f t="shared" si="39"/>
        <v>1.9999999999999997E-2</v>
      </c>
      <c r="K95" s="8">
        <f t="shared" si="40"/>
        <v>2000</v>
      </c>
    </row>
    <row r="96" spans="2:11" x14ac:dyDescent="0.25">
      <c r="B96" s="28" t="str">
        <f t="shared" si="32"/>
        <v>Renascença</v>
      </c>
      <c r="C96" s="29"/>
      <c r="D96" s="12">
        <f t="shared" si="33"/>
        <v>1.41E-2</v>
      </c>
      <c r="E96" s="17">
        <f t="shared" si="34"/>
        <v>1410</v>
      </c>
      <c r="F96" s="16">
        <f t="shared" si="35"/>
        <v>5.3999999999999986E-3</v>
      </c>
      <c r="G96" s="17">
        <f t="shared" si="36"/>
        <v>539.99999999999989</v>
      </c>
      <c r="H96" s="16">
        <f t="shared" si="37"/>
        <v>5.0000000000000001E-4</v>
      </c>
      <c r="I96" s="17">
        <f t="shared" si="38"/>
        <v>50</v>
      </c>
      <c r="J96" s="18">
        <f t="shared" ref="J96:J99" si="41">H96+F96+D96</f>
        <v>1.9999999999999997E-2</v>
      </c>
      <c r="K96" s="8">
        <f t="shared" ref="K96:K99" si="42">I96+G96+E96</f>
        <v>2000</v>
      </c>
    </row>
    <row r="97" spans="2:11" x14ac:dyDescent="0.25">
      <c r="B97" s="28" t="str">
        <f t="shared" si="32"/>
        <v>Terra</v>
      </c>
      <c r="C97" s="29"/>
      <c r="D97" s="12">
        <f t="shared" si="33"/>
        <v>1.41E-2</v>
      </c>
      <c r="E97" s="17">
        <f t="shared" si="34"/>
        <v>1410</v>
      </c>
      <c r="F97" s="16">
        <f t="shared" si="35"/>
        <v>5.3999999999999986E-3</v>
      </c>
      <c r="G97" s="17">
        <f t="shared" si="36"/>
        <v>539.99999999999989</v>
      </c>
      <c r="H97" s="16">
        <f t="shared" si="37"/>
        <v>5.0000000000000001E-4</v>
      </c>
      <c r="I97" s="17">
        <f t="shared" si="38"/>
        <v>50</v>
      </c>
      <c r="J97" s="18">
        <f t="shared" si="41"/>
        <v>1.9999999999999997E-2</v>
      </c>
      <c r="K97" s="8">
        <f t="shared" si="42"/>
        <v>2000</v>
      </c>
    </row>
    <row r="98" spans="2:11" x14ac:dyDescent="0.25">
      <c r="B98" s="28" t="str">
        <f t="shared" si="32"/>
        <v>Toro</v>
      </c>
      <c r="C98" s="29"/>
      <c r="D98" s="12">
        <f t="shared" si="33"/>
        <v>1.41E-2</v>
      </c>
      <c r="E98" s="17">
        <f t="shared" si="34"/>
        <v>1410</v>
      </c>
      <c r="F98" s="16">
        <f t="shared" si="35"/>
        <v>5.3999999999999986E-3</v>
      </c>
      <c r="G98" s="17">
        <f t="shared" si="36"/>
        <v>539.99999999999989</v>
      </c>
      <c r="H98" s="16">
        <f t="shared" si="37"/>
        <v>5.0000000000000001E-4</v>
      </c>
      <c r="I98" s="17">
        <f t="shared" si="38"/>
        <v>50</v>
      </c>
      <c r="J98" s="18">
        <f t="shared" si="41"/>
        <v>1.9999999999999997E-2</v>
      </c>
      <c r="K98" s="8">
        <f t="shared" si="42"/>
        <v>2000</v>
      </c>
    </row>
    <row r="99" spans="2:11" x14ac:dyDescent="0.25">
      <c r="B99" s="28" t="str">
        <f t="shared" si="32"/>
        <v>XP</v>
      </c>
      <c r="C99" s="29"/>
      <c r="D99" s="12">
        <f t="shared" si="33"/>
        <v>9.7199999999999995E-3</v>
      </c>
      <c r="E99" s="17">
        <f t="shared" si="34"/>
        <v>971.99999999999989</v>
      </c>
      <c r="F99" s="16">
        <f t="shared" si="35"/>
        <v>9.7799999999999988E-3</v>
      </c>
      <c r="G99" s="17">
        <f t="shared" si="36"/>
        <v>977.99999999999989</v>
      </c>
      <c r="H99" s="16">
        <f t="shared" si="37"/>
        <v>5.0000000000000001E-4</v>
      </c>
      <c r="I99" s="17">
        <f t="shared" si="38"/>
        <v>50</v>
      </c>
      <c r="J99" s="18">
        <f t="shared" si="41"/>
        <v>1.9999999999999997E-2</v>
      </c>
      <c r="K99" s="8">
        <f t="shared" si="42"/>
        <v>2000</v>
      </c>
    </row>
    <row r="100" spans="2:11" x14ac:dyDescent="0.25"/>
    <row r="101" spans="2:11" x14ac:dyDescent="0.25"/>
    <row r="1048570" spans="4:4" s="1" customFormat="1" hidden="1" x14ac:dyDescent="0.25">
      <c r="D1048570" s="2"/>
    </row>
    <row r="1048571" spans="4:4" s="1" customFormat="1" hidden="1" x14ac:dyDescent="0.25">
      <c r="D1048571" s="2"/>
    </row>
  </sheetData>
  <sheetProtection algorithmName="SHA-512" hashValue="1UhH/AvG+loYg5yvZHB64SwQ1ZUzsDsTa0eIJM4h1JBy4B/4JbURwpsxGa66GNQrQZ/JnPRS/q53lbpMb0qtZA==" saltValue="gFgSthEiqdYhTOkJVCEQmw==" spinCount="100000" sheet="1" objects="1" scenarios="1" selectLockedCells="1"/>
  <mergeCells count="18">
    <mergeCell ref="J73:K73"/>
    <mergeCell ref="D44:E44"/>
    <mergeCell ref="F44:G44"/>
    <mergeCell ref="H44:I44"/>
    <mergeCell ref="J44:K44"/>
    <mergeCell ref="D73:E73"/>
    <mergeCell ref="F73:G73"/>
    <mergeCell ref="H73:I73"/>
    <mergeCell ref="C6:K6"/>
    <mergeCell ref="B13:K13"/>
    <mergeCell ref="D15:E15"/>
    <mergeCell ref="F15:G15"/>
    <mergeCell ref="H15:I15"/>
    <mergeCell ref="J15:K15"/>
    <mergeCell ref="I8:K8"/>
    <mergeCell ref="I11:J11"/>
    <mergeCell ref="I9:J9"/>
    <mergeCell ref="I10:J10"/>
  </mergeCells>
  <conditionalFormatting sqref="P6">
    <cfRule type="expression" dxfId="3" priority="5" stopIfTrue="1">
      <formula>$S6="ok"</formula>
    </cfRule>
    <cfRule type="expression" dxfId="2" priority="6">
      <formula>$T6="ok"</formula>
    </cfRule>
  </conditionalFormatting>
  <conditionalFormatting sqref="P7">
    <cfRule type="expression" dxfId="1" priority="7" stopIfTrue="1">
      <formula>$S9="ok"</formula>
    </cfRule>
    <cfRule type="expression" dxfId="0" priority="8">
      <formula>$T9="ok"</formula>
    </cfRule>
  </conditionalFormatting>
  <dataValidations count="1">
    <dataValidation type="list" allowBlank="1" showInputMessage="1" showErrorMessage="1" sqref="C6:K6" xr:uid="{4A582260-C239-4AF9-A331-9D1BEE5548DE}">
      <formula1>$P$6:$P$10</formula1>
    </dataValidation>
  </dataValidations>
  <pageMargins left="0.511811024" right="0.511811024" top="0.78740157499999996" bottom="0.78740157499999996" header="0.31496062000000002" footer="0.31496062000000002"/>
  <pageSetup paperSize="9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f5b8ada-282a-4384-870b-e0f04a2cdfa1" xsi:nil="true"/>
    <lcf76f155ced4ddcb4097134ff3c332f xmlns="f0732951-7774-480d-8c6c-95f56a11f39e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82D4991DB53C44FAF3A385BDF5F7D2A" ma:contentTypeVersion="12" ma:contentTypeDescription="Crie um novo documento." ma:contentTypeScope="" ma:versionID="623e5075404daa805549282001bfb5fe">
  <xsd:schema xmlns:xsd="http://www.w3.org/2001/XMLSchema" xmlns:xs="http://www.w3.org/2001/XMLSchema" xmlns:p="http://schemas.microsoft.com/office/2006/metadata/properties" xmlns:ns2="f0732951-7774-480d-8c6c-95f56a11f39e" xmlns:ns3="4f5b8ada-282a-4384-870b-e0f04a2cdfa1" targetNamespace="http://schemas.microsoft.com/office/2006/metadata/properties" ma:root="true" ma:fieldsID="3ea74daa9157aa176ed96efca32c4cc7" ns2:_="" ns3:_="">
    <xsd:import namespace="f0732951-7774-480d-8c6c-95f56a11f39e"/>
    <xsd:import namespace="4f5b8ada-282a-4384-870b-e0f04a2cdfa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bjectDetectorVersions" minOccurs="0"/>
                <xsd:element ref="ns2:MediaServiceSearchPropertie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0732951-7774-480d-8c6c-95f56a11f39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Marcações de imagem" ma:readOnly="false" ma:fieldId="{5cf76f15-5ced-4ddc-b409-7134ff3c332f}" ma:taxonomyMulti="true" ma:sspId="5889470b-fb98-439a-9103-9ba81ea870c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8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f5b8ada-282a-4384-870b-e0f04a2cdfa1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6758f1aa-5c47-43df-bb15-7b2efc13b704}" ma:internalName="TaxCatchAll" ma:showField="CatchAllData" ma:web="4f5b8ada-282a-4384-870b-e0f04a2cdfa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87EC620-3B9B-435D-82C4-95BE76C32A8C}">
  <ds:schemaRefs>
    <ds:schemaRef ds:uri="http://schemas.microsoft.com/office/2006/metadata/properties"/>
    <ds:schemaRef ds:uri="http://schemas.microsoft.com/office/infopath/2007/PartnerControls"/>
    <ds:schemaRef ds:uri="4f5b8ada-282a-4384-870b-e0f04a2cdfa1"/>
    <ds:schemaRef ds:uri="f0732951-7774-480d-8c6c-95f56a11f39e"/>
  </ds:schemaRefs>
</ds:datastoreItem>
</file>

<file path=customXml/itemProps2.xml><?xml version="1.0" encoding="utf-8"?>
<ds:datastoreItem xmlns:ds="http://schemas.openxmlformats.org/officeDocument/2006/customXml" ds:itemID="{E26409DE-19C3-4222-BFE0-E6343DFB94A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0732951-7774-480d-8c6c-95f56a11f39e"/>
    <ds:schemaRef ds:uri="4f5b8ada-282a-4384-870b-e0f04a2cdfa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A53742B-FC43-448D-9EC5-B22E2EBD5C1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Simulação de Taxas - Quantitas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Daniela Alliatti - Quantitas</dc:creator>
  <cp:lastModifiedBy>Daniela Alliatti - Quantitas</cp:lastModifiedBy>
  <dcterms:created xsi:type="dcterms:W3CDTF">2024-09-27T14:57:09Z</dcterms:created>
  <dcterms:modified xsi:type="dcterms:W3CDTF">2025-07-01T19:02:41Z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0x010100E82D4991DB53C44FAF3A385BDF5F7D2A</vt:lpwstr>
  </property>
  <property fmtid="{D5CDD505-2E9C-101B-9397-08002B2CF9AE}" pid="3" name="MediaServiceImageTags">
    <vt:lpwstr/>
  </property>
  <property fmtid="{D5CDD505-2E9C-101B-9397-08002B2CF9AE}" pid="4" name="xd_ProgID">
    <vt:lpwstr/>
  </property>
  <property fmtid="{D5CDD505-2E9C-101B-9397-08002B2CF9AE}" pid="5" name="ComplianceAssetId">
    <vt:lpwstr/>
  </property>
  <property fmtid="{D5CDD505-2E9C-101B-9397-08002B2CF9AE}" pid="6" name="TemplateUrl">
    <vt:lpwstr/>
  </property>
  <property fmtid="{D5CDD505-2E9C-101B-9397-08002B2CF9AE}" pid="7" name="_ExtendedDescription">
    <vt:lpwstr/>
  </property>
  <property fmtid="{D5CDD505-2E9C-101B-9397-08002B2CF9AE}" pid="8" name="TriggerFlowInfo">
    <vt:lpwstr/>
  </property>
  <property fmtid="{D5CDD505-2E9C-101B-9397-08002B2CF9AE}" pid="9" name="xd_Signature">
    <vt:bool>false</vt:bool>
  </property>
</Properties>
</file>