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vvi.sharepoint.com/sites/ri_oficial/Shared Documents/General/RI Oficial/Divulgações/Planilha interativa/2023/3T23/"/>
    </mc:Choice>
  </mc:AlternateContent>
  <xr:revisionPtr revIDLastSave="1092" documentId="8_{82F73D1C-124D-4707-993B-9FA7C4297F9E}" xr6:coauthVersionLast="47" xr6:coauthVersionMax="47" xr10:uidLastSave="{DE2E7918-D3EF-4ECF-85A5-39B690119B72}"/>
  <bookViews>
    <workbookView xWindow="20370" yWindow="-120" windowWidth="29040" windowHeight="15840" tabRatio="929" xr2:uid="{5B93875F-4615-4178-AF2D-B2D27CBF5AD4}"/>
  </bookViews>
  <sheets>
    <sheet name="Summary" sheetId="9" r:id="rId1"/>
    <sheet name="DRE" sheetId="12" r:id="rId2"/>
    <sheet name="Margens Bruta e EBITDA (ex-SFH)" sheetId="2" r:id="rId3"/>
    <sheet name="Balanço Patrimonial" sheetId="1" r:id="rId4"/>
    <sheet name="Geração Caixa " sheetId="13" r:id="rId5"/>
    <sheet name="Dados Operacionais" sheetId="3" r:id="rId6"/>
    <sheet name="Dívida" sheetId="10" r:id="rId7"/>
    <sheet name="Lançamentos" sheetId="4" r:id="rId8"/>
    <sheet name="Income Statement" sheetId="5" r:id="rId9"/>
    <sheet name="Gross Margin &amp; EBITDA (ex-SFH)" sheetId="14" r:id="rId10"/>
    <sheet name="Balance Sheet" sheetId="6" r:id="rId11"/>
    <sheet name="Cash Generation" sheetId="15" r:id="rId12"/>
    <sheet name="Operating Data" sheetId="7" r:id="rId13"/>
    <sheet name="Debt" sheetId="11" r:id="rId14"/>
    <sheet name="Launches" sheetId="8" r:id="rId15"/>
  </sheets>
  <externalReferences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0" i="5" l="1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T24" i="13"/>
  <c r="T24" i="15" s="1"/>
  <c r="S24" i="13"/>
  <c r="S24" i="15" s="1"/>
  <c r="R24" i="13"/>
  <c r="Q24" i="13"/>
  <c r="P24" i="13"/>
  <c r="O24" i="13"/>
  <c r="N24" i="13"/>
  <c r="M24" i="13"/>
  <c r="L24" i="13"/>
  <c r="L24" i="15" s="1"/>
  <c r="K24" i="13"/>
  <c r="K24" i="15" s="1"/>
  <c r="J24" i="13"/>
  <c r="I24" i="13"/>
  <c r="H24" i="13"/>
  <c r="G24" i="13"/>
  <c r="F24" i="13"/>
  <c r="E24" i="13"/>
  <c r="D24" i="13"/>
  <c r="D24" i="15" s="1"/>
  <c r="C24" i="13"/>
  <c r="T11" i="13"/>
  <c r="S11" i="13"/>
  <c r="R11" i="13"/>
  <c r="Q11" i="13"/>
  <c r="Q11" i="15" s="1"/>
  <c r="P11" i="13"/>
  <c r="O11" i="13"/>
  <c r="N11" i="13"/>
  <c r="M11" i="13"/>
  <c r="L11" i="13"/>
  <c r="K11" i="13"/>
  <c r="J11" i="13"/>
  <c r="I11" i="13"/>
  <c r="I11" i="15" s="1"/>
  <c r="H11" i="13"/>
  <c r="G11" i="13"/>
  <c r="F11" i="13"/>
  <c r="E11" i="13"/>
  <c r="D11" i="13"/>
  <c r="C11" i="13"/>
  <c r="T10" i="13"/>
  <c r="S10" i="13"/>
  <c r="S10" i="15" s="1"/>
  <c r="R10" i="13"/>
  <c r="Q10" i="13"/>
  <c r="P10" i="13"/>
  <c r="O10" i="13"/>
  <c r="N10" i="13"/>
  <c r="M10" i="13"/>
  <c r="M10" i="15" s="1"/>
  <c r="L10" i="13"/>
  <c r="K10" i="13"/>
  <c r="J10" i="13"/>
  <c r="I10" i="13"/>
  <c r="H10" i="13"/>
  <c r="G10" i="13"/>
  <c r="F10" i="13"/>
  <c r="E10" i="13"/>
  <c r="D10" i="13"/>
  <c r="C10" i="13"/>
  <c r="C10" i="15" s="1"/>
  <c r="O22" i="15"/>
  <c r="P22" i="15"/>
  <c r="Q22" i="15"/>
  <c r="R22" i="15"/>
  <c r="S22" i="15"/>
  <c r="T22" i="15"/>
  <c r="T7" i="13"/>
  <c r="S7" i="13"/>
  <c r="R7" i="13"/>
  <c r="Q7" i="13"/>
  <c r="P7" i="13"/>
  <c r="O7" i="13"/>
  <c r="N7" i="13"/>
  <c r="M7" i="13"/>
  <c r="M7" i="15" s="1"/>
  <c r="L7" i="13"/>
  <c r="K7" i="13"/>
  <c r="J7" i="13"/>
  <c r="I7" i="13"/>
  <c r="H7" i="13"/>
  <c r="G7" i="13"/>
  <c r="F7" i="13"/>
  <c r="F7" i="15" s="1"/>
  <c r="E7" i="13"/>
  <c r="E7" i="15" s="1"/>
  <c r="D7" i="13"/>
  <c r="C7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H6" i="15" s="1"/>
  <c r="G6" i="13"/>
  <c r="F6" i="13"/>
  <c r="E6" i="13"/>
  <c r="D6" i="13"/>
  <c r="C6" i="13"/>
  <c r="J6" i="15"/>
  <c r="Q6" i="15"/>
  <c r="R6" i="15"/>
  <c r="O7" i="15"/>
  <c r="T7" i="15"/>
  <c r="S7" i="15"/>
  <c r="R7" i="15"/>
  <c r="Q7" i="15"/>
  <c r="I7" i="15"/>
  <c r="C7" i="15"/>
  <c r="T8" i="13"/>
  <c r="S6" i="15"/>
  <c r="N6" i="15"/>
  <c r="M6" i="15"/>
  <c r="L8" i="13"/>
  <c r="K6" i="15"/>
  <c r="F6" i="15"/>
  <c r="E6" i="15"/>
  <c r="D6" i="15"/>
  <c r="C6" i="15"/>
  <c r="L22" i="15"/>
  <c r="I21" i="13"/>
  <c r="I21" i="15" s="1"/>
  <c r="N22" i="15"/>
  <c r="M22" i="15"/>
  <c r="K22" i="15"/>
  <c r="J22" i="15"/>
  <c r="J21" i="15"/>
  <c r="K21" i="15"/>
  <c r="L21" i="15"/>
  <c r="T21" i="15"/>
  <c r="R21" i="15"/>
  <c r="Q21" i="15"/>
  <c r="P21" i="15"/>
  <c r="O21" i="15"/>
  <c r="M21" i="15"/>
  <c r="S21" i="15"/>
  <c r="N21" i="15"/>
  <c r="H21" i="13"/>
  <c r="H21" i="15" s="1"/>
  <c r="G21" i="13"/>
  <c r="G21" i="15" s="1"/>
  <c r="F21" i="13"/>
  <c r="F21" i="15" s="1"/>
  <c r="E21" i="13"/>
  <c r="E21" i="15" s="1"/>
  <c r="D21" i="13"/>
  <c r="D21" i="15" s="1"/>
  <c r="C21" i="13"/>
  <c r="C21" i="15" s="1"/>
  <c r="B21" i="13"/>
  <c r="B21" i="15" s="1"/>
  <c r="R24" i="15"/>
  <c r="P24" i="15"/>
  <c r="O24" i="15"/>
  <c r="N24" i="15"/>
  <c r="M24" i="15"/>
  <c r="J24" i="15"/>
  <c r="H24" i="15"/>
  <c r="G24" i="15"/>
  <c r="F24" i="15"/>
  <c r="E24" i="15"/>
  <c r="T18" i="13"/>
  <c r="T18" i="15" s="1"/>
  <c r="S18" i="13"/>
  <c r="S18" i="15" s="1"/>
  <c r="R18" i="13"/>
  <c r="R18" i="15" s="1"/>
  <c r="Q18" i="13"/>
  <c r="Q18" i="15" s="1"/>
  <c r="P18" i="13"/>
  <c r="P18" i="15" s="1"/>
  <c r="O18" i="13"/>
  <c r="O18" i="15" s="1"/>
  <c r="N18" i="13"/>
  <c r="N18" i="15" s="1"/>
  <c r="M18" i="13"/>
  <c r="M18" i="15" s="1"/>
  <c r="L18" i="13"/>
  <c r="L18" i="15" s="1"/>
  <c r="K18" i="13"/>
  <c r="K18" i="15" s="1"/>
  <c r="J18" i="13"/>
  <c r="J18" i="15" s="1"/>
  <c r="I18" i="13"/>
  <c r="I18" i="15" s="1"/>
  <c r="H18" i="13"/>
  <c r="H18" i="15" s="1"/>
  <c r="G18" i="13"/>
  <c r="G18" i="15" s="1"/>
  <c r="F18" i="13"/>
  <c r="E18" i="13"/>
  <c r="E18" i="15" s="1"/>
  <c r="D18" i="13"/>
  <c r="D18" i="15" s="1"/>
  <c r="T17" i="13"/>
  <c r="T17" i="15" s="1"/>
  <c r="S17" i="13"/>
  <c r="S17" i="15" s="1"/>
  <c r="R17" i="13"/>
  <c r="R17" i="15" s="1"/>
  <c r="Q17" i="13"/>
  <c r="Q17" i="15" s="1"/>
  <c r="P17" i="13"/>
  <c r="P17" i="15" s="1"/>
  <c r="O17" i="13"/>
  <c r="O17" i="15" s="1"/>
  <c r="N17" i="13"/>
  <c r="N17" i="15" s="1"/>
  <c r="M17" i="13"/>
  <c r="M17" i="15" s="1"/>
  <c r="L17" i="13"/>
  <c r="L17" i="15" s="1"/>
  <c r="K17" i="13"/>
  <c r="K17" i="15" s="1"/>
  <c r="J17" i="13"/>
  <c r="J17" i="15" s="1"/>
  <c r="I17" i="13"/>
  <c r="I17" i="15" s="1"/>
  <c r="H17" i="13"/>
  <c r="H17" i="15" s="1"/>
  <c r="G17" i="13"/>
  <c r="G17" i="15" s="1"/>
  <c r="F17" i="13"/>
  <c r="F17" i="15" s="1"/>
  <c r="E17" i="13"/>
  <c r="E17" i="15" s="1"/>
  <c r="D17" i="13"/>
  <c r="D17" i="15" s="1"/>
  <c r="T11" i="15"/>
  <c r="S11" i="15"/>
  <c r="R11" i="15"/>
  <c r="P11" i="15"/>
  <c r="O11" i="15"/>
  <c r="N11" i="15"/>
  <c r="M11" i="15"/>
  <c r="L11" i="15"/>
  <c r="K11" i="15"/>
  <c r="J11" i="15"/>
  <c r="H11" i="15"/>
  <c r="G11" i="15"/>
  <c r="F11" i="15"/>
  <c r="E11" i="15"/>
  <c r="D11" i="15"/>
  <c r="T10" i="15"/>
  <c r="T12" i="15" s="1"/>
  <c r="R10" i="15"/>
  <c r="P10" i="15"/>
  <c r="O10" i="15"/>
  <c r="N10" i="15"/>
  <c r="L10" i="15"/>
  <c r="K10" i="15"/>
  <c r="J10" i="15"/>
  <c r="J12" i="15" s="1"/>
  <c r="I10" i="15"/>
  <c r="H10" i="15"/>
  <c r="H12" i="15" s="1"/>
  <c r="G10" i="15"/>
  <c r="F10" i="15"/>
  <c r="D10" i="15"/>
  <c r="D12" i="15" s="1"/>
  <c r="L7" i="15"/>
  <c r="K7" i="15"/>
  <c r="G7" i="15"/>
  <c r="D7" i="15"/>
  <c r="P6" i="15"/>
  <c r="I6" i="15"/>
  <c r="C24" i="15"/>
  <c r="C18" i="13"/>
  <c r="C18" i="15" s="1"/>
  <c r="C17" i="13"/>
  <c r="C17" i="15" s="1"/>
  <c r="C11" i="15"/>
  <c r="B18" i="13"/>
  <c r="B18" i="15" s="1"/>
  <c r="B17" i="13"/>
  <c r="B17" i="15" s="1"/>
  <c r="J12" i="13"/>
  <c r="I24" i="15" l="1"/>
  <c r="Q24" i="15"/>
  <c r="M12" i="13"/>
  <c r="R12" i="15"/>
  <c r="D8" i="15"/>
  <c r="R8" i="15"/>
  <c r="N12" i="15"/>
  <c r="L12" i="13"/>
  <c r="T12" i="13"/>
  <c r="N12" i="13"/>
  <c r="F12" i="15"/>
  <c r="I12" i="13"/>
  <c r="L12" i="15"/>
  <c r="Q8" i="13"/>
  <c r="R8" i="13"/>
  <c r="P12" i="13"/>
  <c r="D12" i="13"/>
  <c r="R12" i="13"/>
  <c r="H12" i="13"/>
  <c r="S12" i="13"/>
  <c r="C8" i="15"/>
  <c r="E8" i="15"/>
  <c r="M8" i="15"/>
  <c r="P12" i="15"/>
  <c r="C12" i="15"/>
  <c r="F12" i="13"/>
  <c r="G8" i="13"/>
  <c r="O8" i="13"/>
  <c r="N8" i="13"/>
  <c r="E12" i="13"/>
  <c r="Q8" i="15"/>
  <c r="H8" i="13"/>
  <c r="E10" i="15"/>
  <c r="E12" i="15" s="1"/>
  <c r="I8" i="15"/>
  <c r="D8" i="13"/>
  <c r="I8" i="13"/>
  <c r="K12" i="13"/>
  <c r="J8" i="13"/>
  <c r="Q12" i="13"/>
  <c r="K12" i="15"/>
  <c r="S12" i="15"/>
  <c r="F8" i="15"/>
  <c r="F14" i="15" s="1"/>
  <c r="F25" i="15" s="1"/>
  <c r="G12" i="15"/>
  <c r="O12" i="15"/>
  <c r="M12" i="15"/>
  <c r="K8" i="15"/>
  <c r="S8" i="15"/>
  <c r="I12" i="15"/>
  <c r="T6" i="15"/>
  <c r="T8" i="15" s="1"/>
  <c r="T14" i="15" s="1"/>
  <c r="T25" i="15" s="1"/>
  <c r="F8" i="13"/>
  <c r="S8" i="13"/>
  <c r="J7" i="15"/>
  <c r="J8" i="15" s="1"/>
  <c r="J14" i="15" s="1"/>
  <c r="J25" i="15" s="1"/>
  <c r="G6" i="15"/>
  <c r="G8" i="15" s="1"/>
  <c r="O6" i="15"/>
  <c r="O8" i="15" s="1"/>
  <c r="L6" i="15"/>
  <c r="L8" i="15" s="1"/>
  <c r="K8" i="13"/>
  <c r="Q10" i="15"/>
  <c r="Q12" i="15" s="1"/>
  <c r="F18" i="15"/>
  <c r="P8" i="13"/>
  <c r="N7" i="15"/>
  <c r="N8" i="15" s="1"/>
  <c r="N14" i="15" s="1"/>
  <c r="N25" i="15" s="1"/>
  <c r="H7" i="15"/>
  <c r="H8" i="15" s="1"/>
  <c r="H14" i="15" s="1"/>
  <c r="H25" i="15" s="1"/>
  <c r="P7" i="15"/>
  <c r="P8" i="15" s="1"/>
  <c r="D14" i="15"/>
  <c r="D25" i="15" s="1"/>
  <c r="G12" i="13"/>
  <c r="O12" i="13"/>
  <c r="L14" i="13"/>
  <c r="E8" i="13"/>
  <c r="M8" i="13"/>
  <c r="C12" i="13"/>
  <c r="C8" i="13"/>
  <c r="O14" i="13" l="1"/>
  <c r="O25" i="13" s="1"/>
  <c r="T14" i="13"/>
  <c r="T15" i="13" s="1"/>
  <c r="G14" i="15"/>
  <c r="G25" i="15" s="1"/>
  <c r="R14" i="15"/>
  <c r="R25" i="15" s="1"/>
  <c r="G14" i="13"/>
  <c r="D14" i="13"/>
  <c r="D25" i="13" s="1"/>
  <c r="G25" i="13"/>
  <c r="Q14" i="13"/>
  <c r="Q25" i="13" s="1"/>
  <c r="I14" i="13"/>
  <c r="I25" i="13" s="1"/>
  <c r="M14" i="13"/>
  <c r="L15" i="13" s="1"/>
  <c r="E14" i="13"/>
  <c r="P14" i="13"/>
  <c r="P25" i="13" s="1"/>
  <c r="R14" i="13"/>
  <c r="R25" i="13" s="1"/>
  <c r="C14" i="13"/>
  <c r="J14" i="13"/>
  <c r="J15" i="13" s="1"/>
  <c r="K14" i="13"/>
  <c r="K25" i="13" s="1"/>
  <c r="K15" i="13"/>
  <c r="T25" i="13"/>
  <c r="L14" i="15"/>
  <c r="L25" i="15" s="1"/>
  <c r="L25" i="13"/>
  <c r="O14" i="15"/>
  <c r="O25" i="15" s="1"/>
  <c r="N14" i="13"/>
  <c r="I14" i="15"/>
  <c r="I25" i="15" s="1"/>
  <c r="H14" i="13"/>
  <c r="S14" i="15"/>
  <c r="S25" i="15" s="1"/>
  <c r="S14" i="13"/>
  <c r="F14" i="13"/>
  <c r="C14" i="15"/>
  <c r="C25" i="15" s="1"/>
  <c r="M14" i="15"/>
  <c r="M25" i="15" s="1"/>
  <c r="E14" i="15"/>
  <c r="E25" i="15" s="1"/>
  <c r="P14" i="15"/>
  <c r="P25" i="15" s="1"/>
  <c r="Q14" i="15"/>
  <c r="Q25" i="15" s="1"/>
  <c r="K14" i="15"/>
  <c r="K25" i="15" s="1"/>
  <c r="O15" i="13" l="1"/>
  <c r="O19" i="13" s="1"/>
  <c r="D15" i="13"/>
  <c r="D15" i="15" s="1"/>
  <c r="D19" i="15" s="1"/>
  <c r="D22" i="15" s="1"/>
  <c r="I15" i="13"/>
  <c r="I15" i="15" s="1"/>
  <c r="I19" i="15" s="1"/>
  <c r="J25" i="13"/>
  <c r="Q15" i="13"/>
  <c r="Q19" i="13" s="1"/>
  <c r="M25" i="13"/>
  <c r="R15" i="13"/>
  <c r="R15" i="15" s="1"/>
  <c r="R19" i="15" s="1"/>
  <c r="E25" i="13"/>
  <c r="E15" i="13"/>
  <c r="P15" i="13"/>
  <c r="P19" i="13" s="1"/>
  <c r="C25" i="13"/>
  <c r="C15" i="13"/>
  <c r="H25" i="13"/>
  <c r="H15" i="13"/>
  <c r="F25" i="13"/>
  <c r="F15" i="13"/>
  <c r="D19" i="13"/>
  <c r="D22" i="13" s="1"/>
  <c r="G15" i="13"/>
  <c r="N25" i="13"/>
  <c r="N15" i="13"/>
  <c r="Q15" i="15"/>
  <c r="Q19" i="15" s="1"/>
  <c r="T15" i="15"/>
  <c r="T19" i="15" s="1"/>
  <c r="T19" i="13"/>
  <c r="O15" i="15"/>
  <c r="O19" i="15" s="1"/>
  <c r="M15" i="13"/>
  <c r="J15" i="15"/>
  <c r="J19" i="15" s="1"/>
  <c r="J19" i="13"/>
  <c r="S25" i="13"/>
  <c r="S15" i="13"/>
  <c r="L15" i="15"/>
  <c r="L19" i="15" s="1"/>
  <c r="L19" i="13"/>
  <c r="K15" i="15"/>
  <c r="K19" i="15" s="1"/>
  <c r="K19" i="13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T14" i="2"/>
  <c r="T15" i="2" s="1"/>
  <c r="T15" i="14" s="1"/>
  <c r="S14" i="2"/>
  <c r="S15" i="2" s="1"/>
  <c r="S15" i="14" s="1"/>
  <c r="R14" i="2"/>
  <c r="R14" i="14" s="1"/>
  <c r="Q14" i="2"/>
  <c r="Q14" i="14" s="1"/>
  <c r="P14" i="2"/>
  <c r="P15" i="2" s="1"/>
  <c r="P15" i="14" s="1"/>
  <c r="O14" i="2"/>
  <c r="O15" i="2" s="1"/>
  <c r="O15" i="14" s="1"/>
  <c r="N14" i="2"/>
  <c r="N14" i="14" s="1"/>
  <c r="M14" i="2"/>
  <c r="M15" i="2" s="1"/>
  <c r="M15" i="14" s="1"/>
  <c r="L14" i="2"/>
  <c r="L15" i="2" s="1"/>
  <c r="L15" i="14" s="1"/>
  <c r="K14" i="2"/>
  <c r="K15" i="2" s="1"/>
  <c r="K15" i="14" s="1"/>
  <c r="J14" i="2"/>
  <c r="J14" i="14" s="1"/>
  <c r="I14" i="2"/>
  <c r="I14" i="14" s="1"/>
  <c r="H14" i="2"/>
  <c r="H15" i="2" s="1"/>
  <c r="H15" i="14" s="1"/>
  <c r="G14" i="2"/>
  <c r="G15" i="2" s="1"/>
  <c r="G15" i="14" s="1"/>
  <c r="F14" i="2"/>
  <c r="F14" i="14" s="1"/>
  <c r="E14" i="2"/>
  <c r="E15" i="2" s="1"/>
  <c r="E15" i="14" s="1"/>
  <c r="D14" i="2"/>
  <c r="D15" i="2" s="1"/>
  <c r="D15" i="14" s="1"/>
  <c r="C14" i="2"/>
  <c r="C15" i="2" s="1"/>
  <c r="C15" i="14" s="1"/>
  <c r="B14" i="2"/>
  <c r="B14" i="14" s="1"/>
  <c r="R15" i="2"/>
  <c r="R15" i="14" s="1"/>
  <c r="J15" i="2"/>
  <c r="J15" i="14" s="1"/>
  <c r="I15" i="2"/>
  <c r="I15" i="14" s="1"/>
  <c r="T9" i="2"/>
  <c r="T9" i="14" s="1"/>
  <c r="S9" i="2"/>
  <c r="S9" i="14" s="1"/>
  <c r="R9" i="2"/>
  <c r="R9" i="14" s="1"/>
  <c r="Q9" i="2"/>
  <c r="Q9" i="14" s="1"/>
  <c r="P9" i="2"/>
  <c r="P9" i="14" s="1"/>
  <c r="O9" i="2"/>
  <c r="O9" i="14" s="1"/>
  <c r="N9" i="2"/>
  <c r="N9" i="14" s="1"/>
  <c r="M9" i="2"/>
  <c r="M9" i="14" s="1"/>
  <c r="L9" i="2"/>
  <c r="L9" i="14" s="1"/>
  <c r="K9" i="2"/>
  <c r="K9" i="14" s="1"/>
  <c r="J9" i="2"/>
  <c r="J9" i="14" s="1"/>
  <c r="I9" i="2"/>
  <c r="I9" i="14" s="1"/>
  <c r="H9" i="2"/>
  <c r="H9" i="14" s="1"/>
  <c r="G9" i="2"/>
  <c r="G9" i="14" s="1"/>
  <c r="F9" i="2"/>
  <c r="F9" i="14" s="1"/>
  <c r="E9" i="2"/>
  <c r="E9" i="14" s="1"/>
  <c r="D9" i="2"/>
  <c r="D9" i="14" s="1"/>
  <c r="C9" i="2"/>
  <c r="C9" i="14" s="1"/>
  <c r="B9" i="2"/>
  <c r="B9" i="14" s="1"/>
  <c r="N15" i="2" l="1"/>
  <c r="N15" i="14" s="1"/>
  <c r="F15" i="2"/>
  <c r="F15" i="14" s="1"/>
  <c r="I19" i="13"/>
  <c r="I22" i="13" s="1"/>
  <c r="I22" i="15" s="1"/>
  <c r="R19" i="13"/>
  <c r="E15" i="15"/>
  <c r="E19" i="15" s="1"/>
  <c r="E22" i="15" s="1"/>
  <c r="E19" i="13"/>
  <c r="E22" i="13" s="1"/>
  <c r="H15" i="15"/>
  <c r="H19" i="15" s="1"/>
  <c r="H22" i="15" s="1"/>
  <c r="H19" i="13"/>
  <c r="H22" i="13" s="1"/>
  <c r="P15" i="15"/>
  <c r="P19" i="15" s="1"/>
  <c r="F15" i="15"/>
  <c r="F19" i="15" s="1"/>
  <c r="F22" i="15" s="1"/>
  <c r="F19" i="13"/>
  <c r="F22" i="13" s="1"/>
  <c r="G15" i="15"/>
  <c r="G19" i="15" s="1"/>
  <c r="G22" i="15" s="1"/>
  <c r="G19" i="13"/>
  <c r="G22" i="13" s="1"/>
  <c r="C15" i="15"/>
  <c r="C19" i="15" s="1"/>
  <c r="C22" i="15" s="1"/>
  <c r="C19" i="13"/>
  <c r="C22" i="13" s="1"/>
  <c r="M15" i="15"/>
  <c r="M19" i="15" s="1"/>
  <c r="M19" i="13"/>
  <c r="N15" i="15"/>
  <c r="N19" i="15" s="1"/>
  <c r="N19" i="13"/>
  <c r="S15" i="15"/>
  <c r="S19" i="15" s="1"/>
  <c r="S19" i="13"/>
  <c r="Q15" i="2"/>
  <c r="Q15" i="14" s="1"/>
  <c r="C14" i="14"/>
  <c r="K14" i="14"/>
  <c r="S14" i="14"/>
  <c r="D14" i="14"/>
  <c r="L14" i="14"/>
  <c r="T14" i="14"/>
  <c r="E14" i="14"/>
  <c r="M14" i="14"/>
  <c r="G14" i="14"/>
  <c r="O14" i="14"/>
  <c r="H14" i="14"/>
  <c r="P14" i="14"/>
  <c r="T10" i="2"/>
  <c r="T10" i="14" s="1"/>
  <c r="S10" i="2"/>
  <c r="S10" i="14" s="1"/>
  <c r="R10" i="2"/>
  <c r="R10" i="14" s="1"/>
  <c r="Q10" i="2"/>
  <c r="Q10" i="14" s="1"/>
  <c r="P10" i="2"/>
  <c r="P10" i="14" s="1"/>
  <c r="O10" i="2"/>
  <c r="N10" i="2"/>
  <c r="M10" i="2"/>
  <c r="L10" i="2"/>
  <c r="K10" i="2"/>
  <c r="K10" i="14" s="1"/>
  <c r="J10" i="2"/>
  <c r="I10" i="2"/>
  <c r="H10" i="2"/>
  <c r="H10" i="14" s="1"/>
  <c r="G10" i="2"/>
  <c r="F10" i="2"/>
  <c r="E10" i="2"/>
  <c r="D10" i="2"/>
  <c r="C10" i="2"/>
  <c r="T18" i="2"/>
  <c r="S18" i="2"/>
  <c r="R18" i="2"/>
  <c r="R18" i="14" s="1"/>
  <c r="Q18" i="2"/>
  <c r="Q18" i="14" s="1"/>
  <c r="P18" i="2"/>
  <c r="P18" i="14" s="1"/>
  <c r="O18" i="2"/>
  <c r="O18" i="14" s="1"/>
  <c r="N18" i="2"/>
  <c r="N18" i="14" s="1"/>
  <c r="M18" i="2"/>
  <c r="L18" i="2"/>
  <c r="K18" i="2"/>
  <c r="J18" i="2"/>
  <c r="I18" i="2"/>
  <c r="H18" i="2"/>
  <c r="H18" i="14" s="1"/>
  <c r="G18" i="2"/>
  <c r="F18" i="2"/>
  <c r="E18" i="2"/>
  <c r="D18" i="2"/>
  <c r="C18" i="2"/>
  <c r="T16" i="2"/>
  <c r="T16" i="14" s="1"/>
  <c r="S16" i="2"/>
  <c r="S16" i="14" s="1"/>
  <c r="R16" i="2"/>
  <c r="R16" i="14" s="1"/>
  <c r="P16" i="2"/>
  <c r="P16" i="14" s="1"/>
  <c r="O16" i="2"/>
  <c r="O16" i="14" s="1"/>
  <c r="N16" i="2"/>
  <c r="N16" i="14" s="1"/>
  <c r="M16" i="2"/>
  <c r="M16" i="14" s="1"/>
  <c r="L16" i="2"/>
  <c r="L16" i="14" s="1"/>
  <c r="K16" i="2"/>
  <c r="K16" i="14" s="1"/>
  <c r="J16" i="2"/>
  <c r="J16" i="14" s="1"/>
  <c r="I16" i="2"/>
  <c r="I16" i="14" s="1"/>
  <c r="H16" i="2"/>
  <c r="H16" i="14" s="1"/>
  <c r="G16" i="2"/>
  <c r="G16" i="14" s="1"/>
  <c r="F16" i="2"/>
  <c r="F16" i="14" s="1"/>
  <c r="E16" i="2"/>
  <c r="E16" i="14" s="1"/>
  <c r="D16" i="2"/>
  <c r="D16" i="14" s="1"/>
  <c r="C16" i="2"/>
  <c r="C16" i="14" s="1"/>
  <c r="P19" i="2"/>
  <c r="O19" i="2"/>
  <c r="N19" i="2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18" i="2"/>
  <c r="B18" i="14" s="1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T11" i="2"/>
  <c r="T11" i="14" s="1"/>
  <c r="S11" i="2"/>
  <c r="S11" i="14" s="1"/>
  <c r="P11" i="2"/>
  <c r="P11" i="14" s="1"/>
  <c r="H11" i="2"/>
  <c r="H11" i="14" s="1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8" i="12"/>
  <c r="B38" i="5" s="1"/>
  <c r="B37" i="12"/>
  <c r="B37" i="5" s="1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B30" i="12"/>
  <c r="B30" i="5" s="1"/>
  <c r="B26" i="12"/>
  <c r="B26" i="5" s="1"/>
  <c r="B25" i="12"/>
  <c r="B25" i="5" s="1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0" i="12"/>
  <c r="B20" i="5" s="1"/>
  <c r="B19" i="12"/>
  <c r="R17" i="12"/>
  <c r="R23" i="12" s="1"/>
  <c r="R28" i="12" s="1"/>
  <c r="R32" i="12" s="1"/>
  <c r="R33" i="12" s="1"/>
  <c r="J17" i="12"/>
  <c r="J23" i="12" s="1"/>
  <c r="J28" i="12" s="1"/>
  <c r="J32" i="12" s="1"/>
  <c r="J33" i="12" s="1"/>
  <c r="B15" i="12"/>
  <c r="B15" i="5" s="1"/>
  <c r="B14" i="12"/>
  <c r="B14" i="5" s="1"/>
  <c r="B13" i="12"/>
  <c r="B13" i="5" s="1"/>
  <c r="B12" i="12"/>
  <c r="B12" i="5" s="1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T9" i="12"/>
  <c r="L9" i="12"/>
  <c r="D9" i="12"/>
  <c r="T8" i="12"/>
  <c r="T17" i="12" s="1"/>
  <c r="T23" i="12" s="1"/>
  <c r="T28" i="12" s="1"/>
  <c r="T32" i="12" s="1"/>
  <c r="T33" i="12" s="1"/>
  <c r="S8" i="12"/>
  <c r="S17" i="12" s="1"/>
  <c r="S23" i="12" s="1"/>
  <c r="S28" i="12" s="1"/>
  <c r="S32" i="12" s="1"/>
  <c r="S33" i="12" s="1"/>
  <c r="R8" i="12"/>
  <c r="R9" i="12" s="1"/>
  <c r="Q8" i="12"/>
  <c r="Q9" i="12" s="1"/>
  <c r="P8" i="12"/>
  <c r="P17" i="12" s="1"/>
  <c r="P23" i="12" s="1"/>
  <c r="P28" i="12" s="1"/>
  <c r="P32" i="12" s="1"/>
  <c r="P33" i="12" s="1"/>
  <c r="O8" i="12"/>
  <c r="O17" i="12" s="1"/>
  <c r="O23" i="12" s="1"/>
  <c r="O28" i="12" s="1"/>
  <c r="O32" i="12" s="1"/>
  <c r="O33" i="12" s="1"/>
  <c r="N8" i="12"/>
  <c r="N17" i="12" s="1"/>
  <c r="N23" i="12" s="1"/>
  <c r="N28" i="12" s="1"/>
  <c r="N32" i="12" s="1"/>
  <c r="N33" i="12" s="1"/>
  <c r="M8" i="12"/>
  <c r="M17" i="12" s="1"/>
  <c r="M23" i="12" s="1"/>
  <c r="M28" i="12" s="1"/>
  <c r="M32" i="12" s="1"/>
  <c r="M33" i="12" s="1"/>
  <c r="L8" i="12"/>
  <c r="L17" i="12" s="1"/>
  <c r="L23" i="12" s="1"/>
  <c r="L28" i="12" s="1"/>
  <c r="L32" i="12" s="1"/>
  <c r="L33" i="12" s="1"/>
  <c r="K8" i="12"/>
  <c r="K17" i="12" s="1"/>
  <c r="K23" i="12" s="1"/>
  <c r="K28" i="12" s="1"/>
  <c r="K32" i="12" s="1"/>
  <c r="K33" i="12" s="1"/>
  <c r="J8" i="12"/>
  <c r="J9" i="12" s="1"/>
  <c r="I8" i="12"/>
  <c r="I9" i="12" s="1"/>
  <c r="H8" i="12"/>
  <c r="H17" i="12" s="1"/>
  <c r="H23" i="12" s="1"/>
  <c r="H28" i="12" s="1"/>
  <c r="H32" i="12" s="1"/>
  <c r="H33" i="12" s="1"/>
  <c r="G8" i="12"/>
  <c r="G17" i="12" s="1"/>
  <c r="G23" i="12" s="1"/>
  <c r="G28" i="12" s="1"/>
  <c r="G32" i="12" s="1"/>
  <c r="G33" i="12" s="1"/>
  <c r="F8" i="12"/>
  <c r="F17" i="12" s="1"/>
  <c r="F23" i="12" s="1"/>
  <c r="F28" i="12" s="1"/>
  <c r="F32" i="12" s="1"/>
  <c r="F33" i="12" s="1"/>
  <c r="E8" i="12"/>
  <c r="E17" i="12" s="1"/>
  <c r="E23" i="12" s="1"/>
  <c r="E28" i="12" s="1"/>
  <c r="E32" i="12" s="1"/>
  <c r="E33" i="12" s="1"/>
  <c r="D8" i="12"/>
  <c r="D17" i="12" s="1"/>
  <c r="D23" i="12" s="1"/>
  <c r="D28" i="12" s="1"/>
  <c r="D32" i="12" s="1"/>
  <c r="D33" i="12" s="1"/>
  <c r="C8" i="12"/>
  <c r="C17" i="12" s="1"/>
  <c r="C23" i="12" s="1"/>
  <c r="C28" i="12" s="1"/>
  <c r="C32" i="12" s="1"/>
  <c r="C33" i="12" s="1"/>
  <c r="B7" i="12"/>
  <c r="B7" i="5" s="1"/>
  <c r="B6" i="12"/>
  <c r="Q11" i="2" l="1"/>
  <c r="Q11" i="14" s="1"/>
  <c r="Q16" i="2"/>
  <c r="Q16" i="14" s="1"/>
  <c r="Q19" i="2"/>
  <c r="R19" i="2"/>
  <c r="R19" i="14" s="1"/>
  <c r="K11" i="2"/>
  <c r="K11" i="14" s="1"/>
  <c r="R11" i="2"/>
  <c r="R11" i="14" s="1"/>
  <c r="H19" i="2"/>
  <c r="H19" i="14" s="1"/>
  <c r="H20" i="2"/>
  <c r="H20" i="14" s="1"/>
  <c r="C19" i="2"/>
  <c r="C18" i="14"/>
  <c r="K19" i="2"/>
  <c r="K18" i="14"/>
  <c r="S19" i="2"/>
  <c r="S18" i="14"/>
  <c r="I11" i="2"/>
  <c r="I11" i="14" s="1"/>
  <c r="I10" i="14"/>
  <c r="N20" i="2"/>
  <c r="N20" i="14" s="1"/>
  <c r="N19" i="14"/>
  <c r="D19" i="2"/>
  <c r="D18" i="14"/>
  <c r="L19" i="2"/>
  <c r="L18" i="14"/>
  <c r="T19" i="2"/>
  <c r="T18" i="14"/>
  <c r="J11" i="2"/>
  <c r="J11" i="14" s="1"/>
  <c r="J10" i="14"/>
  <c r="O20" i="2"/>
  <c r="O20" i="14" s="1"/>
  <c r="O19" i="14"/>
  <c r="E19" i="2"/>
  <c r="E18" i="14"/>
  <c r="M19" i="2"/>
  <c r="M18" i="14"/>
  <c r="C11" i="2"/>
  <c r="C11" i="14" s="1"/>
  <c r="C10" i="14"/>
  <c r="P20" i="2"/>
  <c r="P20" i="14" s="1"/>
  <c r="P19" i="14"/>
  <c r="F19" i="2"/>
  <c r="F18" i="14"/>
  <c r="D11" i="2"/>
  <c r="D11" i="14" s="1"/>
  <c r="D10" i="14"/>
  <c r="L11" i="2"/>
  <c r="L11" i="14" s="1"/>
  <c r="L10" i="14"/>
  <c r="G19" i="2"/>
  <c r="G18" i="14"/>
  <c r="E11" i="2"/>
  <c r="E11" i="14" s="1"/>
  <c r="E10" i="14"/>
  <c r="M11" i="2"/>
  <c r="M11" i="14" s="1"/>
  <c r="M10" i="14"/>
  <c r="R20" i="2"/>
  <c r="R20" i="14" s="1"/>
  <c r="F11" i="2"/>
  <c r="F11" i="14" s="1"/>
  <c r="F10" i="14"/>
  <c r="N11" i="2"/>
  <c r="N11" i="14" s="1"/>
  <c r="N10" i="14"/>
  <c r="I19" i="2"/>
  <c r="I18" i="14"/>
  <c r="G11" i="2"/>
  <c r="G11" i="14" s="1"/>
  <c r="G10" i="14"/>
  <c r="O11" i="2"/>
  <c r="O11" i="14" s="1"/>
  <c r="O10" i="14"/>
  <c r="Q20" i="2"/>
  <c r="Q20" i="14" s="1"/>
  <c r="Q19" i="14"/>
  <c r="J19" i="2"/>
  <c r="J18" i="14"/>
  <c r="B11" i="12"/>
  <c r="B8" i="12"/>
  <c r="B6" i="2" s="1"/>
  <c r="B6" i="14" s="1"/>
  <c r="B21" i="12"/>
  <c r="B6" i="5"/>
  <c r="B19" i="5"/>
  <c r="B39" i="12"/>
  <c r="C9" i="12"/>
  <c r="K9" i="12"/>
  <c r="S9" i="12"/>
  <c r="I17" i="12"/>
  <c r="I23" i="12" s="1"/>
  <c r="I28" i="12" s="1"/>
  <c r="I32" i="12" s="1"/>
  <c r="I33" i="12" s="1"/>
  <c r="Q17" i="12"/>
  <c r="Q23" i="12" s="1"/>
  <c r="Q28" i="12" s="1"/>
  <c r="Q32" i="12" s="1"/>
  <c r="Q33" i="12" s="1"/>
  <c r="E9" i="12"/>
  <c r="M9" i="12"/>
  <c r="F9" i="12"/>
  <c r="N9" i="12"/>
  <c r="G9" i="12"/>
  <c r="O9" i="12"/>
  <c r="H9" i="12"/>
  <c r="P9" i="12"/>
  <c r="B9" i="12" l="1"/>
  <c r="I20" i="2"/>
  <c r="I20" i="14" s="1"/>
  <c r="I19" i="14"/>
  <c r="F20" i="2"/>
  <c r="F20" i="14" s="1"/>
  <c r="F19" i="14"/>
  <c r="L20" i="2"/>
  <c r="L20" i="14" s="1"/>
  <c r="L19" i="14"/>
  <c r="S20" i="2"/>
  <c r="S20" i="14" s="1"/>
  <c r="S19" i="14"/>
  <c r="E20" i="2"/>
  <c r="E20" i="14" s="1"/>
  <c r="E19" i="14"/>
  <c r="G20" i="2"/>
  <c r="G20" i="14" s="1"/>
  <c r="G19" i="14"/>
  <c r="D20" i="2"/>
  <c r="D20" i="14" s="1"/>
  <c r="D19" i="14"/>
  <c r="K20" i="2"/>
  <c r="K20" i="14" s="1"/>
  <c r="K19" i="14"/>
  <c r="C20" i="2"/>
  <c r="C20" i="14" s="1"/>
  <c r="C19" i="14"/>
  <c r="B17" i="12"/>
  <c r="B23" i="12" s="1"/>
  <c r="B28" i="12" s="1"/>
  <c r="B32" i="12" s="1"/>
  <c r="B33" i="12" s="1"/>
  <c r="J20" i="2"/>
  <c r="J20" i="14" s="1"/>
  <c r="J19" i="14"/>
  <c r="M20" i="2"/>
  <c r="M20" i="14" s="1"/>
  <c r="M19" i="14"/>
  <c r="T20" i="2"/>
  <c r="T20" i="14" s="1"/>
  <c r="T19" i="14"/>
  <c r="B10" i="2"/>
  <c r="B7" i="2"/>
  <c r="B7" i="14" s="1"/>
  <c r="B78" i="1"/>
  <c r="B78" i="6" s="1"/>
  <c r="B72" i="1"/>
  <c r="B72" i="6" s="1"/>
  <c r="B70" i="1"/>
  <c r="B70" i="6" s="1"/>
  <c r="B69" i="1"/>
  <c r="B69" i="6" s="1"/>
  <c r="B60" i="1"/>
  <c r="B58" i="1"/>
  <c r="B58" i="6" s="1"/>
  <c r="B56" i="1"/>
  <c r="B56" i="6" s="1"/>
  <c r="B55" i="1"/>
  <c r="B55" i="6" s="1"/>
  <c r="B50" i="1"/>
  <c r="B50" i="6" s="1"/>
  <c r="B48" i="1"/>
  <c r="B48" i="6" s="1"/>
  <c r="B40" i="1"/>
  <c r="B40" i="6" s="1"/>
  <c r="B39" i="1"/>
  <c r="B39" i="6" s="1"/>
  <c r="B26" i="1"/>
  <c r="B26" i="6" s="1"/>
  <c r="B23" i="1"/>
  <c r="B23" i="6" s="1"/>
  <c r="B22" i="1"/>
  <c r="B22" i="6" s="1"/>
  <c r="B16" i="1"/>
  <c r="B16" i="6" s="1"/>
  <c r="B14" i="1"/>
  <c r="B14" i="6" s="1"/>
  <c r="B13" i="1"/>
  <c r="B13" i="6" s="1"/>
  <c r="B24" i="7"/>
  <c r="B23" i="7"/>
  <c r="B22" i="7"/>
  <c r="B21" i="7"/>
  <c r="B15" i="7"/>
  <c r="B20" i="7" s="1"/>
  <c r="B26" i="7" s="1"/>
  <c r="B31" i="7" s="1"/>
  <c r="B60" i="6"/>
  <c r="B36" i="6"/>
  <c r="B88" i="6" s="1"/>
  <c r="B36" i="5"/>
  <c r="B28" i="3"/>
  <c r="B28" i="7" s="1"/>
  <c r="B27" i="3"/>
  <c r="B27" i="7" s="1"/>
  <c r="B13" i="2" l="1"/>
  <c r="B11" i="2"/>
  <c r="B11" i="14" s="1"/>
  <c r="B10" i="14"/>
  <c r="B15" i="2"/>
  <c r="B15" i="14" s="1"/>
  <c r="B13" i="14"/>
  <c r="B29" i="3"/>
  <c r="B29" i="7" s="1"/>
  <c r="B15" i="3"/>
  <c r="B20" i="3" s="1"/>
  <c r="B26" i="3" s="1"/>
  <c r="B31" i="3" s="1"/>
  <c r="B36" i="1"/>
  <c r="B88" i="1" s="1"/>
  <c r="C10" i="10"/>
  <c r="B19" i="2" l="1"/>
  <c r="B19" i="14" s="1"/>
  <c r="B16" i="2"/>
  <c r="B16" i="14" s="1"/>
  <c r="C13" i="3"/>
  <c r="B20" i="2" l="1"/>
  <c r="B20" i="14" s="1"/>
  <c r="C10" i="11"/>
  <c r="C7" i="11"/>
  <c r="C6" i="11"/>
  <c r="C29" i="3"/>
  <c r="C29" i="7" s="1"/>
  <c r="C33" i="7"/>
  <c r="C32" i="7"/>
  <c r="C28" i="7"/>
  <c r="C27" i="7"/>
  <c r="C24" i="7"/>
  <c r="C23" i="7"/>
  <c r="C22" i="7"/>
  <c r="C21" i="7"/>
  <c r="C18" i="7"/>
  <c r="C17" i="7"/>
  <c r="C16" i="7"/>
  <c r="C15" i="7"/>
  <c r="C20" i="7" s="1"/>
  <c r="C26" i="7" s="1"/>
  <c r="C31" i="7" s="1"/>
  <c r="C13" i="7"/>
  <c r="C12" i="7"/>
  <c r="C11" i="7"/>
  <c r="C10" i="7"/>
  <c r="C9" i="7"/>
  <c r="C8" i="7"/>
  <c r="C7" i="7"/>
  <c r="C6" i="7"/>
  <c r="C82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5" i="6"/>
  <c r="C64" i="6"/>
  <c r="C63" i="6"/>
  <c r="C62" i="6"/>
  <c r="C61" i="6"/>
  <c r="C60" i="6"/>
  <c r="C59" i="6"/>
  <c r="C58" i="6"/>
  <c r="C57" i="6"/>
  <c r="C56" i="6"/>
  <c r="C55" i="6"/>
  <c r="C54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6" i="6"/>
  <c r="C88" i="6" s="1"/>
  <c r="C31" i="6"/>
  <c r="C30" i="6"/>
  <c r="C29" i="6"/>
  <c r="C28" i="6"/>
  <c r="C27" i="6"/>
  <c r="C26" i="6"/>
  <c r="C25" i="6"/>
  <c r="C24" i="6"/>
  <c r="C23" i="6"/>
  <c r="C22" i="6"/>
  <c r="C21" i="6"/>
  <c r="C20" i="6"/>
  <c r="C17" i="6"/>
  <c r="C16" i="6"/>
  <c r="C15" i="6"/>
  <c r="C14" i="6"/>
  <c r="C13" i="6"/>
  <c r="C12" i="6"/>
  <c r="C11" i="6"/>
  <c r="C10" i="6"/>
  <c r="C9" i="6"/>
  <c r="C8" i="6"/>
  <c r="C7" i="6"/>
  <c r="C36" i="5"/>
  <c r="C8" i="10"/>
  <c r="C12" i="10" s="1"/>
  <c r="C15" i="3"/>
  <c r="C20" i="3" s="1"/>
  <c r="C26" i="3" s="1"/>
  <c r="C31" i="3" s="1"/>
  <c r="C36" i="1"/>
  <c r="C88" i="1" s="1"/>
  <c r="C80" i="1"/>
  <c r="C84" i="1" s="1"/>
  <c r="C14" i="10" s="1"/>
  <c r="C14" i="11" s="1"/>
  <c r="C66" i="1"/>
  <c r="C53" i="1"/>
  <c r="C32" i="1"/>
  <c r="C18" i="1"/>
  <c r="C32" i="6" l="1"/>
  <c r="C80" i="6"/>
  <c r="C84" i="6" s="1"/>
  <c r="C16" i="10"/>
  <c r="C8" i="11"/>
  <c r="C12" i="11" s="1"/>
  <c r="C16" i="11" s="1"/>
  <c r="C66" i="6"/>
  <c r="C53" i="6"/>
  <c r="C86" i="1"/>
  <c r="C18" i="6"/>
  <c r="C34" i="1"/>
  <c r="C39" i="5"/>
  <c r="C21" i="5"/>
  <c r="C11" i="5"/>
  <c r="C8" i="5"/>
  <c r="C9" i="5" s="1"/>
  <c r="C34" i="6" l="1"/>
  <c r="C86" i="6"/>
  <c r="C17" i="5"/>
  <c r="C23" i="5" s="1"/>
  <c r="C28" i="5" s="1"/>
  <c r="C32" i="5" s="1"/>
  <c r="C33" i="5" s="1"/>
  <c r="D24" i="7"/>
  <c r="D23" i="7"/>
  <c r="D22" i="7"/>
  <c r="D21" i="7"/>
  <c r="D15" i="7"/>
  <c r="D20" i="7" s="1"/>
  <c r="D26" i="7" s="1"/>
  <c r="D31" i="7" s="1"/>
  <c r="D12" i="7"/>
  <c r="D11" i="7"/>
  <c r="D10" i="7"/>
  <c r="D82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5" i="6"/>
  <c r="D64" i="6"/>
  <c r="D63" i="6"/>
  <c r="D62" i="6"/>
  <c r="D61" i="6"/>
  <c r="D60" i="6"/>
  <c r="D59" i="6"/>
  <c r="D58" i="6"/>
  <c r="D57" i="6"/>
  <c r="D56" i="6"/>
  <c r="D55" i="6"/>
  <c r="D54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6" i="6"/>
  <c r="D88" i="6" s="1"/>
  <c r="D31" i="6"/>
  <c r="D30" i="6"/>
  <c r="D29" i="6"/>
  <c r="D28" i="6"/>
  <c r="D27" i="6"/>
  <c r="D26" i="6"/>
  <c r="D25" i="6"/>
  <c r="D24" i="6"/>
  <c r="D23" i="6"/>
  <c r="D22" i="6"/>
  <c r="D21" i="6"/>
  <c r="D20" i="6"/>
  <c r="D17" i="6"/>
  <c r="D16" i="6"/>
  <c r="D15" i="6"/>
  <c r="D14" i="6"/>
  <c r="D13" i="6"/>
  <c r="D12" i="6"/>
  <c r="D11" i="6"/>
  <c r="D10" i="6"/>
  <c r="D9" i="6"/>
  <c r="D8" i="6"/>
  <c r="D7" i="6"/>
  <c r="D36" i="5"/>
  <c r="D10" i="10"/>
  <c r="D10" i="11" s="1"/>
  <c r="D7" i="11"/>
  <c r="D6" i="11"/>
  <c r="D33" i="7"/>
  <c r="D32" i="7"/>
  <c r="D28" i="7"/>
  <c r="D27" i="7"/>
  <c r="D18" i="7"/>
  <c r="D17" i="7"/>
  <c r="D16" i="7"/>
  <c r="D15" i="3"/>
  <c r="D20" i="3" s="1"/>
  <c r="D26" i="3" s="1"/>
  <c r="D31" i="3" s="1"/>
  <c r="D9" i="7"/>
  <c r="D8" i="7"/>
  <c r="D7" i="7"/>
  <c r="D6" i="7"/>
  <c r="D80" i="1"/>
  <c r="D84" i="1" s="1"/>
  <c r="D14" i="10" s="1"/>
  <c r="D14" i="11" s="1"/>
  <c r="D66" i="1"/>
  <c r="D53" i="1"/>
  <c r="D36" i="1"/>
  <c r="D88" i="1" s="1"/>
  <c r="D32" i="1"/>
  <c r="D18" i="1"/>
  <c r="E33" i="7"/>
  <c r="E32" i="7"/>
  <c r="T76" i="6"/>
  <c r="S76" i="6"/>
  <c r="R76" i="6"/>
  <c r="Q76" i="6"/>
  <c r="P76" i="6"/>
  <c r="O76" i="6"/>
  <c r="N76" i="6"/>
  <c r="D66" i="6" l="1"/>
  <c r="D8" i="11"/>
  <c r="D12" i="11" s="1"/>
  <c r="D16" i="11" s="1"/>
  <c r="D80" i="6"/>
  <c r="D84" i="6" s="1"/>
  <c r="D53" i="6"/>
  <c r="D32" i="6"/>
  <c r="D18" i="6"/>
  <c r="D34" i="1"/>
  <c r="D21" i="5"/>
  <c r="D11" i="5"/>
  <c r="D8" i="5"/>
  <c r="D9" i="5" s="1"/>
  <c r="D8" i="10"/>
  <c r="D12" i="10" s="1"/>
  <c r="D16" i="10" s="1"/>
  <c r="D13" i="3"/>
  <c r="D13" i="7" s="1"/>
  <c r="D29" i="3"/>
  <c r="D29" i="7" s="1"/>
  <c r="E8" i="10"/>
  <c r="D39" i="5"/>
  <c r="D86" i="1"/>
  <c r="E55" i="6"/>
  <c r="E54" i="6"/>
  <c r="E52" i="6"/>
  <c r="E51" i="6"/>
  <c r="E50" i="6"/>
  <c r="E49" i="6"/>
  <c r="E48" i="6"/>
  <c r="E47" i="6"/>
  <c r="E46" i="6"/>
  <c r="E45" i="6"/>
  <c r="E44" i="6"/>
  <c r="D34" i="6" l="1"/>
  <c r="D86" i="6"/>
  <c r="D17" i="5"/>
  <c r="D23" i="5" s="1"/>
  <c r="D28" i="5" s="1"/>
  <c r="D32" i="5" s="1"/>
  <c r="D33" i="5" s="1"/>
  <c r="E29" i="3"/>
  <c r="E28" i="7" l="1"/>
  <c r="E24" i="7"/>
  <c r="E23" i="7"/>
  <c r="E22" i="7"/>
  <c r="E21" i="7"/>
  <c r="E18" i="7"/>
  <c r="E17" i="7"/>
  <c r="E16" i="7"/>
  <c r="E15" i="7"/>
  <c r="E20" i="7" s="1"/>
  <c r="E26" i="7" s="1"/>
  <c r="E31" i="7" s="1"/>
  <c r="E12" i="7"/>
  <c r="E11" i="7"/>
  <c r="E10" i="7"/>
  <c r="E9" i="7"/>
  <c r="E8" i="7"/>
  <c r="E7" i="7"/>
  <c r="E6" i="7"/>
  <c r="E82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5" i="6"/>
  <c r="E64" i="6"/>
  <c r="E63" i="6"/>
  <c r="E62" i="6"/>
  <c r="E61" i="6"/>
  <c r="E60" i="6"/>
  <c r="E59" i="6"/>
  <c r="E58" i="6"/>
  <c r="E57" i="6"/>
  <c r="E56" i="6"/>
  <c r="E43" i="6"/>
  <c r="E42" i="6"/>
  <c r="E41" i="6"/>
  <c r="E40" i="6"/>
  <c r="E39" i="6"/>
  <c r="E38" i="6"/>
  <c r="E36" i="6"/>
  <c r="E88" i="6" s="1"/>
  <c r="E31" i="6"/>
  <c r="E30" i="6"/>
  <c r="E29" i="6"/>
  <c r="E28" i="6"/>
  <c r="E27" i="6"/>
  <c r="E26" i="6"/>
  <c r="E25" i="6"/>
  <c r="E24" i="6"/>
  <c r="E23" i="6"/>
  <c r="E22" i="6"/>
  <c r="E21" i="6"/>
  <c r="E20" i="6"/>
  <c r="E17" i="6"/>
  <c r="E16" i="6"/>
  <c r="E15" i="6"/>
  <c r="E14" i="6"/>
  <c r="E13" i="6"/>
  <c r="E12" i="6"/>
  <c r="E11" i="6"/>
  <c r="E10" i="6"/>
  <c r="E9" i="6"/>
  <c r="E8" i="6"/>
  <c r="E7" i="6"/>
  <c r="E36" i="5"/>
  <c r="E21" i="5" l="1"/>
  <c r="E53" i="6"/>
  <c r="E8" i="5"/>
  <c r="E9" i="5" s="1"/>
  <c r="E32" i="6"/>
  <c r="E11" i="5"/>
  <c r="E39" i="5"/>
  <c r="E80" i="6"/>
  <c r="E84" i="6" s="1"/>
  <c r="E66" i="6"/>
  <c r="E18" i="6"/>
  <c r="E17" i="5" l="1"/>
  <c r="E23" i="5" s="1"/>
  <c r="E28" i="5" s="1"/>
  <c r="E32" i="5" s="1"/>
  <c r="E33" i="5" s="1"/>
  <c r="E34" i="6"/>
  <c r="E86" i="6"/>
  <c r="E7" i="11" l="1"/>
  <c r="E10" i="10"/>
  <c r="E10" i="11" s="1"/>
  <c r="E15" i="3"/>
  <c r="E20" i="3" s="1"/>
  <c r="E26" i="3" s="1"/>
  <c r="E31" i="3" s="1"/>
  <c r="E13" i="3"/>
  <c r="E13" i="7" s="1"/>
  <c r="E53" i="1"/>
  <c r="E18" i="1"/>
  <c r="E36" i="1"/>
  <c r="E88" i="1" s="1"/>
  <c r="N33" i="7"/>
  <c r="N32" i="7"/>
  <c r="E12" i="10" l="1"/>
  <c r="E6" i="11"/>
  <c r="E8" i="11" s="1"/>
  <c r="E12" i="11" s="1"/>
  <c r="E80" i="1"/>
  <c r="E84" i="1" s="1"/>
  <c r="E14" i="10" s="1"/>
  <c r="E14" i="11" s="1"/>
  <c r="E66" i="1"/>
  <c r="E32" i="1"/>
  <c r="E34" i="1" s="1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M33" i="7"/>
  <c r="L33" i="7"/>
  <c r="K33" i="7"/>
  <c r="J33" i="7"/>
  <c r="I33" i="7"/>
  <c r="H33" i="7"/>
  <c r="G33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M32" i="7"/>
  <c r="L32" i="7"/>
  <c r="K32" i="7"/>
  <c r="J32" i="7"/>
  <c r="I32" i="7"/>
  <c r="H32" i="7"/>
  <c r="G32" i="7"/>
  <c r="F33" i="7"/>
  <c r="F32" i="7"/>
  <c r="E16" i="11" l="1"/>
  <c r="E16" i="10"/>
  <c r="E86" i="1"/>
  <c r="Q89" i="6"/>
  <c r="P89" i="6"/>
  <c r="O89" i="6"/>
  <c r="J89" i="6"/>
  <c r="I89" i="6"/>
  <c r="G89" i="6"/>
  <c r="N39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F89" i="1"/>
  <c r="H89" i="1"/>
  <c r="H89" i="6" s="1"/>
  <c r="K89" i="1"/>
  <c r="L89" i="1" s="1"/>
  <c r="G39" i="5" l="1"/>
  <c r="O39" i="5"/>
  <c r="M39" i="5"/>
  <c r="F39" i="5"/>
  <c r="H39" i="5"/>
  <c r="P39" i="5"/>
  <c r="I39" i="5"/>
  <c r="Q39" i="5"/>
  <c r="K39" i="5"/>
  <c r="S39" i="5"/>
  <c r="L39" i="5"/>
  <c r="J39" i="5"/>
  <c r="R39" i="5"/>
  <c r="F89" i="6"/>
  <c r="E89" i="1"/>
  <c r="K89" i="6"/>
  <c r="M89" i="1"/>
  <c r="L89" i="6"/>
  <c r="T39" i="5"/>
  <c r="E89" i="6" l="1"/>
  <c r="D89" i="1"/>
  <c r="C89" i="1" s="1"/>
  <c r="B89" i="1" s="1"/>
  <c r="B89" i="6" s="1"/>
  <c r="N89" i="1"/>
  <c r="M89" i="6"/>
  <c r="D89" i="6" l="1"/>
  <c r="C89" i="6"/>
  <c r="R89" i="1"/>
  <c r="N89" i="6"/>
  <c r="S89" i="1" l="1"/>
  <c r="R89" i="6"/>
  <c r="T89" i="1" l="1"/>
  <c r="T89" i="6" s="1"/>
  <c r="S89" i="6"/>
  <c r="F28" i="7" l="1"/>
  <c r="F27" i="7"/>
  <c r="F24" i="7"/>
  <c r="F23" i="7"/>
  <c r="F22" i="7"/>
  <c r="F21" i="7"/>
  <c r="F18" i="7"/>
  <c r="F17" i="7"/>
  <c r="F16" i="7"/>
  <c r="F15" i="7"/>
  <c r="F20" i="7" s="1"/>
  <c r="F26" i="7" s="1"/>
  <c r="F31" i="7" s="1"/>
  <c r="F12" i="7"/>
  <c r="F11" i="7"/>
  <c r="F10" i="7"/>
  <c r="F9" i="7"/>
  <c r="F8" i="7"/>
  <c r="F7" i="7"/>
  <c r="F6" i="7"/>
  <c r="F82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5" i="6"/>
  <c r="F64" i="6"/>
  <c r="F63" i="6"/>
  <c r="F62" i="6"/>
  <c r="F61" i="6"/>
  <c r="F60" i="6"/>
  <c r="F59" i="6"/>
  <c r="F58" i="6"/>
  <c r="F57" i="6"/>
  <c r="F56" i="6"/>
  <c r="F55" i="6"/>
  <c r="F54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6" i="6"/>
  <c r="F88" i="6" s="1"/>
  <c r="F31" i="6"/>
  <c r="F30" i="6"/>
  <c r="F29" i="6"/>
  <c r="F28" i="6"/>
  <c r="F27" i="6"/>
  <c r="F26" i="6"/>
  <c r="F25" i="6"/>
  <c r="F24" i="6"/>
  <c r="F23" i="6"/>
  <c r="F22" i="6"/>
  <c r="F21" i="6"/>
  <c r="F20" i="6"/>
  <c r="F17" i="6"/>
  <c r="F16" i="6"/>
  <c r="F15" i="6"/>
  <c r="F14" i="6"/>
  <c r="F13" i="6"/>
  <c r="F12" i="6"/>
  <c r="F11" i="6"/>
  <c r="F10" i="6"/>
  <c r="F9" i="6"/>
  <c r="F8" i="6"/>
  <c r="F7" i="6"/>
  <c r="F10" i="10"/>
  <c r="F10" i="11" s="1"/>
  <c r="F7" i="10"/>
  <c r="F7" i="11" s="1"/>
  <c r="F6" i="10"/>
  <c r="F6" i="11" s="1"/>
  <c r="F29" i="3"/>
  <c r="F29" i="7" s="1"/>
  <c r="F15" i="3"/>
  <c r="F20" i="3" s="1"/>
  <c r="F26" i="3" s="1"/>
  <c r="F31" i="3" s="1"/>
  <c r="F13" i="3"/>
  <c r="F13" i="7" s="1"/>
  <c r="F80" i="1"/>
  <c r="F84" i="1" s="1"/>
  <c r="F14" i="10" s="1"/>
  <c r="F14" i="11" s="1"/>
  <c r="F66" i="1"/>
  <c r="F53" i="1"/>
  <c r="F36" i="1"/>
  <c r="F88" i="1" s="1"/>
  <c r="F32" i="1"/>
  <c r="F18" i="1"/>
  <c r="G28" i="7"/>
  <c r="G27" i="7"/>
  <c r="G24" i="7"/>
  <c r="G23" i="7"/>
  <c r="G22" i="7"/>
  <c r="G21" i="7"/>
  <c r="G15" i="7"/>
  <c r="G20" i="7" s="1"/>
  <c r="G26" i="7" s="1"/>
  <c r="G31" i="7" s="1"/>
  <c r="G76" i="6"/>
  <c r="G64" i="6"/>
  <c r="G36" i="6"/>
  <c r="G88" i="6" s="1"/>
  <c r="F8" i="5" l="1"/>
  <c r="F9" i="5" s="1"/>
  <c r="F21" i="5"/>
  <c r="F66" i="6"/>
  <c r="F80" i="6"/>
  <c r="F84" i="6" s="1"/>
  <c r="F8" i="11"/>
  <c r="F12" i="11" s="1"/>
  <c r="F16" i="11" s="1"/>
  <c r="F53" i="6"/>
  <c r="F86" i="1"/>
  <c r="F32" i="6"/>
  <c r="F34" i="1"/>
  <c r="F18" i="6"/>
  <c r="F11" i="5"/>
  <c r="F8" i="10"/>
  <c r="F12" i="10" s="1"/>
  <c r="F16" i="10" s="1"/>
  <c r="G29" i="3"/>
  <c r="G29" i="7" s="1"/>
  <c r="F17" i="5" l="1"/>
  <c r="F23" i="5" s="1"/>
  <c r="F28" i="5" s="1"/>
  <c r="F32" i="5" s="1"/>
  <c r="F33" i="5" s="1"/>
  <c r="F34" i="6"/>
  <c r="F86" i="6"/>
  <c r="G18" i="7"/>
  <c r="G17" i="7"/>
  <c r="G16" i="7"/>
  <c r="G10" i="7"/>
  <c r="G12" i="7"/>
  <c r="G11" i="7"/>
  <c r="G9" i="7"/>
  <c r="G8" i="7"/>
  <c r="G7" i="7"/>
  <c r="G6" i="7"/>
  <c r="G15" i="3"/>
  <c r="G20" i="3" s="1"/>
  <c r="G26" i="3" s="1"/>
  <c r="G31" i="3" s="1"/>
  <c r="G82" i="6"/>
  <c r="G79" i="6"/>
  <c r="G78" i="6"/>
  <c r="G77" i="6"/>
  <c r="G75" i="6"/>
  <c r="G74" i="6"/>
  <c r="G73" i="6"/>
  <c r="G72" i="6"/>
  <c r="G71" i="6"/>
  <c r="G70" i="6"/>
  <c r="G69" i="6"/>
  <c r="G68" i="6"/>
  <c r="G67" i="6"/>
  <c r="G65" i="6"/>
  <c r="G63" i="6"/>
  <c r="G62" i="6"/>
  <c r="G61" i="6"/>
  <c r="G60" i="6"/>
  <c r="G59" i="6"/>
  <c r="G58" i="6"/>
  <c r="G57" i="6"/>
  <c r="G56" i="6"/>
  <c r="G55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1" i="6"/>
  <c r="G30" i="6"/>
  <c r="G29" i="6"/>
  <c r="G28" i="6"/>
  <c r="G27" i="6"/>
  <c r="G26" i="6"/>
  <c r="G25" i="6"/>
  <c r="G24" i="6"/>
  <c r="G23" i="6"/>
  <c r="G22" i="6"/>
  <c r="G21" i="6"/>
  <c r="G20" i="6"/>
  <c r="G17" i="6"/>
  <c r="G16" i="6"/>
  <c r="G15" i="6"/>
  <c r="G14" i="6"/>
  <c r="G13" i="6"/>
  <c r="G12" i="6"/>
  <c r="G11" i="6"/>
  <c r="G36" i="1"/>
  <c r="G88" i="1" s="1"/>
  <c r="G21" i="5" l="1"/>
  <c r="G13" i="3"/>
  <c r="G13" i="7" s="1"/>
  <c r="G11" i="5"/>
  <c r="G54" i="6"/>
  <c r="G66" i="6" s="1"/>
  <c r="G7" i="10"/>
  <c r="G7" i="11" s="1"/>
  <c r="G8" i="5"/>
  <c r="G32" i="6"/>
  <c r="G38" i="6"/>
  <c r="G53" i="6" s="1"/>
  <c r="G6" i="10"/>
  <c r="G80" i="6"/>
  <c r="G84" i="6" s="1"/>
  <c r="G80" i="1"/>
  <c r="G84" i="1" s="1"/>
  <c r="G14" i="10" s="1"/>
  <c r="G14" i="11" s="1"/>
  <c r="G66" i="1"/>
  <c r="G53" i="1"/>
  <c r="G32" i="1"/>
  <c r="G6" i="11" l="1"/>
  <c r="G8" i="11" s="1"/>
  <c r="G8" i="10"/>
  <c r="G9" i="5"/>
  <c r="G17" i="5"/>
  <c r="G23" i="5" s="1"/>
  <c r="G28" i="5" s="1"/>
  <c r="G32" i="5" s="1"/>
  <c r="G33" i="5" s="1"/>
  <c r="G86" i="6"/>
  <c r="G86" i="1"/>
  <c r="G8" i="6" l="1"/>
  <c r="G9" i="6"/>
  <c r="G10" i="6"/>
  <c r="G18" i="1" l="1"/>
  <c r="G34" i="1" s="1"/>
  <c r="G7" i="6"/>
  <c r="G18" i="6" s="1"/>
  <c r="G34" i="6" s="1"/>
  <c r="G10" i="10"/>
  <c r="H7" i="11"/>
  <c r="H6" i="11"/>
  <c r="H28" i="7"/>
  <c r="H27" i="7"/>
  <c r="H24" i="7"/>
  <c r="H23" i="7"/>
  <c r="H22" i="7"/>
  <c r="H21" i="7"/>
  <c r="H18" i="7"/>
  <c r="H17" i="7"/>
  <c r="H16" i="7"/>
  <c r="H15" i="7"/>
  <c r="H20" i="7" s="1"/>
  <c r="H26" i="7" s="1"/>
  <c r="H31" i="7" s="1"/>
  <c r="H11" i="7"/>
  <c r="H9" i="7"/>
  <c r="H8" i="7"/>
  <c r="H7" i="7"/>
  <c r="H6" i="7"/>
  <c r="J36" i="6"/>
  <c r="J88" i="6" s="1"/>
  <c r="I36" i="6"/>
  <c r="I88" i="6" s="1"/>
  <c r="H36" i="6"/>
  <c r="H88" i="6" s="1"/>
  <c r="H82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5" i="6"/>
  <c r="H64" i="6"/>
  <c r="H63" i="6"/>
  <c r="H62" i="6"/>
  <c r="H61" i="6"/>
  <c r="H60" i="6"/>
  <c r="H59" i="6"/>
  <c r="H58" i="6"/>
  <c r="H57" i="6"/>
  <c r="H56" i="6"/>
  <c r="H55" i="6"/>
  <c r="H54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1" i="6"/>
  <c r="H30" i="6"/>
  <c r="H29" i="6"/>
  <c r="H28" i="6"/>
  <c r="H27" i="6"/>
  <c r="H26" i="6"/>
  <c r="H25" i="6"/>
  <c r="H24" i="6"/>
  <c r="H23" i="6"/>
  <c r="H22" i="6"/>
  <c r="H21" i="6"/>
  <c r="H20" i="6"/>
  <c r="H17" i="6"/>
  <c r="H16" i="6"/>
  <c r="H15" i="6"/>
  <c r="H14" i="6"/>
  <c r="H13" i="6"/>
  <c r="H12" i="6"/>
  <c r="H11" i="6"/>
  <c r="H10" i="6"/>
  <c r="H9" i="6"/>
  <c r="H8" i="6"/>
  <c r="H7" i="6"/>
  <c r="H10" i="10"/>
  <c r="H12" i="10" s="1"/>
  <c r="H8" i="10"/>
  <c r="H21" i="5" l="1"/>
  <c r="H8" i="11"/>
  <c r="H11" i="5"/>
  <c r="G10" i="11"/>
  <c r="G12" i="11" s="1"/>
  <c r="G16" i="11" s="1"/>
  <c r="G12" i="10"/>
  <c r="G16" i="10" s="1"/>
  <c r="H80" i="6"/>
  <c r="H84" i="6" s="1"/>
  <c r="H32" i="6"/>
  <c r="H66" i="6"/>
  <c r="H53" i="6"/>
  <c r="H10" i="11"/>
  <c r="H12" i="11" s="1"/>
  <c r="H18" i="6"/>
  <c r="H8" i="5"/>
  <c r="H9" i="5" s="1"/>
  <c r="H86" i="6" l="1"/>
  <c r="H34" i="6"/>
  <c r="H17" i="5"/>
  <c r="H23" i="5" s="1"/>
  <c r="H28" i="5" s="1"/>
  <c r="H32" i="5" s="1"/>
  <c r="H33" i="5" s="1"/>
  <c r="H29" i="3"/>
  <c r="H29" i="7" s="1"/>
  <c r="K15" i="3" l="1"/>
  <c r="K20" i="3" s="1"/>
  <c r="K26" i="3" s="1"/>
  <c r="K31" i="3" s="1"/>
  <c r="J15" i="3"/>
  <c r="J20" i="3" s="1"/>
  <c r="J26" i="3" s="1"/>
  <c r="J31" i="3" s="1"/>
  <c r="I15" i="3"/>
  <c r="I20" i="3" s="1"/>
  <c r="I26" i="3" s="1"/>
  <c r="I31" i="3" s="1"/>
  <c r="H15" i="3"/>
  <c r="H20" i="3" s="1"/>
  <c r="H26" i="3" s="1"/>
  <c r="H31" i="3" s="1"/>
  <c r="H13" i="3"/>
  <c r="H13" i="7" s="1"/>
  <c r="H12" i="3"/>
  <c r="H12" i="7" s="1"/>
  <c r="H10" i="3"/>
  <c r="H10" i="7" s="1"/>
  <c r="H80" i="1" l="1"/>
  <c r="H84" i="1" s="1"/>
  <c r="H66" i="1"/>
  <c r="H53" i="1"/>
  <c r="H36" i="1"/>
  <c r="H88" i="1" s="1"/>
  <c r="I36" i="1"/>
  <c r="I88" i="1" s="1"/>
  <c r="J36" i="1"/>
  <c r="J88" i="1" s="1"/>
  <c r="K36" i="1"/>
  <c r="K88" i="1" s="1"/>
  <c r="H32" i="1"/>
  <c r="H18" i="1"/>
  <c r="H34" i="1" l="1"/>
  <c r="H86" i="1"/>
  <c r="H14" i="10"/>
  <c r="H14" i="11" l="1"/>
  <c r="H16" i="11" s="1"/>
  <c r="H16" i="10"/>
  <c r="I7" i="11"/>
  <c r="I6" i="11"/>
  <c r="I28" i="7"/>
  <c r="I27" i="7"/>
  <c r="I24" i="7"/>
  <c r="I23" i="7"/>
  <c r="I22" i="7"/>
  <c r="I21" i="7"/>
  <c r="I18" i="7"/>
  <c r="I17" i="7"/>
  <c r="I16" i="7"/>
  <c r="I15" i="7"/>
  <c r="I20" i="7" s="1"/>
  <c r="I26" i="7" s="1"/>
  <c r="I31" i="7" s="1"/>
  <c r="I11" i="7"/>
  <c r="I9" i="7"/>
  <c r="I8" i="7"/>
  <c r="I7" i="7"/>
  <c r="I6" i="7"/>
  <c r="I82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5" i="6"/>
  <c r="I64" i="6"/>
  <c r="I63" i="6"/>
  <c r="I62" i="6"/>
  <c r="I61" i="6"/>
  <c r="I60" i="6"/>
  <c r="I59" i="6"/>
  <c r="I58" i="6"/>
  <c r="I57" i="6"/>
  <c r="I56" i="6"/>
  <c r="I55" i="6"/>
  <c r="I54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1" i="6"/>
  <c r="I30" i="6"/>
  <c r="I29" i="6"/>
  <c r="I28" i="6"/>
  <c r="I27" i="6"/>
  <c r="I26" i="6"/>
  <c r="I25" i="6"/>
  <c r="I24" i="6"/>
  <c r="I23" i="6"/>
  <c r="I22" i="6"/>
  <c r="I21" i="6"/>
  <c r="I20" i="6"/>
  <c r="I17" i="6"/>
  <c r="I16" i="6"/>
  <c r="I15" i="6"/>
  <c r="I14" i="6"/>
  <c r="I13" i="6"/>
  <c r="I12" i="6"/>
  <c r="I11" i="6"/>
  <c r="I10" i="6"/>
  <c r="I9" i="6"/>
  <c r="I8" i="6"/>
  <c r="I7" i="6"/>
  <c r="I10" i="10"/>
  <c r="I10" i="11" s="1"/>
  <c r="I8" i="10"/>
  <c r="I29" i="3"/>
  <c r="I29" i="7" s="1"/>
  <c r="I8" i="11" l="1"/>
  <c r="I12" i="11" s="1"/>
  <c r="I8" i="5"/>
  <c r="I9" i="5" s="1"/>
  <c r="I32" i="6"/>
  <c r="I53" i="6"/>
  <c r="I12" i="10"/>
  <c r="I21" i="5"/>
  <c r="I80" i="6"/>
  <c r="I84" i="6" s="1"/>
  <c r="I18" i="6"/>
  <c r="I66" i="6"/>
  <c r="I11" i="5"/>
  <c r="I34" i="6" l="1"/>
  <c r="I86" i="6"/>
  <c r="I17" i="5"/>
  <c r="I23" i="5" s="1"/>
  <c r="I28" i="5" s="1"/>
  <c r="I32" i="5" s="1"/>
  <c r="I33" i="5" s="1"/>
  <c r="I13" i="3"/>
  <c r="I13" i="7" s="1"/>
  <c r="I12" i="3"/>
  <c r="I12" i="7" s="1"/>
  <c r="I10" i="3"/>
  <c r="I10" i="7" s="1"/>
  <c r="I80" i="1" l="1"/>
  <c r="I84" i="1" s="1"/>
  <c r="I14" i="10" s="1"/>
  <c r="I66" i="1"/>
  <c r="I53" i="1"/>
  <c r="I32" i="1"/>
  <c r="I18" i="1"/>
  <c r="I34" i="1" l="1"/>
  <c r="I14" i="11"/>
  <c r="I16" i="11" s="1"/>
  <c r="I16" i="10"/>
  <c r="I86" i="1"/>
  <c r="J7" i="11" l="1"/>
  <c r="J6" i="11"/>
  <c r="J28" i="7"/>
  <c r="J27" i="7"/>
  <c r="J24" i="7"/>
  <c r="J23" i="7"/>
  <c r="J22" i="7"/>
  <c r="J21" i="7"/>
  <c r="J18" i="7"/>
  <c r="J17" i="7"/>
  <c r="J16" i="7"/>
  <c r="J15" i="7"/>
  <c r="J20" i="7" s="1"/>
  <c r="J26" i="7" s="1"/>
  <c r="J31" i="7" s="1"/>
  <c r="J11" i="7"/>
  <c r="J9" i="7"/>
  <c r="J8" i="7"/>
  <c r="J7" i="7"/>
  <c r="J6" i="7"/>
  <c r="J82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5" i="6"/>
  <c r="J64" i="6"/>
  <c r="J63" i="6"/>
  <c r="J62" i="6"/>
  <c r="J61" i="6"/>
  <c r="J60" i="6"/>
  <c r="J59" i="6"/>
  <c r="J58" i="6"/>
  <c r="J57" i="6"/>
  <c r="J56" i="6"/>
  <c r="J55" i="6"/>
  <c r="J54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1" i="6"/>
  <c r="J30" i="6"/>
  <c r="J29" i="6"/>
  <c r="J28" i="6"/>
  <c r="J27" i="6"/>
  <c r="J26" i="6"/>
  <c r="J25" i="6"/>
  <c r="J24" i="6"/>
  <c r="J23" i="6"/>
  <c r="J22" i="6"/>
  <c r="J21" i="6"/>
  <c r="J20" i="6"/>
  <c r="J17" i="6"/>
  <c r="J16" i="6"/>
  <c r="J15" i="6"/>
  <c r="J14" i="6"/>
  <c r="J13" i="6"/>
  <c r="J12" i="6"/>
  <c r="J11" i="6"/>
  <c r="J10" i="6"/>
  <c r="J9" i="6"/>
  <c r="J8" i="6"/>
  <c r="J7" i="6"/>
  <c r="J10" i="10"/>
  <c r="J10" i="11" s="1"/>
  <c r="J8" i="10"/>
  <c r="J29" i="3"/>
  <c r="J29" i="7" s="1"/>
  <c r="J8" i="5" l="1"/>
  <c r="J9" i="5" s="1"/>
  <c r="J21" i="5"/>
  <c r="J8" i="11"/>
  <c r="J12" i="11" s="1"/>
  <c r="J32" i="6"/>
  <c r="J53" i="6"/>
  <c r="J12" i="10"/>
  <c r="J80" i="6"/>
  <c r="J84" i="6" s="1"/>
  <c r="J11" i="5"/>
  <c r="J18" i="6"/>
  <c r="J66" i="6"/>
  <c r="J17" i="5" l="1"/>
  <c r="J23" i="5" s="1"/>
  <c r="J28" i="5" s="1"/>
  <c r="J32" i="5" s="1"/>
  <c r="J33" i="5" s="1"/>
  <c r="J86" i="6"/>
  <c r="J34" i="6"/>
  <c r="J13" i="3"/>
  <c r="J13" i="7" s="1"/>
  <c r="J12" i="3"/>
  <c r="J12" i="7" s="1"/>
  <c r="J10" i="3"/>
  <c r="J10" i="7" s="1"/>
  <c r="J80" i="1" l="1"/>
  <c r="J84" i="1" s="1"/>
  <c r="J14" i="10" s="1"/>
  <c r="J66" i="1"/>
  <c r="J53" i="1"/>
  <c r="J32" i="1"/>
  <c r="J18" i="1"/>
  <c r="J34" i="1" l="1"/>
  <c r="J14" i="11"/>
  <c r="J16" i="11" s="1"/>
  <c r="J16" i="10"/>
  <c r="J86" i="1"/>
  <c r="K7" i="11" l="1"/>
  <c r="K6" i="11"/>
  <c r="K8" i="11" s="1"/>
  <c r="K28" i="7"/>
  <c r="K27" i="7"/>
  <c r="K24" i="7"/>
  <c r="K23" i="7"/>
  <c r="K22" i="7"/>
  <c r="K21" i="7"/>
  <c r="K18" i="7"/>
  <c r="K17" i="7"/>
  <c r="K16" i="7"/>
  <c r="K15" i="7"/>
  <c r="K20" i="7" s="1"/>
  <c r="K26" i="7" s="1"/>
  <c r="K31" i="7" s="1"/>
  <c r="K11" i="7"/>
  <c r="K9" i="7"/>
  <c r="K8" i="7"/>
  <c r="K7" i="7"/>
  <c r="K6" i="7"/>
  <c r="K82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5" i="6"/>
  <c r="K64" i="6"/>
  <c r="K63" i="6"/>
  <c r="K62" i="6"/>
  <c r="K61" i="6"/>
  <c r="K60" i="6"/>
  <c r="K59" i="6"/>
  <c r="K58" i="6"/>
  <c r="K57" i="6"/>
  <c r="K56" i="6"/>
  <c r="K55" i="6"/>
  <c r="K54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6" i="6"/>
  <c r="K88" i="6" s="1"/>
  <c r="K31" i="6"/>
  <c r="K30" i="6"/>
  <c r="K29" i="6"/>
  <c r="K28" i="6"/>
  <c r="K27" i="6"/>
  <c r="K26" i="6"/>
  <c r="K25" i="6"/>
  <c r="K24" i="6"/>
  <c r="K23" i="6"/>
  <c r="K22" i="6"/>
  <c r="K21" i="6"/>
  <c r="K20" i="6"/>
  <c r="K17" i="6"/>
  <c r="K16" i="6"/>
  <c r="K15" i="6"/>
  <c r="K14" i="6"/>
  <c r="K13" i="6"/>
  <c r="K12" i="6"/>
  <c r="K11" i="6"/>
  <c r="K10" i="6"/>
  <c r="K9" i="6"/>
  <c r="K8" i="6"/>
  <c r="K7" i="6"/>
  <c r="K10" i="10"/>
  <c r="K12" i="10" s="1"/>
  <c r="K8" i="10"/>
  <c r="K11" i="5" l="1"/>
  <c r="K21" i="5"/>
  <c r="K18" i="6"/>
  <c r="K80" i="6"/>
  <c r="K84" i="6" s="1"/>
  <c r="K32" i="6"/>
  <c r="K53" i="6"/>
  <c r="K8" i="5"/>
  <c r="K9" i="5" s="1"/>
  <c r="K66" i="6"/>
  <c r="K10" i="11"/>
  <c r="K12" i="11" s="1"/>
  <c r="K29" i="3"/>
  <c r="K29" i="7" s="1"/>
  <c r="K34" i="6" l="1"/>
  <c r="K86" i="6"/>
  <c r="K17" i="5"/>
  <c r="K23" i="5" s="1"/>
  <c r="K28" i="5" s="1"/>
  <c r="K32" i="5" s="1"/>
  <c r="K33" i="5" s="1"/>
  <c r="K13" i="3"/>
  <c r="K13" i="7" s="1"/>
  <c r="K12" i="3"/>
  <c r="K12" i="7" s="1"/>
  <c r="K10" i="3"/>
  <c r="K10" i="7" s="1"/>
  <c r="K80" i="1" l="1"/>
  <c r="K84" i="1" s="1"/>
  <c r="K14" i="10" s="1"/>
  <c r="K66" i="1"/>
  <c r="K53" i="1"/>
  <c r="K32" i="1"/>
  <c r="K18" i="1"/>
  <c r="K34" i="1" l="1"/>
  <c r="K14" i="11"/>
  <c r="K16" i="11" s="1"/>
  <c r="K16" i="10"/>
  <c r="K86" i="1"/>
  <c r="L7" i="11"/>
  <c r="L6" i="11"/>
  <c r="L6" i="7"/>
  <c r="L7" i="7"/>
  <c r="L8" i="7"/>
  <c r="L9" i="7"/>
  <c r="L11" i="7"/>
  <c r="M6" i="7"/>
  <c r="M7" i="7"/>
  <c r="M8" i="7"/>
  <c r="M9" i="7"/>
  <c r="M11" i="7"/>
  <c r="N6" i="7"/>
  <c r="N7" i="7"/>
  <c r="N8" i="7"/>
  <c r="N9" i="7"/>
  <c r="N11" i="7"/>
  <c r="O6" i="7"/>
  <c r="O7" i="7"/>
  <c r="O8" i="7"/>
  <c r="O9" i="7"/>
  <c r="O11" i="7"/>
  <c r="P6" i="7"/>
  <c r="P7" i="7"/>
  <c r="P8" i="7"/>
  <c r="P9" i="7"/>
  <c r="P11" i="7"/>
  <c r="Q6" i="7"/>
  <c r="Q7" i="7"/>
  <c r="Q8" i="7"/>
  <c r="Q9" i="7"/>
  <c r="Q11" i="7"/>
  <c r="R6" i="7"/>
  <c r="R7" i="7"/>
  <c r="R8" i="7"/>
  <c r="R9" i="7"/>
  <c r="R11" i="7"/>
  <c r="S6" i="7"/>
  <c r="S7" i="7"/>
  <c r="S8" i="7"/>
  <c r="S9" i="7"/>
  <c r="S11" i="7"/>
  <c r="T6" i="7"/>
  <c r="T7" i="7"/>
  <c r="T8" i="7"/>
  <c r="T9" i="7"/>
  <c r="T11" i="7"/>
  <c r="U6" i="7"/>
  <c r="U7" i="7"/>
  <c r="U8" i="7"/>
  <c r="U9" i="7"/>
  <c r="U11" i="7"/>
  <c r="V6" i="7"/>
  <c r="V7" i="7"/>
  <c r="V8" i="7"/>
  <c r="V9" i="7"/>
  <c r="V11" i="7"/>
  <c r="W6" i="7"/>
  <c r="W7" i="7"/>
  <c r="W8" i="7"/>
  <c r="W9" i="7"/>
  <c r="W11" i="7"/>
  <c r="X6" i="7"/>
  <c r="X7" i="7"/>
  <c r="X8" i="7"/>
  <c r="X9" i="7"/>
  <c r="X11" i="7"/>
  <c r="Y6" i="7"/>
  <c r="Y7" i="7"/>
  <c r="Y8" i="7"/>
  <c r="Y9" i="7"/>
  <c r="Y11" i="7"/>
  <c r="Z6" i="7"/>
  <c r="Z7" i="7"/>
  <c r="Z8" i="7"/>
  <c r="Z9" i="7"/>
  <c r="Z11" i="7"/>
  <c r="AA6" i="7"/>
  <c r="AA7" i="7"/>
  <c r="AA8" i="7"/>
  <c r="AA9" i="7"/>
  <c r="AA11" i="7"/>
  <c r="AB6" i="7"/>
  <c r="AB7" i="7"/>
  <c r="AB8" i="7"/>
  <c r="AB9" i="7"/>
  <c r="AB11" i="7"/>
  <c r="L16" i="7"/>
  <c r="M16" i="7"/>
  <c r="N16" i="7"/>
  <c r="O16" i="7"/>
  <c r="P16" i="7"/>
  <c r="Q16" i="7"/>
  <c r="R16" i="7"/>
  <c r="S16" i="7"/>
  <c r="T16" i="7"/>
  <c r="U16" i="7"/>
  <c r="V16" i="7"/>
  <c r="W16" i="7"/>
  <c r="X16" i="7"/>
  <c r="Y16" i="7"/>
  <c r="Z16" i="7"/>
  <c r="AA16" i="7"/>
  <c r="AB16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L18" i="7"/>
  <c r="M18" i="7"/>
  <c r="N18" i="7"/>
  <c r="O18" i="7"/>
  <c r="P18" i="7"/>
  <c r="Q18" i="7"/>
  <c r="R18" i="7"/>
  <c r="S18" i="7"/>
  <c r="T18" i="7"/>
  <c r="U18" i="7"/>
  <c r="V18" i="7"/>
  <c r="W18" i="7"/>
  <c r="X18" i="7"/>
  <c r="Y18" i="7"/>
  <c r="Z18" i="7"/>
  <c r="AA18" i="7"/>
  <c r="AB18" i="7"/>
  <c r="L21" i="7"/>
  <c r="M21" i="7"/>
  <c r="N21" i="7"/>
  <c r="O21" i="7"/>
  <c r="P21" i="7"/>
  <c r="Q21" i="7"/>
  <c r="R21" i="7"/>
  <c r="S21" i="7"/>
  <c r="T21" i="7"/>
  <c r="U21" i="7"/>
  <c r="V21" i="7"/>
  <c r="W21" i="7"/>
  <c r="X21" i="7"/>
  <c r="Y21" i="7"/>
  <c r="Z21" i="7"/>
  <c r="AA21" i="7"/>
  <c r="AB21" i="7"/>
  <c r="L22" i="7"/>
  <c r="M22" i="7"/>
  <c r="N22" i="7"/>
  <c r="O22" i="7"/>
  <c r="P22" i="7"/>
  <c r="Q22" i="7"/>
  <c r="R22" i="7"/>
  <c r="S22" i="7"/>
  <c r="T22" i="7"/>
  <c r="U22" i="7"/>
  <c r="V22" i="7"/>
  <c r="W22" i="7"/>
  <c r="X22" i="7"/>
  <c r="Y22" i="7"/>
  <c r="Z22" i="7"/>
  <c r="AA22" i="7"/>
  <c r="AB22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L27" i="7"/>
  <c r="M27" i="7"/>
  <c r="N27" i="7"/>
  <c r="L28" i="7"/>
  <c r="M28" i="7"/>
  <c r="N28" i="7"/>
  <c r="M36" i="6"/>
  <c r="M88" i="6" s="1"/>
  <c r="L36" i="6"/>
  <c r="L88" i="6" s="1"/>
  <c r="L82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5" i="6"/>
  <c r="L64" i="6"/>
  <c r="L63" i="6"/>
  <c r="L62" i="6"/>
  <c r="L61" i="6"/>
  <c r="L60" i="6"/>
  <c r="L59" i="6"/>
  <c r="L58" i="6"/>
  <c r="L57" i="6"/>
  <c r="L56" i="6"/>
  <c r="L55" i="6"/>
  <c r="L54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1" i="6"/>
  <c r="L30" i="6"/>
  <c r="L29" i="6"/>
  <c r="L28" i="6"/>
  <c r="L27" i="6"/>
  <c r="L26" i="6"/>
  <c r="L25" i="6"/>
  <c r="L24" i="6"/>
  <c r="L23" i="6"/>
  <c r="L22" i="6"/>
  <c r="L21" i="6"/>
  <c r="L20" i="6"/>
  <c r="L17" i="6"/>
  <c r="L16" i="6"/>
  <c r="L15" i="6"/>
  <c r="L14" i="6"/>
  <c r="L13" i="6"/>
  <c r="L12" i="6"/>
  <c r="L11" i="6"/>
  <c r="L10" i="6"/>
  <c r="L9" i="6"/>
  <c r="L8" i="6"/>
  <c r="L7" i="6"/>
  <c r="L10" i="10"/>
  <c r="L10" i="11" s="1"/>
  <c r="L8" i="10"/>
  <c r="L80" i="1"/>
  <c r="L84" i="1" s="1"/>
  <c r="L66" i="1"/>
  <c r="L53" i="1"/>
  <c r="L32" i="1"/>
  <c r="N18" i="1"/>
  <c r="L18" i="1"/>
  <c r="L36" i="1"/>
  <c r="L88" i="1" s="1"/>
  <c r="M36" i="1"/>
  <c r="M88" i="1" s="1"/>
  <c r="L15" i="7"/>
  <c r="L20" i="7" s="1"/>
  <c r="L26" i="7" s="1"/>
  <c r="L31" i="7" s="1"/>
  <c r="L34" i="1" l="1"/>
  <c r="L11" i="5"/>
  <c r="L21" i="5"/>
  <c r="L32" i="6"/>
  <c r="L8" i="5"/>
  <c r="L9" i="5" s="1"/>
  <c r="L12" i="10"/>
  <c r="L14" i="10"/>
  <c r="L14" i="11" s="1"/>
  <c r="L86" i="1"/>
  <c r="L66" i="6"/>
  <c r="L53" i="6"/>
  <c r="L18" i="6"/>
  <c r="L8" i="11"/>
  <c r="L12" i="11" s="1"/>
  <c r="L80" i="6"/>
  <c r="L84" i="6" s="1"/>
  <c r="L13" i="3"/>
  <c r="L13" i="7" s="1"/>
  <c r="L12" i="3"/>
  <c r="L12" i="7" s="1"/>
  <c r="L10" i="3"/>
  <c r="L10" i="7" s="1"/>
  <c r="L29" i="3"/>
  <c r="L29" i="7" s="1"/>
  <c r="L15" i="3"/>
  <c r="L20" i="3" s="1"/>
  <c r="L26" i="3" s="1"/>
  <c r="L31" i="3" s="1"/>
  <c r="AA10" i="3"/>
  <c r="AA10" i="7" s="1"/>
  <c r="Z10" i="3"/>
  <c r="Z10" i="7" s="1"/>
  <c r="W10" i="3"/>
  <c r="W10" i="7" s="1"/>
  <c r="U10" i="3"/>
  <c r="U10" i="7" s="1"/>
  <c r="S10" i="3"/>
  <c r="S10" i="7" s="1"/>
  <c r="T10" i="3"/>
  <c r="T10" i="7" s="1"/>
  <c r="Q10" i="3"/>
  <c r="Q10" i="7" s="1"/>
  <c r="N10" i="3"/>
  <c r="N10" i="7" s="1"/>
  <c r="O10" i="3"/>
  <c r="O10" i="7" s="1"/>
  <c r="P10" i="3"/>
  <c r="P10" i="7" s="1"/>
  <c r="R10" i="3"/>
  <c r="R10" i="7" s="1"/>
  <c r="V10" i="3"/>
  <c r="V10" i="7" s="1"/>
  <c r="X10" i="3"/>
  <c r="X10" i="7" s="1"/>
  <c r="Y10" i="3"/>
  <c r="Y10" i="7" s="1"/>
  <c r="AB10" i="3"/>
  <c r="AB10" i="7" s="1"/>
  <c r="M10" i="3"/>
  <c r="M10" i="7" s="1"/>
  <c r="L17" i="5" l="1"/>
  <c r="L23" i="5" s="1"/>
  <c r="L28" i="5" s="1"/>
  <c r="L32" i="5" s="1"/>
  <c r="L33" i="5" s="1"/>
  <c r="L34" i="6"/>
  <c r="L86" i="6"/>
  <c r="L16" i="11"/>
  <c r="L16" i="10"/>
  <c r="R13" i="3"/>
  <c r="R13" i="7" s="1"/>
  <c r="R12" i="3"/>
  <c r="R12" i="7" s="1"/>
  <c r="S13" i="3"/>
  <c r="S13" i="7" s="1"/>
  <c r="S12" i="3"/>
  <c r="S12" i="7" s="1"/>
  <c r="M7" i="11" l="1"/>
  <c r="M6" i="11"/>
  <c r="T10" i="10"/>
  <c r="S10" i="10"/>
  <c r="R10" i="10"/>
  <c r="Q10" i="10"/>
  <c r="P10" i="10"/>
  <c r="O10" i="10"/>
  <c r="N10" i="10"/>
  <c r="M10" i="10"/>
  <c r="M10" i="11" s="1"/>
  <c r="M8" i="10"/>
  <c r="M15" i="7"/>
  <c r="M20" i="7" s="1"/>
  <c r="M26" i="7" s="1"/>
  <c r="M31" i="7" s="1"/>
  <c r="M29" i="3"/>
  <c r="M29" i="7" s="1"/>
  <c r="M8" i="11" l="1"/>
  <c r="M12" i="11" s="1"/>
  <c r="M12" i="10"/>
  <c r="M15" i="3"/>
  <c r="M20" i="3" s="1"/>
  <c r="M26" i="3" s="1"/>
  <c r="M31" i="3" s="1"/>
  <c r="M13" i="3"/>
  <c r="M13" i="7" s="1"/>
  <c r="M12" i="3"/>
  <c r="M12" i="7" s="1"/>
  <c r="M82" i="6" l="1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5" i="6"/>
  <c r="M64" i="6"/>
  <c r="M63" i="6"/>
  <c r="M62" i="6"/>
  <c r="M61" i="6"/>
  <c r="M60" i="6"/>
  <c r="M59" i="6"/>
  <c r="M58" i="6"/>
  <c r="M57" i="6"/>
  <c r="M56" i="6"/>
  <c r="M55" i="6"/>
  <c r="M54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1" i="6"/>
  <c r="M30" i="6"/>
  <c r="M29" i="6"/>
  <c r="M28" i="6"/>
  <c r="M27" i="6"/>
  <c r="M26" i="6"/>
  <c r="M25" i="6"/>
  <c r="M24" i="6"/>
  <c r="M23" i="6"/>
  <c r="M22" i="6"/>
  <c r="M21" i="6"/>
  <c r="M20" i="6"/>
  <c r="M17" i="6"/>
  <c r="M16" i="6"/>
  <c r="M15" i="6"/>
  <c r="M14" i="6"/>
  <c r="M13" i="6"/>
  <c r="M12" i="6"/>
  <c r="M11" i="6"/>
  <c r="M10" i="6"/>
  <c r="M9" i="6"/>
  <c r="M8" i="6"/>
  <c r="M7" i="6"/>
  <c r="M66" i="1"/>
  <c r="M80" i="1"/>
  <c r="M84" i="1" s="1"/>
  <c r="M14" i="10" s="1"/>
  <c r="M53" i="1"/>
  <c r="M32" i="1"/>
  <c r="M18" i="1"/>
  <c r="M21" i="5" l="1"/>
  <c r="M11" i="5"/>
  <c r="M32" i="6"/>
  <c r="M66" i="6"/>
  <c r="M14" i="11"/>
  <c r="M16" i="11" s="1"/>
  <c r="M16" i="10"/>
  <c r="M80" i="6"/>
  <c r="M84" i="6" s="1"/>
  <c r="M53" i="6"/>
  <c r="M18" i="6"/>
  <c r="M8" i="5"/>
  <c r="M9" i="5" s="1"/>
  <c r="M86" i="1"/>
  <c r="M34" i="1"/>
  <c r="M34" i="6" l="1"/>
  <c r="M86" i="6"/>
  <c r="M17" i="5"/>
  <c r="M23" i="5" s="1"/>
  <c r="M28" i="5" s="1"/>
  <c r="M32" i="5" s="1"/>
  <c r="M33" i="5" s="1"/>
  <c r="T10" i="11"/>
  <c r="S10" i="11"/>
  <c r="R10" i="11"/>
  <c r="Q10" i="11"/>
  <c r="P10" i="11"/>
  <c r="O10" i="11"/>
  <c r="N10" i="11"/>
  <c r="T7" i="10"/>
  <c r="T7" i="11" s="1"/>
  <c r="S7" i="10"/>
  <c r="S7" i="11" s="1"/>
  <c r="R7" i="10"/>
  <c r="R7" i="11" s="1"/>
  <c r="Q7" i="10"/>
  <c r="Q7" i="11" s="1"/>
  <c r="P7" i="10"/>
  <c r="P7" i="11" s="1"/>
  <c r="O7" i="10"/>
  <c r="O7" i="11" s="1"/>
  <c r="T6" i="10"/>
  <c r="S6" i="10"/>
  <c r="S6" i="11" s="1"/>
  <c r="R6" i="10"/>
  <c r="Q6" i="10"/>
  <c r="P6" i="10"/>
  <c r="O6" i="10"/>
  <c r="O6" i="11" s="1"/>
  <c r="N7" i="10"/>
  <c r="N7" i="11" s="1"/>
  <c r="N6" i="10"/>
  <c r="S8" i="11" l="1"/>
  <c r="S12" i="11" s="1"/>
  <c r="S8" i="10"/>
  <c r="S12" i="10" s="1"/>
  <c r="O8" i="11"/>
  <c r="O12" i="11" s="1"/>
  <c r="P8" i="10"/>
  <c r="P12" i="10" s="1"/>
  <c r="P6" i="11"/>
  <c r="P8" i="11" s="1"/>
  <c r="P12" i="11" s="1"/>
  <c r="Q8" i="10"/>
  <c r="Q12" i="10" s="1"/>
  <c r="Q6" i="11"/>
  <c r="Q8" i="11" s="1"/>
  <c r="Q12" i="11" s="1"/>
  <c r="N8" i="10"/>
  <c r="N12" i="10" s="1"/>
  <c r="N6" i="11"/>
  <c r="N8" i="11" s="1"/>
  <c r="N12" i="11" s="1"/>
  <c r="R8" i="10"/>
  <c r="R12" i="10" s="1"/>
  <c r="R6" i="11"/>
  <c r="R8" i="11" s="1"/>
  <c r="R12" i="11" s="1"/>
  <c r="T8" i="10"/>
  <c r="T12" i="10" s="1"/>
  <c r="T6" i="11"/>
  <c r="T8" i="11" s="1"/>
  <c r="T12" i="11" s="1"/>
  <c r="O8" i="10"/>
  <c r="O12" i="10" s="1"/>
  <c r="N29" i="3"/>
  <c r="N29" i="7" s="1"/>
  <c r="Z15" i="7" l="1"/>
  <c r="Z20" i="7" s="1"/>
  <c r="Z26" i="7" s="1"/>
  <c r="Z31" i="7" s="1"/>
  <c r="V15" i="7"/>
  <c r="V20" i="7" s="1"/>
  <c r="V26" i="7" s="1"/>
  <c r="V31" i="7" s="1"/>
  <c r="T36" i="6"/>
  <c r="T88" i="6" s="1"/>
  <c r="S36" i="6"/>
  <c r="S88" i="6" s="1"/>
  <c r="P36" i="6"/>
  <c r="P88" i="6" s="1"/>
  <c r="O36" i="6"/>
  <c r="O88" i="6" s="1"/>
  <c r="R82" i="6"/>
  <c r="T69" i="6"/>
  <c r="P60" i="6"/>
  <c r="Q50" i="6"/>
  <c r="S39" i="6"/>
  <c r="Q25" i="6"/>
  <c r="S15" i="6"/>
  <c r="AB15" i="7"/>
  <c r="AB20" i="7" s="1"/>
  <c r="AB26" i="7" s="1"/>
  <c r="AB31" i="7" s="1"/>
  <c r="AA15" i="7"/>
  <c r="AA20" i="7" s="1"/>
  <c r="AA26" i="7" s="1"/>
  <c r="AA31" i="7" s="1"/>
  <c r="Y15" i="7"/>
  <c r="Y20" i="7" s="1"/>
  <c r="Y26" i="7" s="1"/>
  <c r="Y31" i="7" s="1"/>
  <c r="X15" i="7"/>
  <c r="X20" i="7" s="1"/>
  <c r="X26" i="7" s="1"/>
  <c r="X31" i="7" s="1"/>
  <c r="W15" i="7"/>
  <c r="W20" i="7" s="1"/>
  <c r="W26" i="7" s="1"/>
  <c r="W31" i="7" s="1"/>
  <c r="U15" i="7"/>
  <c r="U20" i="7" s="1"/>
  <c r="U26" i="7" s="1"/>
  <c r="U31" i="7" s="1"/>
  <c r="T82" i="6"/>
  <c r="S82" i="6"/>
  <c r="Q82" i="6"/>
  <c r="P82" i="6"/>
  <c r="O82" i="6"/>
  <c r="N82" i="6"/>
  <c r="T79" i="6"/>
  <c r="S79" i="6"/>
  <c r="R79" i="6"/>
  <c r="Q79" i="6"/>
  <c r="P79" i="6"/>
  <c r="O79" i="6"/>
  <c r="T78" i="6"/>
  <c r="S78" i="6"/>
  <c r="R78" i="6"/>
  <c r="Q78" i="6"/>
  <c r="P78" i="6"/>
  <c r="O78" i="6"/>
  <c r="T77" i="6"/>
  <c r="S77" i="6"/>
  <c r="R77" i="6"/>
  <c r="Q77" i="6"/>
  <c r="P77" i="6"/>
  <c r="O77" i="6"/>
  <c r="T74" i="6"/>
  <c r="S74" i="6"/>
  <c r="R74" i="6"/>
  <c r="Q74" i="6"/>
  <c r="P74" i="6"/>
  <c r="O74" i="6"/>
  <c r="T75" i="6"/>
  <c r="S75" i="6"/>
  <c r="R75" i="6"/>
  <c r="Q75" i="6"/>
  <c r="P75" i="6"/>
  <c r="O75" i="6"/>
  <c r="T73" i="6"/>
  <c r="S73" i="6"/>
  <c r="R73" i="6"/>
  <c r="Q73" i="6"/>
  <c r="P73" i="6"/>
  <c r="O73" i="6"/>
  <c r="T72" i="6"/>
  <c r="S72" i="6"/>
  <c r="R72" i="6"/>
  <c r="Q72" i="6"/>
  <c r="P72" i="6"/>
  <c r="O72" i="6"/>
  <c r="T71" i="6"/>
  <c r="S71" i="6"/>
  <c r="R71" i="6"/>
  <c r="Q71" i="6"/>
  <c r="P71" i="6"/>
  <c r="O71" i="6"/>
  <c r="T70" i="6"/>
  <c r="S70" i="6"/>
  <c r="R70" i="6"/>
  <c r="Q70" i="6"/>
  <c r="P70" i="6"/>
  <c r="O70" i="6"/>
  <c r="S69" i="6"/>
  <c r="R69" i="6"/>
  <c r="Q69" i="6"/>
  <c r="P69" i="6"/>
  <c r="O69" i="6"/>
  <c r="T68" i="6"/>
  <c r="S68" i="6"/>
  <c r="R68" i="6"/>
  <c r="Q68" i="6"/>
  <c r="P68" i="6"/>
  <c r="O68" i="6"/>
  <c r="T67" i="6"/>
  <c r="S67" i="6"/>
  <c r="R67" i="6"/>
  <c r="Q67" i="6"/>
  <c r="P67" i="6"/>
  <c r="O67" i="6"/>
  <c r="N79" i="6"/>
  <c r="N78" i="6"/>
  <c r="N77" i="6"/>
  <c r="N74" i="6"/>
  <c r="N75" i="6"/>
  <c r="N73" i="6"/>
  <c r="N72" i="6"/>
  <c r="N71" i="6"/>
  <c r="N70" i="6"/>
  <c r="N69" i="6"/>
  <c r="N68" i="6"/>
  <c r="N67" i="6"/>
  <c r="T65" i="6"/>
  <c r="S65" i="6"/>
  <c r="R65" i="6"/>
  <c r="Q65" i="6"/>
  <c r="P65" i="6"/>
  <c r="O65" i="6"/>
  <c r="T64" i="6"/>
  <c r="S64" i="6"/>
  <c r="R64" i="6"/>
  <c r="Q64" i="6"/>
  <c r="P64" i="6"/>
  <c r="O64" i="6"/>
  <c r="T63" i="6"/>
  <c r="S63" i="6"/>
  <c r="R63" i="6"/>
  <c r="Q63" i="6"/>
  <c r="P63" i="6"/>
  <c r="O63" i="6"/>
  <c r="T62" i="6"/>
  <c r="S62" i="6"/>
  <c r="R62" i="6"/>
  <c r="Q62" i="6"/>
  <c r="P62" i="6"/>
  <c r="O62" i="6"/>
  <c r="T61" i="6"/>
  <c r="S61" i="6"/>
  <c r="R61" i="6"/>
  <c r="Q61" i="6"/>
  <c r="P61" i="6"/>
  <c r="O61" i="6"/>
  <c r="T60" i="6"/>
  <c r="S60" i="6"/>
  <c r="R60" i="6"/>
  <c r="Q60" i="6"/>
  <c r="O60" i="6"/>
  <c r="T59" i="6"/>
  <c r="S59" i="6"/>
  <c r="R59" i="6"/>
  <c r="Q59" i="6"/>
  <c r="P59" i="6"/>
  <c r="O59" i="6"/>
  <c r="T58" i="6"/>
  <c r="S58" i="6"/>
  <c r="R58" i="6"/>
  <c r="Q58" i="6"/>
  <c r="P58" i="6"/>
  <c r="O58" i="6"/>
  <c r="T57" i="6"/>
  <c r="S57" i="6"/>
  <c r="R57" i="6"/>
  <c r="Q57" i="6"/>
  <c r="P57" i="6"/>
  <c r="O57" i="6"/>
  <c r="T56" i="6"/>
  <c r="S56" i="6"/>
  <c r="R56" i="6"/>
  <c r="Q56" i="6"/>
  <c r="P56" i="6"/>
  <c r="O56" i="6"/>
  <c r="T55" i="6"/>
  <c r="S55" i="6"/>
  <c r="R55" i="6"/>
  <c r="Q55" i="6"/>
  <c r="P55" i="6"/>
  <c r="O55" i="6"/>
  <c r="T54" i="6"/>
  <c r="S54" i="6"/>
  <c r="R54" i="6"/>
  <c r="Q54" i="6"/>
  <c r="P54" i="6"/>
  <c r="O54" i="6"/>
  <c r="N65" i="6"/>
  <c r="N64" i="6"/>
  <c r="N63" i="6"/>
  <c r="N62" i="6"/>
  <c r="N61" i="6"/>
  <c r="N60" i="6"/>
  <c r="N59" i="6"/>
  <c r="N58" i="6"/>
  <c r="N57" i="6"/>
  <c r="N56" i="6"/>
  <c r="N55" i="6"/>
  <c r="N54" i="6"/>
  <c r="T52" i="6"/>
  <c r="S52" i="6"/>
  <c r="R52" i="6"/>
  <c r="Q52" i="6"/>
  <c r="P52" i="6"/>
  <c r="O52" i="6"/>
  <c r="T51" i="6"/>
  <c r="S51" i="6"/>
  <c r="R51" i="6"/>
  <c r="Q51" i="6"/>
  <c r="P51" i="6"/>
  <c r="O51" i="6"/>
  <c r="T50" i="6"/>
  <c r="S50" i="6"/>
  <c r="R50" i="6"/>
  <c r="P50" i="6"/>
  <c r="O50" i="6"/>
  <c r="T49" i="6"/>
  <c r="S49" i="6"/>
  <c r="R49" i="6"/>
  <c r="Q49" i="6"/>
  <c r="P49" i="6"/>
  <c r="O49" i="6"/>
  <c r="T48" i="6"/>
  <c r="S48" i="6"/>
  <c r="R48" i="6"/>
  <c r="Q48" i="6"/>
  <c r="P48" i="6"/>
  <c r="O48" i="6"/>
  <c r="T47" i="6"/>
  <c r="S47" i="6"/>
  <c r="R47" i="6"/>
  <c r="Q47" i="6"/>
  <c r="P47" i="6"/>
  <c r="O47" i="6"/>
  <c r="T46" i="6"/>
  <c r="S46" i="6"/>
  <c r="R46" i="6"/>
  <c r="Q46" i="6"/>
  <c r="P46" i="6"/>
  <c r="O46" i="6"/>
  <c r="T45" i="6"/>
  <c r="S45" i="6"/>
  <c r="R45" i="6"/>
  <c r="Q45" i="6"/>
  <c r="P45" i="6"/>
  <c r="O45" i="6"/>
  <c r="T44" i="6"/>
  <c r="S44" i="6"/>
  <c r="R44" i="6"/>
  <c r="Q44" i="6"/>
  <c r="P44" i="6"/>
  <c r="O44" i="6"/>
  <c r="T43" i="6"/>
  <c r="S43" i="6"/>
  <c r="R43" i="6"/>
  <c r="Q43" i="6"/>
  <c r="P43" i="6"/>
  <c r="O43" i="6"/>
  <c r="T42" i="6"/>
  <c r="S42" i="6"/>
  <c r="R42" i="6"/>
  <c r="Q42" i="6"/>
  <c r="P42" i="6"/>
  <c r="O42" i="6"/>
  <c r="T41" i="6"/>
  <c r="S41" i="6"/>
  <c r="R41" i="6"/>
  <c r="Q41" i="6"/>
  <c r="P41" i="6"/>
  <c r="O41" i="6"/>
  <c r="T40" i="6"/>
  <c r="S40" i="6"/>
  <c r="R40" i="6"/>
  <c r="Q40" i="6"/>
  <c r="P40" i="6"/>
  <c r="O40" i="6"/>
  <c r="T39" i="6"/>
  <c r="R39" i="6"/>
  <c r="Q39" i="6"/>
  <c r="P39" i="6"/>
  <c r="O39" i="6"/>
  <c r="T38" i="6"/>
  <c r="S38" i="6"/>
  <c r="R38" i="6"/>
  <c r="Q38" i="6"/>
  <c r="P38" i="6"/>
  <c r="O38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T31" i="6"/>
  <c r="S31" i="6"/>
  <c r="R31" i="6"/>
  <c r="Q31" i="6"/>
  <c r="P31" i="6"/>
  <c r="O31" i="6"/>
  <c r="T30" i="6"/>
  <c r="S30" i="6"/>
  <c r="R30" i="6"/>
  <c r="Q30" i="6"/>
  <c r="P30" i="6"/>
  <c r="O30" i="6"/>
  <c r="T29" i="6"/>
  <c r="S29" i="6"/>
  <c r="R29" i="6"/>
  <c r="Q29" i="6"/>
  <c r="P29" i="6"/>
  <c r="O29" i="6"/>
  <c r="T28" i="6"/>
  <c r="S28" i="6"/>
  <c r="R28" i="6"/>
  <c r="Q28" i="6"/>
  <c r="P28" i="6"/>
  <c r="O28" i="6"/>
  <c r="T27" i="6"/>
  <c r="S27" i="6"/>
  <c r="R27" i="6"/>
  <c r="Q27" i="6"/>
  <c r="P27" i="6"/>
  <c r="O27" i="6"/>
  <c r="T26" i="6"/>
  <c r="S26" i="6"/>
  <c r="R26" i="6"/>
  <c r="Q26" i="6"/>
  <c r="P26" i="6"/>
  <c r="O26" i="6"/>
  <c r="T25" i="6"/>
  <c r="S25" i="6"/>
  <c r="R25" i="6"/>
  <c r="P25" i="6"/>
  <c r="O25" i="6"/>
  <c r="T24" i="6"/>
  <c r="S24" i="6"/>
  <c r="R24" i="6"/>
  <c r="Q24" i="6"/>
  <c r="P24" i="6"/>
  <c r="O24" i="6"/>
  <c r="T23" i="6"/>
  <c r="S23" i="6"/>
  <c r="R23" i="6"/>
  <c r="Q23" i="6"/>
  <c r="P23" i="6"/>
  <c r="O23" i="6"/>
  <c r="T22" i="6"/>
  <c r="S22" i="6"/>
  <c r="R22" i="6"/>
  <c r="Q22" i="6"/>
  <c r="P22" i="6"/>
  <c r="O22" i="6"/>
  <c r="T21" i="6"/>
  <c r="S21" i="6"/>
  <c r="R21" i="6"/>
  <c r="Q21" i="6"/>
  <c r="P21" i="6"/>
  <c r="O21" i="6"/>
  <c r="T20" i="6"/>
  <c r="S20" i="6"/>
  <c r="R20" i="6"/>
  <c r="Q20" i="6"/>
  <c r="P20" i="6"/>
  <c r="O20" i="6"/>
  <c r="N31" i="6"/>
  <c r="N30" i="6"/>
  <c r="N29" i="6"/>
  <c r="N28" i="6"/>
  <c r="N27" i="6"/>
  <c r="N26" i="6"/>
  <c r="N25" i="6"/>
  <c r="N24" i="6"/>
  <c r="N23" i="6"/>
  <c r="N22" i="6"/>
  <c r="N21" i="6"/>
  <c r="N20" i="6"/>
  <c r="T17" i="6"/>
  <c r="S17" i="6"/>
  <c r="R17" i="6"/>
  <c r="Q17" i="6"/>
  <c r="P17" i="6"/>
  <c r="O17" i="6"/>
  <c r="N17" i="6"/>
  <c r="T16" i="6"/>
  <c r="S16" i="6"/>
  <c r="R16" i="6"/>
  <c r="Q16" i="6"/>
  <c r="P16" i="6"/>
  <c r="O16" i="6"/>
  <c r="N16" i="6"/>
  <c r="T15" i="6"/>
  <c r="R15" i="6"/>
  <c r="Q15" i="6"/>
  <c r="P15" i="6"/>
  <c r="O15" i="6"/>
  <c r="N15" i="6"/>
  <c r="T14" i="6"/>
  <c r="S14" i="6"/>
  <c r="R14" i="6"/>
  <c r="Q14" i="6"/>
  <c r="P14" i="6"/>
  <c r="O14" i="6"/>
  <c r="N14" i="6"/>
  <c r="T13" i="6"/>
  <c r="S13" i="6"/>
  <c r="R13" i="6"/>
  <c r="Q13" i="6"/>
  <c r="P13" i="6"/>
  <c r="O13" i="6"/>
  <c r="N13" i="6"/>
  <c r="T12" i="6"/>
  <c r="S12" i="6"/>
  <c r="R12" i="6"/>
  <c r="Q12" i="6"/>
  <c r="P12" i="6"/>
  <c r="O12" i="6"/>
  <c r="N12" i="6"/>
  <c r="T11" i="6"/>
  <c r="S11" i="6"/>
  <c r="R11" i="6"/>
  <c r="Q11" i="6"/>
  <c r="P11" i="6"/>
  <c r="O11" i="6"/>
  <c r="N11" i="6"/>
  <c r="T10" i="6"/>
  <c r="S10" i="6"/>
  <c r="R10" i="6"/>
  <c r="Q10" i="6"/>
  <c r="P10" i="6"/>
  <c r="O10" i="6"/>
  <c r="N10" i="6"/>
  <c r="T9" i="6"/>
  <c r="S9" i="6"/>
  <c r="R9" i="6"/>
  <c r="Q9" i="6"/>
  <c r="P9" i="6"/>
  <c r="O9" i="6"/>
  <c r="N9" i="6"/>
  <c r="T8" i="6"/>
  <c r="S8" i="6"/>
  <c r="R8" i="6"/>
  <c r="Q8" i="6"/>
  <c r="P8" i="6"/>
  <c r="O8" i="6"/>
  <c r="N8" i="6"/>
  <c r="T7" i="6"/>
  <c r="S7" i="6"/>
  <c r="R7" i="6"/>
  <c r="Q7" i="6"/>
  <c r="P7" i="6"/>
  <c r="O7" i="6"/>
  <c r="N7" i="6"/>
  <c r="O80" i="6" l="1"/>
  <c r="O84" i="6" s="1"/>
  <c r="P80" i="6"/>
  <c r="P84" i="6" s="1"/>
  <c r="Q80" i="6"/>
  <c r="R80" i="6"/>
  <c r="R84" i="6" s="1"/>
  <c r="N80" i="6"/>
  <c r="S80" i="6"/>
  <c r="T80" i="6"/>
  <c r="T84" i="6" s="1"/>
  <c r="Q5" i="7"/>
  <c r="Q5" i="11" s="1"/>
  <c r="Q36" i="6"/>
  <c r="Q88" i="6" s="1"/>
  <c r="R5" i="7"/>
  <c r="R15" i="7" s="1"/>
  <c r="R20" i="7" s="1"/>
  <c r="R26" i="7" s="1"/>
  <c r="R31" i="7" s="1"/>
  <c r="R36" i="6"/>
  <c r="R88" i="6" s="1"/>
  <c r="N5" i="7"/>
  <c r="N5" i="11" s="1"/>
  <c r="N36" i="6"/>
  <c r="N88" i="6" s="1"/>
  <c r="S8" i="5"/>
  <c r="S9" i="5" s="1"/>
  <c r="P8" i="5"/>
  <c r="P9" i="5" s="1"/>
  <c r="O21" i="5"/>
  <c r="T53" i="6"/>
  <c r="R8" i="5"/>
  <c r="R9" i="5" s="1"/>
  <c r="O8" i="5"/>
  <c r="O9" i="5" s="1"/>
  <c r="S21" i="5"/>
  <c r="T11" i="5"/>
  <c r="Q8" i="5"/>
  <c r="Q9" i="5" s="1"/>
  <c r="T32" i="6"/>
  <c r="P11" i="5"/>
  <c r="O5" i="7"/>
  <c r="P5" i="7"/>
  <c r="Q11" i="5"/>
  <c r="S5" i="7"/>
  <c r="T21" i="5"/>
  <c r="T5" i="7"/>
  <c r="T8" i="5"/>
  <c r="T9" i="5" s="1"/>
  <c r="N11" i="5"/>
  <c r="P21" i="5"/>
  <c r="R21" i="5"/>
  <c r="S11" i="5"/>
  <c r="N21" i="5"/>
  <c r="Q21" i="5"/>
  <c r="N8" i="5"/>
  <c r="O11" i="5"/>
  <c r="R11" i="5"/>
  <c r="T18" i="6"/>
  <c r="S32" i="6"/>
  <c r="P66" i="6"/>
  <c r="R66" i="6"/>
  <c r="T66" i="6"/>
  <c r="S84" i="6"/>
  <c r="S18" i="6"/>
  <c r="O18" i="6"/>
  <c r="P18" i="6"/>
  <c r="Q66" i="6"/>
  <c r="O66" i="6"/>
  <c r="P32" i="6"/>
  <c r="S66" i="6"/>
  <c r="O32" i="6"/>
  <c r="Q18" i="6"/>
  <c r="Q32" i="6"/>
  <c r="R53" i="6"/>
  <c r="P53" i="6"/>
  <c r="Q84" i="6"/>
  <c r="R18" i="6"/>
  <c r="R32" i="6"/>
  <c r="O53" i="6"/>
  <c r="S53" i="6"/>
  <c r="Q53" i="6"/>
  <c r="N18" i="6"/>
  <c r="N53" i="6"/>
  <c r="N32" i="6"/>
  <c r="R17" i="5" l="1"/>
  <c r="R23" i="5" s="1"/>
  <c r="R28" i="5" s="1"/>
  <c r="R32" i="5" s="1"/>
  <c r="R33" i="5" s="1"/>
  <c r="R5" i="11"/>
  <c r="Q15" i="7"/>
  <c r="Q20" i="7" s="1"/>
  <c r="Q26" i="7" s="1"/>
  <c r="Q31" i="7" s="1"/>
  <c r="P17" i="5"/>
  <c r="P23" i="5" s="1"/>
  <c r="P28" i="5" s="1"/>
  <c r="P32" i="5" s="1"/>
  <c r="P33" i="5" s="1"/>
  <c r="N15" i="7"/>
  <c r="N20" i="7" s="1"/>
  <c r="N26" i="7" s="1"/>
  <c r="N31" i="7" s="1"/>
  <c r="S17" i="5"/>
  <c r="S23" i="5" s="1"/>
  <c r="S28" i="5" s="1"/>
  <c r="S32" i="5" s="1"/>
  <c r="S33" i="5" s="1"/>
  <c r="T34" i="6"/>
  <c r="O17" i="5"/>
  <c r="O23" i="5" s="1"/>
  <c r="O28" i="5" s="1"/>
  <c r="O32" i="5" s="1"/>
  <c r="O33" i="5" s="1"/>
  <c r="T17" i="5"/>
  <c r="T23" i="5" s="1"/>
  <c r="T28" i="5" s="1"/>
  <c r="T32" i="5" s="1"/>
  <c r="T33" i="5" s="1"/>
  <c r="Q17" i="5"/>
  <c r="Q23" i="5" s="1"/>
  <c r="Q28" i="5" s="1"/>
  <c r="Q32" i="5" s="1"/>
  <c r="Q33" i="5" s="1"/>
  <c r="S15" i="7"/>
  <c r="S20" i="7" s="1"/>
  <c r="S26" i="7" s="1"/>
  <c r="S31" i="7" s="1"/>
  <c r="S5" i="11"/>
  <c r="P15" i="7"/>
  <c r="P20" i="7" s="1"/>
  <c r="P26" i="7" s="1"/>
  <c r="P31" i="7" s="1"/>
  <c r="P5" i="11"/>
  <c r="O15" i="7"/>
  <c r="O20" i="7" s="1"/>
  <c r="O26" i="7" s="1"/>
  <c r="O31" i="7" s="1"/>
  <c r="O5" i="11"/>
  <c r="O86" i="6"/>
  <c r="N17" i="5"/>
  <c r="N23" i="5" s="1"/>
  <c r="N28" i="5" s="1"/>
  <c r="N32" i="5" s="1"/>
  <c r="N33" i="5" s="1"/>
  <c r="T15" i="7"/>
  <c r="T20" i="7" s="1"/>
  <c r="T26" i="7" s="1"/>
  <c r="T31" i="7" s="1"/>
  <c r="T5" i="11"/>
  <c r="N9" i="5"/>
  <c r="S86" i="6"/>
  <c r="R34" i="6"/>
  <c r="O34" i="6"/>
  <c r="S34" i="6"/>
  <c r="Q86" i="6"/>
  <c r="R86" i="6"/>
  <c r="P34" i="6"/>
  <c r="P86" i="6"/>
  <c r="Q34" i="6"/>
  <c r="T86" i="6"/>
  <c r="N34" i="6"/>
  <c r="N84" i="6"/>
  <c r="N66" i="6"/>
  <c r="N86" i="6" l="1"/>
  <c r="AB15" i="3" l="1"/>
  <c r="AB20" i="3" s="1"/>
  <c r="AB26" i="3" s="1"/>
  <c r="AB31" i="3" s="1"/>
  <c r="AA15" i="3"/>
  <c r="AA20" i="3" s="1"/>
  <c r="AA26" i="3" s="1"/>
  <c r="AA31" i="3" s="1"/>
  <c r="Z15" i="3"/>
  <c r="Z20" i="3" s="1"/>
  <c r="Z26" i="3" s="1"/>
  <c r="Z31" i="3" s="1"/>
  <c r="Y15" i="3"/>
  <c r="Y20" i="3" s="1"/>
  <c r="Y26" i="3" s="1"/>
  <c r="Y31" i="3" s="1"/>
  <c r="AB13" i="3"/>
  <c r="AB13" i="7" s="1"/>
  <c r="AA13" i="3"/>
  <c r="AA13" i="7" s="1"/>
  <c r="Z13" i="3"/>
  <c r="Z13" i="7" s="1"/>
  <c r="Y13" i="3"/>
  <c r="Y13" i="7" s="1"/>
  <c r="X13" i="3"/>
  <c r="X13" i="7" s="1"/>
  <c r="W13" i="3"/>
  <c r="W13" i="7" s="1"/>
  <c r="V13" i="3"/>
  <c r="V13" i="7" s="1"/>
  <c r="U13" i="3"/>
  <c r="U13" i="7" s="1"/>
  <c r="T13" i="3"/>
  <c r="T13" i="7" s="1"/>
  <c r="Q13" i="3"/>
  <c r="Q13" i="7" s="1"/>
  <c r="P13" i="3"/>
  <c r="P13" i="7" s="1"/>
  <c r="O13" i="3"/>
  <c r="O13" i="7" s="1"/>
  <c r="AB12" i="3"/>
  <c r="AB12" i="7" s="1"/>
  <c r="AA12" i="3"/>
  <c r="AA12" i="7" s="1"/>
  <c r="Z12" i="3"/>
  <c r="Z12" i="7" s="1"/>
  <c r="Y12" i="3"/>
  <c r="Y12" i="7" s="1"/>
  <c r="X12" i="3"/>
  <c r="X12" i="7" s="1"/>
  <c r="W12" i="3"/>
  <c r="W12" i="7" s="1"/>
  <c r="V12" i="3"/>
  <c r="V12" i="7" s="1"/>
  <c r="U12" i="3"/>
  <c r="U12" i="7" s="1"/>
  <c r="T12" i="3"/>
  <c r="T12" i="7" s="1"/>
  <c r="Q12" i="3"/>
  <c r="Q12" i="7" s="1"/>
  <c r="P12" i="3"/>
  <c r="P12" i="7" s="1"/>
  <c r="O12" i="3"/>
  <c r="O12" i="7" s="1"/>
  <c r="N13" i="3"/>
  <c r="N13" i="7" s="1"/>
  <c r="N12" i="3"/>
  <c r="N12" i="7" s="1"/>
  <c r="X15" i="3"/>
  <c r="X20" i="3" s="1"/>
  <c r="X26" i="3" s="1"/>
  <c r="X31" i="3" s="1"/>
  <c r="W15" i="3"/>
  <c r="W20" i="3" s="1"/>
  <c r="W26" i="3" s="1"/>
  <c r="W31" i="3" s="1"/>
  <c r="V15" i="3"/>
  <c r="V20" i="3" s="1"/>
  <c r="V26" i="3" s="1"/>
  <c r="V31" i="3" s="1"/>
  <c r="U15" i="3"/>
  <c r="U20" i="3" s="1"/>
  <c r="U26" i="3" s="1"/>
  <c r="U31" i="3" s="1"/>
  <c r="T15" i="3"/>
  <c r="T20" i="3" s="1"/>
  <c r="T26" i="3" s="1"/>
  <c r="T31" i="3" s="1"/>
  <c r="S15" i="3"/>
  <c r="S20" i="3" s="1"/>
  <c r="S26" i="3" s="1"/>
  <c r="S31" i="3" s="1"/>
  <c r="R15" i="3"/>
  <c r="R20" i="3" s="1"/>
  <c r="R26" i="3" s="1"/>
  <c r="R31" i="3" s="1"/>
  <c r="Q15" i="3"/>
  <c r="Q20" i="3" s="1"/>
  <c r="Q26" i="3" s="1"/>
  <c r="Q31" i="3" s="1"/>
  <c r="P15" i="3"/>
  <c r="P20" i="3" s="1"/>
  <c r="P26" i="3" s="1"/>
  <c r="P31" i="3" s="1"/>
  <c r="O15" i="3"/>
  <c r="O20" i="3" s="1"/>
  <c r="O26" i="3" s="1"/>
  <c r="O31" i="3" s="1"/>
  <c r="N15" i="3"/>
  <c r="N20" i="3" s="1"/>
  <c r="N26" i="3" s="1"/>
  <c r="N31" i="3" s="1"/>
  <c r="Q53" i="1" l="1"/>
  <c r="N53" i="1"/>
  <c r="N80" i="1"/>
  <c r="N84" i="1" s="1"/>
  <c r="N14" i="10" s="1"/>
  <c r="N66" i="1"/>
  <c r="N36" i="1"/>
  <c r="N88" i="1" s="1"/>
  <c r="O53" i="1"/>
  <c r="N32" i="1"/>
  <c r="N14" i="11" l="1"/>
  <c r="N16" i="11" s="1"/>
  <c r="N16" i="10"/>
  <c r="N34" i="1"/>
  <c r="N86" i="1"/>
  <c r="O18" i="1" l="1"/>
  <c r="Q80" i="1"/>
  <c r="Q84" i="1" s="1"/>
  <c r="Q14" i="10" s="1"/>
  <c r="Q66" i="1"/>
  <c r="Q36" i="1"/>
  <c r="Q88" i="1" s="1"/>
  <c r="Q32" i="1"/>
  <c r="Q18" i="1"/>
  <c r="Q14" i="11" l="1"/>
  <c r="Q16" i="11" s="1"/>
  <c r="Q16" i="10"/>
  <c r="Q34" i="1"/>
  <c r="Q86" i="1"/>
  <c r="T80" i="1" l="1"/>
  <c r="T84" i="1" s="1"/>
  <c r="T14" i="10" s="1"/>
  <c r="S80" i="1"/>
  <c r="S84" i="1" s="1"/>
  <c r="S14" i="10" s="1"/>
  <c r="R80" i="1"/>
  <c r="R84" i="1" s="1"/>
  <c r="R14" i="10" s="1"/>
  <c r="P80" i="1"/>
  <c r="P84" i="1" s="1"/>
  <c r="P14" i="10" s="1"/>
  <c r="O80" i="1"/>
  <c r="O84" i="1" s="1"/>
  <c r="O14" i="10" s="1"/>
  <c r="T66" i="1"/>
  <c r="S66" i="1"/>
  <c r="R66" i="1"/>
  <c r="P66" i="1"/>
  <c r="O66" i="1"/>
  <c r="T53" i="1"/>
  <c r="S53" i="1"/>
  <c r="R53" i="1"/>
  <c r="P53" i="1"/>
  <c r="T36" i="1"/>
  <c r="T88" i="1" s="1"/>
  <c r="S36" i="1"/>
  <c r="S88" i="1" s="1"/>
  <c r="R36" i="1"/>
  <c r="R88" i="1" s="1"/>
  <c r="P36" i="1"/>
  <c r="P88" i="1" s="1"/>
  <c r="O36" i="1"/>
  <c r="O88" i="1" s="1"/>
  <c r="T32" i="1"/>
  <c r="S32" i="1"/>
  <c r="R32" i="1"/>
  <c r="P32" i="1"/>
  <c r="O32" i="1"/>
  <c r="P18" i="1"/>
  <c r="T18" i="1"/>
  <c r="S18" i="1"/>
  <c r="R18" i="1"/>
  <c r="O14" i="11" l="1"/>
  <c r="O16" i="11" s="1"/>
  <c r="O16" i="10"/>
  <c r="P14" i="11"/>
  <c r="P16" i="11" s="1"/>
  <c r="P16" i="10"/>
  <c r="R14" i="11"/>
  <c r="R16" i="11" s="1"/>
  <c r="R16" i="10"/>
  <c r="S14" i="11"/>
  <c r="S16" i="11" s="1"/>
  <c r="S16" i="10"/>
  <c r="T14" i="11"/>
  <c r="T16" i="11" s="1"/>
  <c r="T16" i="10"/>
  <c r="P86" i="1"/>
  <c r="P34" i="1"/>
  <c r="T86" i="1"/>
  <c r="T34" i="1"/>
  <c r="S86" i="1"/>
  <c r="S34" i="1"/>
  <c r="R86" i="1"/>
  <c r="R34" i="1"/>
  <c r="O86" i="1"/>
  <c r="O34" i="1"/>
  <c r="E27" i="7" l="1"/>
  <c r="E29" i="7"/>
  <c r="B76" i="1" l="1"/>
  <c r="B76" i="6" s="1"/>
  <c r="B39" i="5" l="1"/>
  <c r="B21" i="5" l="1"/>
  <c r="B8" i="3" l="1"/>
  <c r="B8" i="7" l="1"/>
  <c r="B13" i="3"/>
  <c r="B13" i="7" s="1"/>
  <c r="B7" i="3"/>
  <c r="B7" i="7" s="1"/>
  <c r="B6" i="3"/>
  <c r="B6" i="7" s="1"/>
  <c r="B11" i="3"/>
  <c r="B11" i="7" s="1"/>
  <c r="B9" i="3"/>
  <c r="B9" i="7" s="1"/>
  <c r="B17" i="3" l="1"/>
  <c r="B17" i="7" s="1"/>
  <c r="B18" i="3"/>
  <c r="B18" i="7" s="1"/>
  <c r="B16" i="3" l="1"/>
  <c r="B16" i="7" s="1"/>
  <c r="B10" i="3" l="1"/>
  <c r="B10" i="7" s="1"/>
  <c r="B12" i="3" l="1"/>
  <c r="B12" i="7" s="1"/>
  <c r="B33" i="3" l="1"/>
  <c r="B33" i="7" s="1"/>
  <c r="B32" i="3"/>
  <c r="B32" i="7" s="1"/>
  <c r="B28" i="1" l="1"/>
  <c r="B28" i="6" s="1"/>
  <c r="B65" i="1"/>
  <c r="B65" i="6" s="1"/>
  <c r="B7" i="1"/>
  <c r="B10" i="13" s="1"/>
  <c r="B10" i="15" l="1"/>
  <c r="B7" i="6"/>
  <c r="B52" i="1" l="1"/>
  <c r="B52" i="6" s="1"/>
  <c r="B45" i="1" l="1"/>
  <c r="B45" i="6" s="1"/>
  <c r="B29" i="1"/>
  <c r="B29" i="6" s="1"/>
  <c r="B59" i="1" l="1"/>
  <c r="B59" i="6" s="1"/>
  <c r="B17" i="1" l="1"/>
  <c r="B17" i="6" s="1"/>
  <c r="B79" i="1" l="1"/>
  <c r="B79" i="6" s="1"/>
  <c r="B46" i="1"/>
  <c r="B46" i="6" s="1"/>
  <c r="B44" i="1"/>
  <c r="B44" i="6" s="1"/>
  <c r="B25" i="1" l="1"/>
  <c r="B25" i="6" s="1"/>
  <c r="B31" i="1" l="1"/>
  <c r="B31" i="6" s="1"/>
  <c r="B74" i="1"/>
  <c r="B74" i="6" s="1"/>
  <c r="B77" i="1" l="1"/>
  <c r="B77" i="6" s="1"/>
  <c r="B82" i="1"/>
  <c r="B82" i="6" s="1"/>
  <c r="B11" i="1" l="1"/>
  <c r="B11" i="6" s="1"/>
  <c r="B75" i="1"/>
  <c r="B75" i="6" s="1"/>
  <c r="B73" i="1"/>
  <c r="B73" i="6" s="1"/>
  <c r="B42" i="1" l="1"/>
  <c r="B42" i="6" s="1"/>
  <c r="B61" i="1" l="1"/>
  <c r="B61" i="6" s="1"/>
  <c r="B24" i="1"/>
  <c r="B24" i="6" s="1"/>
  <c r="B68" i="1"/>
  <c r="B68" i="6" s="1"/>
  <c r="B21" i="1"/>
  <c r="B21" i="6" s="1"/>
  <c r="B41" i="1"/>
  <c r="B41" i="6" s="1"/>
  <c r="B15" i="1"/>
  <c r="B15" i="6" s="1"/>
  <c r="B67" i="1"/>
  <c r="B43" i="1"/>
  <c r="B43" i="6" s="1"/>
  <c r="B12" i="1"/>
  <c r="B12" i="6" s="1"/>
  <c r="B57" i="1"/>
  <c r="B57" i="6" s="1"/>
  <c r="B49" i="1"/>
  <c r="B49" i="6" s="1"/>
  <c r="B71" i="1"/>
  <c r="B71" i="6" s="1"/>
  <c r="B62" i="1"/>
  <c r="B62" i="6" s="1"/>
  <c r="B51" i="1"/>
  <c r="B51" i="6" s="1"/>
  <c r="B30" i="1"/>
  <c r="B30" i="6" s="1"/>
  <c r="B10" i="1"/>
  <c r="B10" i="6" s="1"/>
  <c r="B64" i="1"/>
  <c r="B64" i="6" s="1"/>
  <c r="B47" i="1"/>
  <c r="B47" i="6" s="1"/>
  <c r="B27" i="1"/>
  <c r="B27" i="6" s="1"/>
  <c r="B9" i="1"/>
  <c r="B11" i="13" s="1"/>
  <c r="B63" i="1"/>
  <c r="B63" i="6" s="1"/>
  <c r="B20" i="1"/>
  <c r="B8" i="1"/>
  <c r="B11" i="15" l="1"/>
  <c r="B12" i="15" s="1"/>
  <c r="B12" i="13"/>
  <c r="B7" i="10"/>
  <c r="B7" i="11" s="1"/>
  <c r="B54" i="1"/>
  <c r="B7" i="13" s="1"/>
  <c r="B7" i="15" s="1"/>
  <c r="B20" i="6"/>
  <c r="B32" i="6" s="1"/>
  <c r="B32" i="1"/>
  <c r="B9" i="6"/>
  <c r="B10" i="10"/>
  <c r="B10" i="11" s="1"/>
  <c r="B8" i="6"/>
  <c r="B18" i="1"/>
  <c r="B6" i="10"/>
  <c r="B38" i="1"/>
  <c r="B6" i="13" s="1"/>
  <c r="B67" i="6"/>
  <c r="B80" i="6" s="1"/>
  <c r="B84" i="6" s="1"/>
  <c r="B80" i="1"/>
  <c r="B84" i="1" s="1"/>
  <c r="B14" i="10" l="1"/>
  <c r="B14" i="11" s="1"/>
  <c r="B24" i="13"/>
  <c r="B24" i="15" s="1"/>
  <c r="B6" i="15"/>
  <c r="B8" i="15" s="1"/>
  <c r="B14" i="15" s="1"/>
  <c r="B25" i="15" s="1"/>
  <c r="B8" i="13"/>
  <c r="B14" i="13" s="1"/>
  <c r="B18" i="6"/>
  <c r="B34" i="1"/>
  <c r="B34" i="6"/>
  <c r="B38" i="6"/>
  <c r="B53" i="6" s="1"/>
  <c r="B53" i="1"/>
  <c r="B54" i="6"/>
  <c r="B66" i="6" s="1"/>
  <c r="B66" i="1"/>
  <c r="B6" i="11"/>
  <c r="B8" i="11" s="1"/>
  <c r="B12" i="11" s="1"/>
  <c r="B16" i="11" s="1"/>
  <c r="B8" i="10"/>
  <c r="B12" i="10" s="1"/>
  <c r="B16" i="10" s="1"/>
  <c r="B25" i="13" l="1"/>
  <c r="B15" i="13"/>
  <c r="B86" i="6"/>
  <c r="B86" i="1"/>
  <c r="B19" i="13" l="1"/>
  <c r="B22" i="13" s="1"/>
  <c r="B15" i="15"/>
  <c r="B19" i="15" s="1"/>
  <c r="B22" i="15" s="1"/>
  <c r="B8" i="5"/>
  <c r="B9" i="5" l="1"/>
  <c r="B11" i="5" l="1"/>
  <c r="B17" i="5" s="1"/>
  <c r="B23" i="5" s="1"/>
  <c r="B28" i="5" s="1"/>
  <c r="B32" i="5" s="1"/>
  <c r="B33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Salles Faria de Paula</author>
  </authors>
  <commentList>
    <comment ref="N15" authorId="0" shapeId="0" xr:uid="{AAD961A8-B544-4CCA-BABA-A3EC31B8EC29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Desconsidera os R$976mm líquidos provenientes do IPO</t>
        </r>
      </text>
    </comment>
    <comment ref="N19" authorId="0" shapeId="0" xr:uid="{240894EB-EC61-46E4-B4D5-FADD9C283147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Idem acima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 Nunes de Almeida</author>
  </authors>
  <commentList>
    <comment ref="D21" authorId="0" shapeId="0" xr:uid="{138A0C51-B7D1-4722-BDA9-0B3C5A77B409}">
      <text>
        <r>
          <rPr>
            <b/>
            <sz val="9"/>
            <color indexed="81"/>
            <rFont val="Segoe UI"/>
            <family val="2"/>
          </rPr>
          <t>Marcos Nunes de Almeida:</t>
        </r>
        <r>
          <rPr>
            <sz val="9"/>
            <color indexed="81"/>
            <rFont val="Segoe UI"/>
            <family val="2"/>
          </rPr>
          <t xml:space="preserve">
Histórico Empreendimentos Lançados base 1T23. Plan Fin &gt; Dados Operacionais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Francisco Salles Faria de Paula</author>
  </authors>
  <commentList>
    <comment ref="N15" authorId="0" shapeId="0" xr:uid="{597209C9-16B4-4A0F-BFFD-F3DA18685D60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Disconsidering the R$976mm net resources from the IPO</t>
        </r>
      </text>
    </comment>
    <comment ref="N19" authorId="0" shapeId="0" xr:uid="{F813BB07-854A-469A-9719-74C77AF61345}">
      <text>
        <r>
          <rPr>
            <b/>
            <sz val="9"/>
            <color indexed="81"/>
            <rFont val="Segoe UI"/>
            <family val="2"/>
          </rPr>
          <t>User1:</t>
        </r>
        <r>
          <rPr>
            <sz val="9"/>
            <color indexed="81"/>
            <rFont val="Segoe UI"/>
            <family val="2"/>
          </rPr>
          <t xml:space="preserve">
Disconsidering the R$976mm net resources from the IPO</t>
        </r>
      </text>
    </comment>
  </commentList>
</comments>
</file>

<file path=xl/sharedStrings.xml><?xml version="1.0" encoding="utf-8"?>
<sst xmlns="http://schemas.openxmlformats.org/spreadsheetml/2006/main" count="796" uniqueCount="425">
  <si>
    <t>Receita Líquida</t>
  </si>
  <si>
    <t>2T20</t>
  </si>
  <si>
    <t>3T20</t>
  </si>
  <si>
    <t>4T19</t>
  </si>
  <si>
    <t>1T20</t>
  </si>
  <si>
    <t>3T19</t>
  </si>
  <si>
    <t>2T19</t>
  </si>
  <si>
    <t>1T19</t>
  </si>
  <si>
    <t>4T18</t>
  </si>
  <si>
    <t>Custos dos imóveis vendidos</t>
  </si>
  <si>
    <t>Lucro bruto</t>
  </si>
  <si>
    <t>Despesas comerciais</t>
  </si>
  <si>
    <t>Despesas administrativas</t>
  </si>
  <si>
    <t>Resultado de equivalência patrimonial</t>
  </si>
  <si>
    <t>Outras receitas (despesas) operacionais, líquidas</t>
  </si>
  <si>
    <t xml:space="preserve">(Despesas) receitas operacionais </t>
  </si>
  <si>
    <t>Resultado antes das receitas (despesas)  financeiras e impostos</t>
  </si>
  <si>
    <t>Receitas financeiras</t>
  </si>
  <si>
    <t>Despesas financeiras</t>
  </si>
  <si>
    <t>Receita (despesas) financeiras líquidas</t>
  </si>
  <si>
    <t>Resultado antes da contribuição social e imposto de renda</t>
  </si>
  <si>
    <t>Imposto de renda e contribuição social - correntes</t>
  </si>
  <si>
    <t>Imposto de renda e contribuição social - diferidos</t>
  </si>
  <si>
    <t>Margem Bruta %</t>
  </si>
  <si>
    <t>Demonstração do Resultados do Exercício (R$ Milhares)</t>
  </si>
  <si>
    <t>Minoritários</t>
  </si>
  <si>
    <t xml:space="preserve">Lucro líquido antes da participação de minoritários </t>
  </si>
  <si>
    <t>Lucro líquido atribuível aos acionistas controladores</t>
  </si>
  <si>
    <t>Caixa e Equivalentes de Caixa</t>
  </si>
  <si>
    <t>Caixa Restrito</t>
  </si>
  <si>
    <t>Títulos e valores mobiliários</t>
  </si>
  <si>
    <t>Contas a receber</t>
  </si>
  <si>
    <t>Imóveis a comercializar</t>
  </si>
  <si>
    <t>Impostos e contribuições a compensar</t>
  </si>
  <si>
    <t>Impostos e contribuições de recolhimentos diferidos</t>
  </si>
  <si>
    <t>Contas-correntes com parceiros nos empreendimentos</t>
  </si>
  <si>
    <t>Despesas com vendas a apropriar</t>
  </si>
  <si>
    <t>Despesas Antecipadas</t>
  </si>
  <si>
    <t>Demais contas</t>
  </si>
  <si>
    <t>Ativo Circulante</t>
  </si>
  <si>
    <t xml:space="preserve">Contas a receber </t>
  </si>
  <si>
    <t xml:space="preserve">Títulos e valores mobiliários </t>
  </si>
  <si>
    <t>Contas a receber por desapropriação</t>
  </si>
  <si>
    <t>Partes relacionadas</t>
  </si>
  <si>
    <t xml:space="preserve">Impostos e contribuições a compensar </t>
  </si>
  <si>
    <t xml:space="preserve">Impostos e contribuições de recolhimentos diferidos </t>
  </si>
  <si>
    <t xml:space="preserve">Imóveis a comercializar </t>
  </si>
  <si>
    <t xml:space="preserve">Demais contas </t>
  </si>
  <si>
    <t>Investimentos em controladas e coligadas</t>
  </si>
  <si>
    <t>Imobilizado</t>
  </si>
  <si>
    <t>Intangível</t>
  </si>
  <si>
    <t>Total do Ativo</t>
  </si>
  <si>
    <t>Balanço Patrimonial (R$ Milhares)</t>
  </si>
  <si>
    <t>Ativo</t>
  </si>
  <si>
    <t>Passivo</t>
  </si>
  <si>
    <t>Empréstimos e financiamentos</t>
  </si>
  <si>
    <t>Debêntures</t>
  </si>
  <si>
    <t>Certificados de recebíveis imobiliários - CRI</t>
  </si>
  <si>
    <t>Fornecedores</t>
  </si>
  <si>
    <t>Provisão para garantia</t>
  </si>
  <si>
    <t>Impostos e contribuições a recolher</t>
  </si>
  <si>
    <t>Salários, encargos sociais e participações</t>
  </si>
  <si>
    <t>Contas a pagar por aquisição de imóveis</t>
  </si>
  <si>
    <t>Dividendos a pagar</t>
  </si>
  <si>
    <t>Adiantamentos de clientes</t>
  </si>
  <si>
    <t>Ativo Não Circulante</t>
  </si>
  <si>
    <t>Passivo Circulante</t>
  </si>
  <si>
    <t xml:space="preserve">Empréstimos e financiamentos </t>
  </si>
  <si>
    <t xml:space="preserve">Debêntures </t>
  </si>
  <si>
    <t xml:space="preserve">Certificados de recebíveis imobiliários - CRI </t>
  </si>
  <si>
    <t xml:space="preserve">Provisão para garantia </t>
  </si>
  <si>
    <t xml:space="preserve">Impostos e contribuições a recolher </t>
  </si>
  <si>
    <t xml:space="preserve">Contas a pagar por aquisição de imóveis </t>
  </si>
  <si>
    <t>Provisões para riscos fiscais, trabalhistas e civeis</t>
  </si>
  <si>
    <t xml:space="preserve">Adiantamentos de clientes </t>
  </si>
  <si>
    <t>Passivo Não Circulante</t>
  </si>
  <si>
    <t>Capital social</t>
  </si>
  <si>
    <t>Capital social a integralizar</t>
  </si>
  <si>
    <t>Adiantamento para futuro aumento de capital</t>
  </si>
  <si>
    <t>Transação de capital</t>
  </si>
  <si>
    <t>Reserva de outorga de opções de ações</t>
  </si>
  <si>
    <t>Reserva legal</t>
  </si>
  <si>
    <t>Reserva expansão</t>
  </si>
  <si>
    <t>Ações em tesouraria e outras reservas</t>
  </si>
  <si>
    <t>Lucros/Prejuízos do Exercício</t>
  </si>
  <si>
    <t>Dividendos distribuidos no período</t>
  </si>
  <si>
    <t>Outros resultados abrangentes</t>
  </si>
  <si>
    <t>Patrimônio líquido atribuível aos controladores</t>
  </si>
  <si>
    <t xml:space="preserve">Acionistas não controladores </t>
  </si>
  <si>
    <t>Total do Patrimônio Líquido</t>
  </si>
  <si>
    <t>Total do Passivo e Patrimônio Líquido</t>
  </si>
  <si>
    <t>Arrendamento mercantil</t>
  </si>
  <si>
    <t>Gastos com Emissão de Ações</t>
  </si>
  <si>
    <t>Lançamentos (R$ Milhares)</t>
  </si>
  <si>
    <t xml:space="preserve">Empreendimentos Lançados </t>
  </si>
  <si>
    <t>Vendas Líquidas (unidades)</t>
  </si>
  <si>
    <t>3T18</t>
  </si>
  <si>
    <t>2T18</t>
  </si>
  <si>
    <t>1T18</t>
  </si>
  <si>
    <t>Participação Lavvi no total lançamentos (%)</t>
  </si>
  <si>
    <t>Vendas (R$ Milhares)</t>
  </si>
  <si>
    <t>4T17</t>
  </si>
  <si>
    <t>3T17</t>
  </si>
  <si>
    <t>2T17</t>
  </si>
  <si>
    <t>1T17</t>
  </si>
  <si>
    <t xml:space="preserve">Área Útil Lançada (m²) </t>
  </si>
  <si>
    <t>Preço médio por m²</t>
  </si>
  <si>
    <t>Preço médio por unidade</t>
  </si>
  <si>
    <t>Lançamento</t>
  </si>
  <si>
    <t>Localização</t>
  </si>
  <si>
    <t>Padrão</t>
  </si>
  <si>
    <t>Unidades</t>
  </si>
  <si>
    <t>VGV Total (R$'000)</t>
  </si>
  <si>
    <t>%Lavvi</t>
  </si>
  <si>
    <t>Data de entrega</t>
  </si>
  <si>
    <t>Área Média Un.</t>
  </si>
  <si>
    <t>Brás-SP</t>
  </si>
  <si>
    <t>Médio</t>
  </si>
  <si>
    <t>Praça Piratininga</t>
  </si>
  <si>
    <t>Praça Mooca</t>
  </si>
  <si>
    <t>Movva</t>
  </si>
  <si>
    <t>Palazzo Vila Mariana</t>
  </si>
  <si>
    <t>Vitrali Moema</t>
  </si>
  <si>
    <t>Nativ Tatuapé</t>
  </si>
  <si>
    <t xml:space="preserve">Moema by Cyrela </t>
  </si>
  <si>
    <t>One Park Perdizes</t>
  </si>
  <si>
    <t>Luz-SP</t>
  </si>
  <si>
    <t>55m² a 94m²</t>
  </si>
  <si>
    <t>55m² a 68m²</t>
  </si>
  <si>
    <t>25m² a 33m²</t>
  </si>
  <si>
    <t>Alto Padrão</t>
  </si>
  <si>
    <t>Vila Mariana-SP</t>
  </si>
  <si>
    <t>Moema-SP</t>
  </si>
  <si>
    <t>Tatuapé-SP</t>
  </si>
  <si>
    <t>Perdizes-SP</t>
  </si>
  <si>
    <t>163m²</t>
  </si>
  <si>
    <t>24m² a 39m²</t>
  </si>
  <si>
    <t>68m², 96m² e 115m²</t>
  </si>
  <si>
    <t>149m²</t>
  </si>
  <si>
    <t>173m²</t>
  </si>
  <si>
    <t>Combined P&amp;L, R$ 000</t>
  </si>
  <si>
    <t>Net Revenues</t>
  </si>
  <si>
    <t>Cost of Goods Sold</t>
  </si>
  <si>
    <t>Gross Profit</t>
  </si>
  <si>
    <t>Gross Margin %</t>
  </si>
  <si>
    <t>Operating (Expenses) Revenues</t>
  </si>
  <si>
    <t>Commercial Expenses</t>
  </si>
  <si>
    <t>General and Administrative Expenses</t>
  </si>
  <si>
    <t>Equity Income</t>
  </si>
  <si>
    <t>Other Operating (Expenses) Revenues</t>
  </si>
  <si>
    <t>Earnings Before Income Taxes on Profit and Shareholders</t>
  </si>
  <si>
    <t>Financial Revenues</t>
  </si>
  <si>
    <t>Financial Expenses</t>
  </si>
  <si>
    <t>Net Financial Results</t>
  </si>
  <si>
    <t>Tax and Social Contribution - Current</t>
  </si>
  <si>
    <t>Tax and Social Contribution - Deferred</t>
  </si>
  <si>
    <t>Income (Loss) Before Minority Interest</t>
  </si>
  <si>
    <t>Minority Interest</t>
  </si>
  <si>
    <t>Net income (loss)</t>
  </si>
  <si>
    <t>3Q20</t>
  </si>
  <si>
    <t>2Q20</t>
  </si>
  <si>
    <t>1Q20</t>
  </si>
  <si>
    <t>4Q19</t>
  </si>
  <si>
    <t>3Q19</t>
  </si>
  <si>
    <t>2Q19</t>
  </si>
  <si>
    <t>1Q19</t>
  </si>
  <si>
    <t>Consolidated Balance Sheet, R$ 000</t>
  </si>
  <si>
    <t>Assets</t>
  </si>
  <si>
    <t>Cash and Cash Equivalents</t>
  </si>
  <si>
    <t>Restrict Cash</t>
  </si>
  <si>
    <t>Marketable Securities</t>
  </si>
  <si>
    <t>Accounts Receivables</t>
  </si>
  <si>
    <t>Marketable Real Estate</t>
  </si>
  <si>
    <t>Deferred Taxes and Contributions</t>
  </si>
  <si>
    <t>Other assets</t>
  </si>
  <si>
    <t>Taxes and Contributions to Compensate</t>
  </si>
  <si>
    <t>Commercial expenses to recognize</t>
  </si>
  <si>
    <t>Advanced Expenses</t>
  </si>
  <si>
    <t>Related Parties</t>
  </si>
  <si>
    <t>Current Assets</t>
  </si>
  <si>
    <t>Investment in Controlled Companies</t>
  </si>
  <si>
    <t>Fixed Assets</t>
  </si>
  <si>
    <t>Intangible</t>
  </si>
  <si>
    <t>Accounts with partners</t>
  </si>
  <si>
    <t>Accounts Receivables for disappropriation</t>
  </si>
  <si>
    <t>Loans and Financing</t>
  </si>
  <si>
    <t>Lease</t>
  </si>
  <si>
    <t>Suppliers</t>
  </si>
  <si>
    <t>Provision for guarantees</t>
  </si>
  <si>
    <t>Taxes and Contributions Payable</t>
  </si>
  <si>
    <t>Payroll, social charges and profit sharing</t>
  </si>
  <si>
    <t>Real Estate Acquisition Payable</t>
  </si>
  <si>
    <t>Advances from Customers</t>
  </si>
  <si>
    <t>Other Payables</t>
  </si>
  <si>
    <t>Dividends</t>
  </si>
  <si>
    <t>Provisions for labour, civil and fiscal risks</t>
  </si>
  <si>
    <t>Capital stock</t>
  </si>
  <si>
    <t>Shares issuance expenses</t>
  </si>
  <si>
    <t>Capital transaction</t>
  </si>
  <si>
    <t>Profit/Losses of the periood</t>
  </si>
  <si>
    <t>Dividends distributed</t>
  </si>
  <si>
    <t>Advance for future capital increase</t>
  </si>
  <si>
    <t>Reserve for stock option</t>
  </si>
  <si>
    <t>Legal Reserve</t>
  </si>
  <si>
    <t>Expanding Reserve</t>
  </si>
  <si>
    <t>Treasury Shares and Other reserves</t>
  </si>
  <si>
    <t>Other Results</t>
  </si>
  <si>
    <t>Minority Equity</t>
  </si>
  <si>
    <t>Shareholder's Equity</t>
  </si>
  <si>
    <t>Total Shareholder's Equity</t>
  </si>
  <si>
    <t>Total Liabilities and Shareholder's Equity</t>
  </si>
  <si>
    <t>4Q18</t>
  </si>
  <si>
    <t>3Q18</t>
  </si>
  <si>
    <t>2Q18</t>
  </si>
  <si>
    <t>1Q18</t>
  </si>
  <si>
    <t>4Q17</t>
  </si>
  <si>
    <t>3Q17</t>
  </si>
  <si>
    <t>2Q17</t>
  </si>
  <si>
    <t>1Q17</t>
  </si>
  <si>
    <t>Launches (R$ 000)</t>
  </si>
  <si>
    <t>Projects launched</t>
  </si>
  <si>
    <t xml:space="preserve">Launched area (m²) </t>
  </si>
  <si>
    <t>PSV %Lavvi</t>
  </si>
  <si>
    <t>Stake Lavvi %</t>
  </si>
  <si>
    <t>Units launched</t>
  </si>
  <si>
    <t>Average price per unit</t>
  </si>
  <si>
    <t>Average price per m²</t>
  </si>
  <si>
    <t>Sales (R$ 000)</t>
  </si>
  <si>
    <t>Net Sales 100%</t>
  </si>
  <si>
    <t>Net Sales %Lavvi</t>
  </si>
  <si>
    <t>Net Sales (units)</t>
  </si>
  <si>
    <t>Vendas Líquidas %Lavvi</t>
  </si>
  <si>
    <t>Launch</t>
  </si>
  <si>
    <t>Location</t>
  </si>
  <si>
    <t>Standard</t>
  </si>
  <si>
    <t>Units</t>
  </si>
  <si>
    <t>Average Areas</t>
  </si>
  <si>
    <t>Total PSV (R$ 000)</t>
  </si>
  <si>
    <t>Delivery</t>
  </si>
  <si>
    <t>Mid-income</t>
  </si>
  <si>
    <t>High-income</t>
  </si>
  <si>
    <t>55m² to 94m²</t>
  </si>
  <si>
    <t>55m² to 68m²</t>
  </si>
  <si>
    <t>25m² to 33m²</t>
  </si>
  <si>
    <t>24m² to 39m²</t>
  </si>
  <si>
    <t>68m², 96m² and 115m²</t>
  </si>
  <si>
    <t>Entregas (R$ Milhares)</t>
  </si>
  <si>
    <t>Entregas 100%</t>
  </si>
  <si>
    <t>Entregas %Lavvi</t>
  </si>
  <si>
    <t>Unidades entregues</t>
  </si>
  <si>
    <t>Área Útil Entregue</t>
  </si>
  <si>
    <t>Deliveries (R$ 000)</t>
  </si>
  <si>
    <t>Delivered Area</t>
  </si>
  <si>
    <t>Deliveries 100%</t>
  </si>
  <si>
    <t>Deliveries %Lavvi</t>
  </si>
  <si>
    <t>Deliveries (units)</t>
  </si>
  <si>
    <t>Landbank100%</t>
  </si>
  <si>
    <t>Landbank %Lavvi</t>
  </si>
  <si>
    <t>% Lavvi</t>
  </si>
  <si>
    <t>Landbank 100%</t>
  </si>
  <si>
    <t>Landbank (R$ Milhões)</t>
  </si>
  <si>
    <t>Landbank (R$ MM)</t>
  </si>
  <si>
    <t>Endividamento (R$ Milhares)</t>
  </si>
  <si>
    <t>Dívida CP</t>
  </si>
  <si>
    <t>Dívida LP</t>
  </si>
  <si>
    <t>Dívida Total</t>
  </si>
  <si>
    <t>Dívida Líquida</t>
  </si>
  <si>
    <t>Patrimônio Líquido</t>
  </si>
  <si>
    <t>Dívida Líquida / Patrimônio Líquido</t>
  </si>
  <si>
    <t>Margem Líquida %</t>
  </si>
  <si>
    <t>Net Margin %</t>
  </si>
  <si>
    <t>Debt (R$ 000)</t>
  </si>
  <si>
    <t>Debt ST</t>
  </si>
  <si>
    <t>Debt LT</t>
  </si>
  <si>
    <t>Total Debt</t>
  </si>
  <si>
    <t>Net Debt</t>
  </si>
  <si>
    <t>Net Debt / Shareholder's Equity</t>
  </si>
  <si>
    <t>4T20</t>
  </si>
  <si>
    <t>4Q20</t>
  </si>
  <si>
    <t>Wonder by Praças da Cidade</t>
  </si>
  <si>
    <t>Lumiere</t>
  </si>
  <si>
    <t>Chácara Klabin-SP</t>
  </si>
  <si>
    <t>82m² a 122m²</t>
  </si>
  <si>
    <t>Aptos 122m² a 144 m²  / studios 25 a 33m²</t>
  </si>
  <si>
    <t>Vendas Líquidas Totais</t>
  </si>
  <si>
    <t xml:space="preserve">Gross PSV </t>
  </si>
  <si>
    <t>1T21</t>
  </si>
  <si>
    <t>1Q21</t>
  </si>
  <si>
    <t>2T21</t>
  </si>
  <si>
    <t>Villa Versace</t>
  </si>
  <si>
    <t>Luxo</t>
  </si>
  <si>
    <t>Aptos 149m² a 220 m²  / studios 29 a 33m²</t>
  </si>
  <si>
    <t>2Q21</t>
  </si>
  <si>
    <t>Luxury</t>
  </si>
  <si>
    <t>Apts 122m² to 144 m²  / studios 25 to 33m²</t>
  </si>
  <si>
    <t>Apts 149m² to 220 m²  / studios 28 to 33 m²</t>
  </si>
  <si>
    <t>3T21</t>
  </si>
  <si>
    <t>VGV %Lavvi (ex comissão e permuta)</t>
  </si>
  <si>
    <t>Número de Unidades Lançadas</t>
  </si>
  <si>
    <t>Wonder Ipiranga</t>
  </si>
  <si>
    <t>Ipiranga-SP</t>
  </si>
  <si>
    <t>Residencial - Aptos 75m² a 127m² e Studios de 28 a 31m² e Lojas</t>
  </si>
  <si>
    <t>3Q21</t>
  </si>
  <si>
    <t>Apts 75m² to 127m² and Studios 28 to 31m²</t>
  </si>
  <si>
    <t>4T21</t>
  </si>
  <si>
    <t>Grand Vitrali</t>
  </si>
  <si>
    <t>Studios 26 a 45m²</t>
  </si>
  <si>
    <t>4Q21</t>
  </si>
  <si>
    <t>Studios 26 to 45m²</t>
  </si>
  <si>
    <t>1T22</t>
  </si>
  <si>
    <t>High Wonder</t>
  </si>
  <si>
    <t>Verdant Parque Resort</t>
  </si>
  <si>
    <t>Tucuruvi-SP</t>
  </si>
  <si>
    <t>Médio-Alto</t>
  </si>
  <si>
    <t>Aptos 85m² a 280m²</t>
  </si>
  <si>
    <t>Aptos 129m² a 305m²</t>
  </si>
  <si>
    <t>1Q22</t>
  </si>
  <si>
    <t>Mid-High</t>
  </si>
  <si>
    <t>Apts  85m² to 280m²</t>
  </si>
  <si>
    <t>Apts 129m² to 305m²</t>
  </si>
  <si>
    <t>Non-Current Assets</t>
  </si>
  <si>
    <t>Total Assets</t>
  </si>
  <si>
    <t>Liabilities</t>
  </si>
  <si>
    <t>Current</t>
  </si>
  <si>
    <t>Non-Current</t>
  </si>
  <si>
    <t>2T22</t>
  </si>
  <si>
    <t>Green View</t>
  </si>
  <si>
    <t>Butantã-SP</t>
  </si>
  <si>
    <t>Aptos de 132m² a 159m²</t>
  </si>
  <si>
    <t>2Q22</t>
  </si>
  <si>
    <t>Apts 132m² to 159m²</t>
  </si>
  <si>
    <t>3T22</t>
  </si>
  <si>
    <t>3Q22</t>
  </si>
  <si>
    <t>Grand Square</t>
  </si>
  <si>
    <t>Chácara Inglesa-SP</t>
  </si>
  <si>
    <t>Resultado a Apropriar (Backlog)</t>
  </si>
  <si>
    <t>Receita Líquida a Apropriar (R$ mil)</t>
  </si>
  <si>
    <t>Resultado Bruto Ajustado (R$ mil)</t>
  </si>
  <si>
    <t>% Margem dos Resultados a Apropriar</t>
  </si>
  <si>
    <t>Quantidade de ações</t>
  </si>
  <si>
    <t>Backlog Revenue</t>
  </si>
  <si>
    <t>% Gross Margin</t>
  </si>
  <si>
    <t>Net Revenue to be Appropriated</t>
  </si>
  <si>
    <t>Adjusted Gross Result</t>
  </si>
  <si>
    <t>Number of shares</t>
  </si>
  <si>
    <t>VGV Estoque 100%</t>
  </si>
  <si>
    <t>PSV Inventory 100%</t>
  </si>
  <si>
    <t>VGV Estoque %Lavvi</t>
  </si>
  <si>
    <t>PSV Inventory %Lavvi</t>
  </si>
  <si>
    <t>Aptos de 65m² a 79m²</t>
  </si>
  <si>
    <t>Apts 65m² to 79m²</t>
  </si>
  <si>
    <t># Ações</t>
  </si>
  <si>
    <t># Shares</t>
  </si>
  <si>
    <t>VGV Total</t>
  </si>
  <si>
    <t>4T22</t>
  </si>
  <si>
    <t>Galleria Klabin</t>
  </si>
  <si>
    <t>Chácara Kablin-SP</t>
  </si>
  <si>
    <t>Aptos de 166m² a 234m² e Studios de 22 a 27 m²</t>
  </si>
  <si>
    <t>Eden Park by Dror</t>
  </si>
  <si>
    <t>Brooklin-SP</t>
  </si>
  <si>
    <t>Aptos de 94m² a 134m² , Studios de 24m², 36m² e 60m² e Loja</t>
  </si>
  <si>
    <t>4Q22</t>
  </si>
  <si>
    <t>Apts 166m² to 234m² and Studios 22m² to 27 m²</t>
  </si>
  <si>
    <t>Apts 94m² to 134m² , Studios 24m², 36m² and 60m² and Mall</t>
  </si>
  <si>
    <t>Dividendos adicionais</t>
  </si>
  <si>
    <t>Additional Dividends</t>
  </si>
  <si>
    <t>Inventory (R$'000)</t>
  </si>
  <si>
    <t>Estoque (R$ Milhares)</t>
  </si>
  <si>
    <t>1T23</t>
  </si>
  <si>
    <t>1Q23</t>
  </si>
  <si>
    <t>2T23</t>
  </si>
  <si>
    <t>2Q23</t>
  </si>
  <si>
    <t>Saffire Elie Saab</t>
  </si>
  <si>
    <t>Indianópolis-SP</t>
  </si>
  <si>
    <t>High-Luxury</t>
  </si>
  <si>
    <t>Apts 360m² to 490m², Studios 29m², 31m², and 34m²</t>
  </si>
  <si>
    <t>Indianópolis-Sp</t>
  </si>
  <si>
    <t>Alto Luxo</t>
  </si>
  <si>
    <t>Aptos de 360m² e 490m², Studios de 29m², 31m² e 34m²</t>
  </si>
  <si>
    <t>-</t>
  </si>
  <si>
    <t>3T23</t>
  </si>
  <si>
    <t>3Q23</t>
  </si>
  <si>
    <t>Margem Bruta Contábil %</t>
  </si>
  <si>
    <t>Lucro Bruto</t>
  </si>
  <si>
    <t>EBIT</t>
  </si>
  <si>
    <t>Margens Bruta e EBITDA (contábil e ex-SFH*)</t>
  </si>
  <si>
    <t>(+) Depreciação e Amortização</t>
  </si>
  <si>
    <t>EBITDA</t>
  </si>
  <si>
    <t>Margem EBITDA %</t>
  </si>
  <si>
    <t>(+) Juros Capitalizados</t>
  </si>
  <si>
    <t>Gross Margin &amp; EBITDA (ex-SFH)</t>
  </si>
  <si>
    <t>Accounting Gross Margin %</t>
  </si>
  <si>
    <t>(+) Capitalized Financial Charges</t>
  </si>
  <si>
    <t>(+) Depreciation &amp; Amortization</t>
  </si>
  <si>
    <t>EBITDA Margin %</t>
  </si>
  <si>
    <t>Geração de Caixa</t>
  </si>
  <si>
    <t>Títulos e Valores Mobiliários</t>
  </si>
  <si>
    <t>Caixa e Aplicações</t>
  </si>
  <si>
    <t>Dívida (Caixa) Líquida</t>
  </si>
  <si>
    <t>Geração (Consumo) de Caixa</t>
  </si>
  <si>
    <t>Dividendos</t>
  </si>
  <si>
    <r>
      <t>Geração (Consumo) de Caixa (</t>
    </r>
    <r>
      <rPr>
        <b/>
        <i/>
        <sz val="9"/>
        <color theme="1"/>
        <rFont val="Abadi"/>
        <family val="2"/>
      </rPr>
      <t>ex dividendos)</t>
    </r>
  </si>
  <si>
    <t>Terrenos</t>
  </si>
  <si>
    <r>
      <t>Geração (Consumo) de Caixa (</t>
    </r>
    <r>
      <rPr>
        <b/>
        <i/>
        <sz val="9"/>
        <color theme="1"/>
        <rFont val="Abadi"/>
        <family val="2"/>
      </rPr>
      <t>ex terrenos)</t>
    </r>
  </si>
  <si>
    <t>Programa de Recompra</t>
  </si>
  <si>
    <t>Net Debt (Cash)</t>
  </si>
  <si>
    <t>Cash and Equivalents</t>
  </si>
  <si>
    <t>Financial Investments</t>
  </si>
  <si>
    <t>Total Cash</t>
  </si>
  <si>
    <t>Cash Generation (Burn)</t>
  </si>
  <si>
    <t>Shares Buyback</t>
  </si>
  <si>
    <r>
      <t xml:space="preserve">Cash Generation (Burn) </t>
    </r>
    <r>
      <rPr>
        <b/>
        <i/>
        <sz val="9"/>
        <color theme="1"/>
        <rFont val="Abadi"/>
        <family val="2"/>
      </rPr>
      <t>ex dividends</t>
    </r>
  </si>
  <si>
    <r>
      <t xml:space="preserve">Cash Generation (Burn) </t>
    </r>
    <r>
      <rPr>
        <b/>
        <i/>
        <sz val="9"/>
        <color theme="1"/>
        <rFont val="Abadi"/>
        <family val="2"/>
      </rPr>
      <t>ex land</t>
    </r>
  </si>
  <si>
    <t xml:space="preserve">Land </t>
  </si>
  <si>
    <t>*a visão ex-SFH ou ex-Custo Financeiro desconsidera os juros capitalizados (custo financeiro) dos financiamento SFH.</t>
  </si>
  <si>
    <t>Lucro Bruto ex-Custo Financeiro*</t>
  </si>
  <si>
    <t>Margem Bruta ex-Custo Financeiro%</t>
  </si>
  <si>
    <t>EBTIDA ex-Custo Financeiro*</t>
  </si>
  <si>
    <t>Margem EBITDA ex-Custo Financeiro%</t>
  </si>
  <si>
    <t>*ex-Financial Charges view excludes capitalized financial 
charges (financial costs) on SFH</t>
  </si>
  <si>
    <t>Gross Profit ex-Financial Charges</t>
  </si>
  <si>
    <t>Gross Margin ex-Financial Charges %</t>
  </si>
  <si>
    <t xml:space="preserve">EBITDA ex-Financial Charges </t>
  </si>
  <si>
    <t>EBITDA Margin ex-Financial Charges %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</si>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</sst>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* \(#,##0\)_-;_-* &quot;-&quot;??_-;_-@_-"/>
    <numFmt numFmtId="165" formatCode="0.0%"/>
    <numFmt numFmtId="166" formatCode="[$-416]mmmm\-yy;@"/>
    <numFmt numFmtId="167" formatCode="[$-409]mmmm\-yy;@"/>
    <numFmt numFmtId="168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badi"/>
      <family val="2"/>
    </font>
    <font>
      <sz val="9"/>
      <color theme="0"/>
      <name val="Abadi"/>
      <family val="2"/>
    </font>
    <font>
      <b/>
      <sz val="9"/>
      <color theme="1"/>
      <name val="Abadi"/>
      <family val="2"/>
    </font>
    <font>
      <sz val="10"/>
      <name val="Arial"/>
      <family val="2"/>
    </font>
    <font>
      <sz val="8"/>
      <name val="Arial"/>
      <family val="2"/>
    </font>
    <font>
      <i/>
      <sz val="9"/>
      <color theme="1"/>
      <name val="Abadi"/>
      <family val="2"/>
    </font>
    <font>
      <b/>
      <sz val="8"/>
      <name val="Arial"/>
      <family val="2"/>
    </font>
    <font>
      <b/>
      <sz val="9"/>
      <name val="Abadi"/>
      <family val="2"/>
    </font>
    <font>
      <sz val="11"/>
      <color indexed="8"/>
      <name val="Calibr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8"/>
      <name val="Abadi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6"/>
      <color theme="1"/>
      <name val="Abadi"/>
      <family val="2"/>
    </font>
    <font>
      <b/>
      <i/>
      <sz val="9"/>
      <color theme="1"/>
      <name val="Abadi"/>
      <family val="2"/>
    </font>
    <font>
      <sz val="8"/>
      <color theme="1"/>
      <name val="Abadi"/>
      <family val="2"/>
    </font>
    <font>
      <sz val="8"/>
      <name val="Abadi"/>
      <family val="2"/>
    </font>
  </fonts>
  <fills count="5">
    <fill>
      <patternFill patternType="none"/>
    </fill>
    <fill>
      <patternFill patternType="gray125"/>
    </fill>
    <fill>
      <patternFill patternType="solid">
        <fgColor rgb="FF1828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5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4" fontId="6" fillId="0" borderId="0" xfId="2" applyNumberFormat="1" applyFont="1" applyFill="1" applyBorder="1" applyAlignment="1">
      <alignment horizontal="right" vertical="center"/>
    </xf>
    <xf numFmtId="164" fontId="6" fillId="0" borderId="0" xfId="2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6" fillId="0" borderId="1" xfId="2" applyNumberFormat="1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164" fontId="8" fillId="0" borderId="0" xfId="2" applyNumberFormat="1" applyFont="1" applyFill="1" applyBorder="1" applyAlignment="1">
      <alignment horizontal="right" vertical="center"/>
    </xf>
    <xf numFmtId="164" fontId="8" fillId="0" borderId="1" xfId="2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164" fontId="8" fillId="0" borderId="1" xfId="2" applyNumberFormat="1" applyFont="1" applyFill="1" applyBorder="1" applyAlignment="1">
      <alignment vertical="center"/>
    </xf>
    <xf numFmtId="9" fontId="6" fillId="0" borderId="0" xfId="2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166" fontId="6" fillId="0" borderId="0" xfId="2" applyNumberFormat="1" applyFont="1" applyFill="1" applyBorder="1" applyAlignment="1">
      <alignment horizontal="right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3" borderId="0" xfId="0" applyFont="1" applyFill="1"/>
    <xf numFmtId="164" fontId="6" fillId="3" borderId="0" xfId="2" applyNumberFormat="1" applyFont="1" applyFill="1" applyBorder="1" applyAlignment="1">
      <alignment horizontal="right" vertical="center"/>
    </xf>
    <xf numFmtId="0" fontId="4" fillId="0" borderId="1" xfId="0" applyFont="1" applyBorder="1"/>
    <xf numFmtId="165" fontId="8" fillId="0" borderId="1" xfId="2" applyNumberFormat="1" applyFont="1" applyFill="1" applyBorder="1" applyAlignment="1">
      <alignment horizontal="right" vertical="center"/>
    </xf>
    <xf numFmtId="0" fontId="2" fillId="0" borderId="1" xfId="0" applyFont="1" applyBorder="1"/>
    <xf numFmtId="164" fontId="6" fillId="0" borderId="0" xfId="2" applyNumberFormat="1" applyFont="1" applyFill="1" applyBorder="1" applyAlignment="1">
      <alignment horizontal="center" vertical="center"/>
    </xf>
    <xf numFmtId="165" fontId="6" fillId="0" borderId="1" xfId="2" applyNumberFormat="1" applyFont="1" applyFill="1" applyBorder="1" applyAlignment="1">
      <alignment horizontal="right" vertical="center"/>
    </xf>
    <xf numFmtId="9" fontId="2" fillId="0" borderId="0" xfId="5" applyFont="1"/>
    <xf numFmtId="165" fontId="2" fillId="0" borderId="0" xfId="5" applyNumberFormat="1" applyFont="1"/>
    <xf numFmtId="164" fontId="2" fillId="0" borderId="0" xfId="0" applyNumberFormat="1" applyFont="1" applyAlignment="1">
      <alignment vertical="center"/>
    </xf>
    <xf numFmtId="167" fontId="6" fillId="0" borderId="0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vertical="center"/>
    </xf>
    <xf numFmtId="164" fontId="8" fillId="0" borderId="2" xfId="2" applyNumberFormat="1" applyFont="1" applyFill="1" applyBorder="1" applyAlignment="1">
      <alignment vertical="center"/>
    </xf>
    <xf numFmtId="165" fontId="6" fillId="0" borderId="3" xfId="2" applyNumberFormat="1" applyFont="1" applyFill="1" applyBorder="1" applyAlignment="1">
      <alignment vertical="center"/>
    </xf>
    <xf numFmtId="0" fontId="0" fillId="4" borderId="0" xfId="0" applyFill="1"/>
    <xf numFmtId="165" fontId="14" fillId="0" borderId="0" xfId="2" applyNumberFormat="1" applyFont="1" applyFill="1" applyBorder="1" applyAlignment="1">
      <alignment vertical="center"/>
    </xf>
    <xf numFmtId="164" fontId="15" fillId="0" borderId="0" xfId="2" applyNumberFormat="1" applyFont="1" applyFill="1" applyBorder="1" applyAlignment="1">
      <alignment vertical="center"/>
    </xf>
    <xf numFmtId="168" fontId="8" fillId="0" borderId="2" xfId="6" applyNumberFormat="1" applyFont="1" applyFill="1" applyBorder="1" applyAlignment="1">
      <alignment vertical="center"/>
    </xf>
    <xf numFmtId="0" fontId="16" fillId="0" borderId="0" xfId="0" applyFont="1"/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8" fillId="0" borderId="3" xfId="2" applyNumberFormat="1" applyFont="1" applyFill="1" applyBorder="1" applyAlignment="1">
      <alignment vertical="center"/>
    </xf>
    <xf numFmtId="0" fontId="13" fillId="0" borderId="0" xfId="0" applyFont="1"/>
    <xf numFmtId="164" fontId="0" fillId="0" borderId="0" xfId="0" applyNumberFormat="1"/>
    <xf numFmtId="0" fontId="18" fillId="0" borderId="0" xfId="0" applyFont="1" applyAlignment="1">
      <alignment vertical="center"/>
    </xf>
    <xf numFmtId="0" fontId="13" fillId="0" borderId="0" xfId="0" applyFont="1" applyAlignment="1">
      <alignment wrapText="1"/>
    </xf>
    <xf numFmtId="164" fontId="6" fillId="0" borderId="2" xfId="2" applyNumberFormat="1" applyFont="1" applyFill="1" applyBorder="1" applyAlignment="1">
      <alignment horizontal="right" vertical="center"/>
    </xf>
    <xf numFmtId="164" fontId="8" fillId="0" borderId="3" xfId="2" applyNumberFormat="1" applyFont="1" applyFill="1" applyBorder="1" applyAlignment="1">
      <alignment horizontal="right" vertical="center"/>
    </xf>
    <xf numFmtId="164" fontId="19" fillId="0" borderId="0" xfId="2" applyNumberFormat="1" applyFont="1" applyFill="1" applyBorder="1" applyAlignment="1">
      <alignment vertical="center"/>
    </xf>
    <xf numFmtId="0" fontId="7" fillId="0" borderId="3" xfId="0" applyFont="1" applyBorder="1" applyAlignment="1">
      <alignment vertical="top"/>
    </xf>
    <xf numFmtId="165" fontId="6" fillId="0" borderId="3" xfId="2" applyNumberFormat="1" applyFont="1" applyFill="1" applyBorder="1" applyAlignment="1">
      <alignment vertical="top"/>
    </xf>
    <xf numFmtId="0" fontId="4" fillId="0" borderId="0" xfId="0" applyFont="1" applyBorder="1" applyAlignment="1">
      <alignment vertical="center"/>
    </xf>
  </cellXfs>
  <cellStyles count="7">
    <cellStyle name="Comma" xfId="2" xr:uid="{7BCFD483-CA67-42BA-975C-4972775664B9}"/>
    <cellStyle name="Normal" xfId="0" builtinId="0"/>
    <cellStyle name="Normal - Style1 2" xfId="1" xr:uid="{6B36CD10-8E41-4B54-98F6-8F7A24F5543F}"/>
    <cellStyle name="Normal 27" xfId="4" xr:uid="{D7F19FD7-CEAC-4792-B788-ED242A2CE0E6}"/>
    <cellStyle name="Porcentagem" xfId="5" builtinId="5"/>
    <cellStyle name="Separador de milhares 11" xfId="3" xr:uid="{78FF3177-A600-4A97-9FB2-FDA4CF26C43F}"/>
    <cellStyle name="Vírgula" xfId="6" builtinId="3"/>
  </cellStyles>
  <dxfs count="0"/>
  <tableStyles count="0" defaultTableStyle="TableStyleMedium2" defaultPivotStyle="PivotStyleLight16"/>
  <colors>
    <mruColors>
      <color rgb="FF182842"/>
      <color rgb="FFC8A7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Operating Data'!A1"/><Relationship Id="rId13" Type="http://schemas.openxmlformats.org/officeDocument/2006/relationships/hyperlink" Target="#'Gross Margin &amp; EBITDA (ex-SFH)'!A1"/><Relationship Id="rId3" Type="http://schemas.openxmlformats.org/officeDocument/2006/relationships/hyperlink" Target="#'Balan&#231;o Patrimonial'!A1"/><Relationship Id="rId7" Type="http://schemas.openxmlformats.org/officeDocument/2006/relationships/hyperlink" Target="#'Balance Sheet'!A1"/><Relationship Id="rId12" Type="http://schemas.openxmlformats.org/officeDocument/2006/relationships/hyperlink" Target="#'Margens Bruta e EBITDA (ex-SFH)'!A1"/><Relationship Id="rId2" Type="http://schemas.openxmlformats.org/officeDocument/2006/relationships/hyperlink" Target="#DRE!A1"/><Relationship Id="rId1" Type="http://schemas.openxmlformats.org/officeDocument/2006/relationships/image" Target="../media/image1.jpeg"/><Relationship Id="rId6" Type="http://schemas.openxmlformats.org/officeDocument/2006/relationships/hyperlink" Target="#'Income Statement'!A1"/><Relationship Id="rId11" Type="http://schemas.openxmlformats.org/officeDocument/2006/relationships/hyperlink" Target="#Debt!A1"/><Relationship Id="rId5" Type="http://schemas.openxmlformats.org/officeDocument/2006/relationships/hyperlink" Target="#Lan&#231;amentos!A1"/><Relationship Id="rId15" Type="http://schemas.openxmlformats.org/officeDocument/2006/relationships/hyperlink" Target="#'Cash Generation'!A1"/><Relationship Id="rId10" Type="http://schemas.openxmlformats.org/officeDocument/2006/relationships/hyperlink" Target="#D&#237;vida!A1"/><Relationship Id="rId4" Type="http://schemas.openxmlformats.org/officeDocument/2006/relationships/hyperlink" Target="#'Dados Operacionais'!A1"/><Relationship Id="rId9" Type="http://schemas.openxmlformats.org/officeDocument/2006/relationships/hyperlink" Target="#Launches!A1"/><Relationship Id="rId14" Type="http://schemas.openxmlformats.org/officeDocument/2006/relationships/hyperlink" Target="#'Gera&#231;&#227;o Caixa 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Summary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</xdr:colOff>
      <xdr:row>0</xdr:row>
      <xdr:rowOff>85724</xdr:rowOff>
    </xdr:from>
    <xdr:to>
      <xdr:col>2</xdr:col>
      <xdr:colOff>531495</xdr:colOff>
      <xdr:row>3</xdr:row>
      <xdr:rowOff>66675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5EDE9B8A-9EB6-4285-8039-9489C8C4AD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82" b="18681"/>
        <a:stretch/>
      </xdr:blipFill>
      <xdr:spPr bwMode="auto">
        <a:xfrm>
          <a:off x="120015" y="85724"/>
          <a:ext cx="1592580" cy="552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590550</xdr:colOff>
      <xdr:row>4</xdr:row>
      <xdr:rowOff>15240</xdr:rowOff>
    </xdr:from>
    <xdr:to>
      <xdr:col>3</xdr:col>
      <xdr:colOff>361950</xdr:colOff>
      <xdr:row>6</xdr:row>
      <xdr:rowOff>78105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A5225E-A68A-480F-997D-ECF8D4F0D8BB}"/>
            </a:ext>
          </a:extLst>
        </xdr:cNvPr>
        <xdr:cNvSpPr/>
      </xdr:nvSpPr>
      <xdr:spPr>
        <a:xfrm>
          <a:off x="590550" y="739140"/>
          <a:ext cx="1600200" cy="42481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DRE</a:t>
          </a:r>
        </a:p>
      </xdr:txBody>
    </xdr:sp>
    <xdr:clientData/>
  </xdr:twoCellAnchor>
  <xdr:twoCellAnchor>
    <xdr:from>
      <xdr:col>1</xdr:col>
      <xdr:colOff>0</xdr:colOff>
      <xdr:row>10</xdr:row>
      <xdr:rowOff>172720</xdr:rowOff>
    </xdr:from>
    <xdr:to>
      <xdr:col>3</xdr:col>
      <xdr:colOff>361950</xdr:colOff>
      <xdr:row>13</xdr:row>
      <xdr:rowOff>20320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4A7425B-00B3-40E3-8E63-9E6189FFE968}"/>
            </a:ext>
          </a:extLst>
        </xdr:cNvPr>
        <xdr:cNvSpPr/>
      </xdr:nvSpPr>
      <xdr:spPr>
        <a:xfrm>
          <a:off x="590550" y="2077720"/>
          <a:ext cx="1543050" cy="41910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Balanço Patrimonial</a:t>
          </a:r>
        </a:p>
      </xdr:txBody>
    </xdr:sp>
    <xdr:clientData/>
  </xdr:twoCellAnchor>
  <xdr:twoCellAnchor>
    <xdr:from>
      <xdr:col>0</xdr:col>
      <xdr:colOff>582930</xdr:colOff>
      <xdr:row>16</xdr:row>
      <xdr:rowOff>181610</xdr:rowOff>
    </xdr:from>
    <xdr:to>
      <xdr:col>3</xdr:col>
      <xdr:colOff>354330</xdr:colOff>
      <xdr:row>19</xdr:row>
      <xdr:rowOff>50165</xdr:rowOff>
    </xdr:to>
    <xdr:sp macro="" textlink="">
      <xdr:nvSpPr>
        <xdr:cNvPr id="5" name="Retângulo: Cantos Arredondado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4347A2-0C2F-44A6-91F9-9C3E69938278}"/>
            </a:ext>
          </a:extLst>
        </xdr:cNvPr>
        <xdr:cNvSpPr/>
      </xdr:nvSpPr>
      <xdr:spPr>
        <a:xfrm>
          <a:off x="582930" y="3229610"/>
          <a:ext cx="1543050" cy="44005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Dados Operacionais</a:t>
          </a:r>
        </a:p>
      </xdr:txBody>
    </xdr:sp>
    <xdr:clientData/>
  </xdr:twoCellAnchor>
  <xdr:twoCellAnchor>
    <xdr:from>
      <xdr:col>0</xdr:col>
      <xdr:colOff>577215</xdr:colOff>
      <xdr:row>22</xdr:row>
      <xdr:rowOff>188595</xdr:rowOff>
    </xdr:from>
    <xdr:to>
      <xdr:col>3</xdr:col>
      <xdr:colOff>348615</xdr:colOff>
      <xdr:row>25</xdr:row>
      <xdr:rowOff>59055</xdr:rowOff>
    </xdr:to>
    <xdr:sp macro="" textlink="">
      <xdr:nvSpPr>
        <xdr:cNvPr id="6" name="Retângulo: Cantos Arredondado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0F777C8-9020-491D-917B-44E0660EF638}"/>
            </a:ext>
          </a:extLst>
        </xdr:cNvPr>
        <xdr:cNvSpPr/>
      </xdr:nvSpPr>
      <xdr:spPr>
        <a:xfrm>
          <a:off x="577215" y="4379595"/>
          <a:ext cx="1543050" cy="4419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Lançamentos</a:t>
          </a:r>
        </a:p>
      </xdr:txBody>
    </xdr:sp>
    <xdr:clientData/>
  </xdr:twoCellAnchor>
  <xdr:twoCellAnchor>
    <xdr:from>
      <xdr:col>4</xdr:col>
      <xdr:colOff>304800</xdr:colOff>
      <xdr:row>4</xdr:row>
      <xdr:rowOff>15240</xdr:rowOff>
    </xdr:from>
    <xdr:to>
      <xdr:col>7</xdr:col>
      <xdr:colOff>76200</xdr:colOff>
      <xdr:row>6</xdr:row>
      <xdr:rowOff>78105</xdr:rowOff>
    </xdr:to>
    <xdr:sp macro="" textlink="">
      <xdr:nvSpPr>
        <xdr:cNvPr id="7" name="Retângulo: Cantos Arredondado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2AB9C7E-2EF6-468B-BE10-8CF815472394}"/>
            </a:ext>
          </a:extLst>
        </xdr:cNvPr>
        <xdr:cNvSpPr/>
      </xdr:nvSpPr>
      <xdr:spPr>
        <a:xfrm>
          <a:off x="2743200" y="739140"/>
          <a:ext cx="1600200" cy="424815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Income Statement</a:t>
          </a:r>
        </a:p>
      </xdr:txBody>
    </xdr:sp>
    <xdr:clientData/>
  </xdr:twoCellAnchor>
  <xdr:twoCellAnchor>
    <xdr:from>
      <xdr:col>4</xdr:col>
      <xdr:colOff>304800</xdr:colOff>
      <xdr:row>10</xdr:row>
      <xdr:rowOff>175894</xdr:rowOff>
    </xdr:from>
    <xdr:to>
      <xdr:col>7</xdr:col>
      <xdr:colOff>76200</xdr:colOff>
      <xdr:row>13</xdr:row>
      <xdr:rowOff>23494</xdr:rowOff>
    </xdr:to>
    <xdr:sp macro="" textlink="">
      <xdr:nvSpPr>
        <xdr:cNvPr id="8" name="Retângulo: Cantos Arredondados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A4A5B656-B813-49F6-9839-00C14E2F05EE}"/>
            </a:ext>
          </a:extLst>
        </xdr:cNvPr>
        <xdr:cNvSpPr/>
      </xdr:nvSpPr>
      <xdr:spPr>
        <a:xfrm>
          <a:off x="2667000" y="2080894"/>
          <a:ext cx="1543050" cy="41910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Balance Sheet</a:t>
          </a:r>
        </a:p>
      </xdr:txBody>
    </xdr:sp>
    <xdr:clientData/>
  </xdr:twoCellAnchor>
  <xdr:twoCellAnchor>
    <xdr:from>
      <xdr:col>4</xdr:col>
      <xdr:colOff>281940</xdr:colOff>
      <xdr:row>16</xdr:row>
      <xdr:rowOff>187959</xdr:rowOff>
    </xdr:from>
    <xdr:to>
      <xdr:col>7</xdr:col>
      <xdr:colOff>53340</xdr:colOff>
      <xdr:row>19</xdr:row>
      <xdr:rowOff>56514</xdr:rowOff>
    </xdr:to>
    <xdr:sp macro="" textlink="">
      <xdr:nvSpPr>
        <xdr:cNvPr id="9" name="Retângulo: Cantos Arredondado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EAF4111-747D-4590-8AD0-02407EC57822}"/>
            </a:ext>
          </a:extLst>
        </xdr:cNvPr>
        <xdr:cNvSpPr/>
      </xdr:nvSpPr>
      <xdr:spPr>
        <a:xfrm>
          <a:off x="2644140" y="3235959"/>
          <a:ext cx="1543050" cy="440055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Operating Data</a:t>
          </a:r>
        </a:p>
      </xdr:txBody>
    </xdr:sp>
    <xdr:clientData/>
  </xdr:twoCellAnchor>
  <xdr:twoCellAnchor>
    <xdr:from>
      <xdr:col>4</xdr:col>
      <xdr:colOff>283845</xdr:colOff>
      <xdr:row>23</xdr:row>
      <xdr:rowOff>7620</xdr:rowOff>
    </xdr:from>
    <xdr:to>
      <xdr:col>7</xdr:col>
      <xdr:colOff>55245</xdr:colOff>
      <xdr:row>25</xdr:row>
      <xdr:rowOff>68580</xdr:rowOff>
    </xdr:to>
    <xdr:sp macro="" textlink="">
      <xdr:nvSpPr>
        <xdr:cNvPr id="10" name="Retângulo: Cantos Arredondado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2F0A5D9-66AA-4ED2-BA56-9166EDBF8C8D}"/>
            </a:ext>
          </a:extLst>
        </xdr:cNvPr>
        <xdr:cNvSpPr/>
      </xdr:nvSpPr>
      <xdr:spPr>
        <a:xfrm>
          <a:off x="2646045" y="4389120"/>
          <a:ext cx="1543050" cy="44196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Launches</a:t>
          </a:r>
        </a:p>
      </xdr:txBody>
    </xdr:sp>
    <xdr:clientData/>
  </xdr:twoCellAnchor>
  <xdr:twoCellAnchor>
    <xdr:from>
      <xdr:col>0</xdr:col>
      <xdr:colOff>569595</xdr:colOff>
      <xdr:row>19</xdr:row>
      <xdr:rowOff>187960</xdr:rowOff>
    </xdr:from>
    <xdr:to>
      <xdr:col>3</xdr:col>
      <xdr:colOff>340995</xdr:colOff>
      <xdr:row>22</xdr:row>
      <xdr:rowOff>50800</xdr:rowOff>
    </xdr:to>
    <xdr:sp macro="" textlink="">
      <xdr:nvSpPr>
        <xdr:cNvPr id="11" name="Retângulo: Cantos Arredondados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64D62D4-B666-4F5B-93DA-F4468B98F53F}"/>
            </a:ext>
          </a:extLst>
        </xdr:cNvPr>
        <xdr:cNvSpPr/>
      </xdr:nvSpPr>
      <xdr:spPr>
        <a:xfrm>
          <a:off x="569595" y="3807460"/>
          <a:ext cx="1543050" cy="43434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Dívida</a:t>
          </a:r>
        </a:p>
      </xdr:txBody>
    </xdr:sp>
    <xdr:clientData/>
  </xdr:twoCellAnchor>
  <xdr:twoCellAnchor>
    <xdr:from>
      <xdr:col>4</xdr:col>
      <xdr:colOff>285750</xdr:colOff>
      <xdr:row>20</xdr:row>
      <xdr:rowOff>24446</xdr:rowOff>
    </xdr:from>
    <xdr:to>
      <xdr:col>7</xdr:col>
      <xdr:colOff>57150</xdr:colOff>
      <xdr:row>22</xdr:row>
      <xdr:rowOff>77786</xdr:rowOff>
    </xdr:to>
    <xdr:sp macro="" textlink="">
      <xdr:nvSpPr>
        <xdr:cNvPr id="12" name="Retângulo: Cantos Arredondados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664046F6-A373-4332-B9C7-89F6306402EA}"/>
            </a:ext>
          </a:extLst>
        </xdr:cNvPr>
        <xdr:cNvSpPr/>
      </xdr:nvSpPr>
      <xdr:spPr>
        <a:xfrm>
          <a:off x="2647950" y="3834446"/>
          <a:ext cx="1543050" cy="43434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Debt</a:t>
          </a:r>
        </a:p>
      </xdr:txBody>
    </xdr:sp>
    <xdr:clientData/>
  </xdr:twoCellAnchor>
  <xdr:twoCellAnchor>
    <xdr:from>
      <xdr:col>1</xdr:col>
      <xdr:colOff>0</xdr:colOff>
      <xdr:row>7</xdr:row>
      <xdr:rowOff>25400</xdr:rowOff>
    </xdr:from>
    <xdr:to>
      <xdr:col>3</xdr:col>
      <xdr:colOff>361950</xdr:colOff>
      <xdr:row>10</xdr:row>
      <xdr:rowOff>34925</xdr:rowOff>
    </xdr:to>
    <xdr:sp macro="" textlink="">
      <xdr:nvSpPr>
        <xdr:cNvPr id="13" name="Retângulo: Cantos Arredondados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07C825E-D241-47F4-A22C-31CCADB581F8}"/>
            </a:ext>
          </a:extLst>
        </xdr:cNvPr>
        <xdr:cNvSpPr/>
      </xdr:nvSpPr>
      <xdr:spPr>
        <a:xfrm>
          <a:off x="590550" y="1358900"/>
          <a:ext cx="1543050" cy="58102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Margens Bruta e EBITDA</a:t>
          </a:r>
          <a:r>
            <a:rPr lang="pt-BR" sz="1200" b="0" baseline="0">
              <a:latin typeface="Abadi" panose="020B0604020104020204" pitchFamily="34" charset="0"/>
            </a:rPr>
            <a:t> (ex-SFH)</a:t>
          </a:r>
          <a:endParaRPr lang="pt-BR" sz="1200" b="0">
            <a:latin typeface="Abadi" panose="020B0604020104020204" pitchFamily="34" charset="0"/>
          </a:endParaRPr>
        </a:p>
      </xdr:txBody>
    </xdr:sp>
    <xdr:clientData/>
  </xdr:twoCellAnchor>
  <xdr:twoCellAnchor>
    <xdr:from>
      <xdr:col>4</xdr:col>
      <xdr:colOff>314325</xdr:colOff>
      <xdr:row>7</xdr:row>
      <xdr:rowOff>26987</xdr:rowOff>
    </xdr:from>
    <xdr:to>
      <xdr:col>7</xdr:col>
      <xdr:colOff>85725</xdr:colOff>
      <xdr:row>10</xdr:row>
      <xdr:rowOff>36512</xdr:rowOff>
    </xdr:to>
    <xdr:sp macro="" textlink="">
      <xdr:nvSpPr>
        <xdr:cNvPr id="14" name="Retângulo: Cantos Arredondados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1A7CBF8-FFBA-4EDA-AFE8-C3BDDE348407}"/>
            </a:ext>
          </a:extLst>
        </xdr:cNvPr>
        <xdr:cNvSpPr/>
      </xdr:nvSpPr>
      <xdr:spPr>
        <a:xfrm>
          <a:off x="2676525" y="1360487"/>
          <a:ext cx="1543050" cy="581025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Gross Margin</a:t>
          </a:r>
          <a:r>
            <a:rPr lang="pt-BR" sz="1200" b="0" baseline="0">
              <a:latin typeface="Abadi" panose="020B0604020104020204" pitchFamily="34" charset="0"/>
            </a:rPr>
            <a:t> &amp; EBITDA (ex-HFS)</a:t>
          </a:r>
          <a:endParaRPr lang="pt-BR" sz="1200" b="0">
            <a:latin typeface="Abadi" panose="020B0604020104020204" pitchFamily="34" charset="0"/>
          </a:endParaRPr>
        </a:p>
      </xdr:txBody>
    </xdr:sp>
    <xdr:clientData/>
  </xdr:twoCellAnchor>
  <xdr:twoCellAnchor>
    <xdr:from>
      <xdr:col>0</xdr:col>
      <xdr:colOff>590549</xdr:colOff>
      <xdr:row>13</xdr:row>
      <xdr:rowOff>158115</xdr:rowOff>
    </xdr:from>
    <xdr:to>
      <xdr:col>3</xdr:col>
      <xdr:colOff>361950</xdr:colOff>
      <xdr:row>16</xdr:row>
      <xdr:rowOff>43815</xdr:rowOff>
    </xdr:to>
    <xdr:sp macro="" textlink="">
      <xdr:nvSpPr>
        <xdr:cNvPr id="15" name="Retângulo: Cantos Arredondados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F4CB216-93F1-4269-AF7B-B1CBAF09EBF3}"/>
            </a:ext>
          </a:extLst>
        </xdr:cNvPr>
        <xdr:cNvSpPr/>
      </xdr:nvSpPr>
      <xdr:spPr>
        <a:xfrm>
          <a:off x="590549" y="2634615"/>
          <a:ext cx="1543051" cy="45720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Geração de Caixa</a:t>
          </a:r>
        </a:p>
      </xdr:txBody>
    </xdr:sp>
    <xdr:clientData/>
  </xdr:twoCellAnchor>
  <xdr:twoCellAnchor>
    <xdr:from>
      <xdr:col>4</xdr:col>
      <xdr:colOff>314325</xdr:colOff>
      <xdr:row>13</xdr:row>
      <xdr:rowOff>162876</xdr:rowOff>
    </xdr:from>
    <xdr:to>
      <xdr:col>7</xdr:col>
      <xdr:colOff>85725</xdr:colOff>
      <xdr:row>16</xdr:row>
      <xdr:rowOff>48576</xdr:rowOff>
    </xdr:to>
    <xdr:sp macro="" textlink="">
      <xdr:nvSpPr>
        <xdr:cNvPr id="16" name="Retângulo: Cantos Arredondados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90064A1-BE7F-4B7E-8DC7-881BA957DA76}"/>
            </a:ext>
          </a:extLst>
        </xdr:cNvPr>
        <xdr:cNvSpPr/>
      </xdr:nvSpPr>
      <xdr:spPr>
        <a:xfrm>
          <a:off x="2676525" y="2639376"/>
          <a:ext cx="1543050" cy="457200"/>
        </a:xfrm>
        <a:prstGeom prst="roundRect">
          <a:avLst/>
        </a:prstGeom>
        <a:solidFill>
          <a:srgbClr val="C8A74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Cash Generation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0</xdr:col>
      <xdr:colOff>1288169</xdr:colOff>
      <xdr:row>3</xdr:row>
      <xdr:rowOff>91440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97237F18-BC68-4015-AAFE-19B73D265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1069094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2000250</xdr:colOff>
      <xdr:row>0</xdr:row>
      <xdr:rowOff>152400</xdr:rowOff>
    </xdr:from>
    <xdr:to>
      <xdr:col>1</xdr:col>
      <xdr:colOff>356235</xdr:colOff>
      <xdr:row>2</xdr:row>
      <xdr:rowOff>99060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21C129-72B0-408B-B664-B04F010FD9C4}"/>
            </a:ext>
          </a:extLst>
        </xdr:cNvPr>
        <xdr:cNvSpPr/>
      </xdr:nvSpPr>
      <xdr:spPr>
        <a:xfrm>
          <a:off x="2000250" y="152400"/>
          <a:ext cx="842010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1126244</xdr:colOff>
      <xdr:row>3</xdr:row>
      <xdr:rowOff>110490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B32E44AE-5E54-4D09-ADE8-B099FD447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528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1704975</xdr:colOff>
      <xdr:row>0</xdr:row>
      <xdr:rowOff>133350</xdr:rowOff>
    </xdr:from>
    <xdr:to>
      <xdr:col>0</xdr:col>
      <xdr:colOff>2546985</xdr:colOff>
      <xdr:row>2</xdr:row>
      <xdr:rowOff>118110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75FB80-BE96-4CE8-981C-DACFD724FB50}"/>
            </a:ext>
          </a:extLst>
        </xdr:cNvPr>
        <xdr:cNvSpPr/>
      </xdr:nvSpPr>
      <xdr:spPr>
        <a:xfrm>
          <a:off x="1704975" y="133350"/>
          <a:ext cx="842010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28575</xdr:rowOff>
    </xdr:from>
    <xdr:to>
      <xdr:col>0</xdr:col>
      <xdr:colOff>1320554</xdr:colOff>
      <xdr:row>3</xdr:row>
      <xdr:rowOff>49530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980D0C7E-DB5A-4C62-9FA7-DE4329201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"/>
          <a:ext cx="1072904" cy="592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2114550</xdr:colOff>
      <xdr:row>0</xdr:row>
      <xdr:rowOff>152400</xdr:rowOff>
    </xdr:from>
    <xdr:to>
      <xdr:col>1</xdr:col>
      <xdr:colOff>222885</xdr:colOff>
      <xdr:row>2</xdr:row>
      <xdr:rowOff>99060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30B2F3-D0DA-442D-8536-9873BCBB9F39}"/>
            </a:ext>
          </a:extLst>
        </xdr:cNvPr>
        <xdr:cNvSpPr/>
      </xdr:nvSpPr>
      <xdr:spPr>
        <a:xfrm>
          <a:off x="2114550" y="152400"/>
          <a:ext cx="842010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114300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392F3299-69BA-4A5E-81CC-200FF1BC4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9094" cy="61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0</xdr:row>
      <xdr:rowOff>123825</xdr:rowOff>
    </xdr:from>
    <xdr:to>
      <xdr:col>2</xdr:col>
      <xdr:colOff>289560</xdr:colOff>
      <xdr:row>2</xdr:row>
      <xdr:rowOff>108585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A74535-122D-4F42-A4BF-DFB8CC65DD8C}"/>
            </a:ext>
          </a:extLst>
        </xdr:cNvPr>
        <xdr:cNvSpPr/>
      </xdr:nvSpPr>
      <xdr:spPr>
        <a:xfrm>
          <a:off x="2238375" y="123825"/>
          <a:ext cx="842010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114300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87251FC9-B69B-4FFB-A7E4-4F50F0FF4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528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1771650</xdr:colOff>
      <xdr:row>0</xdr:row>
      <xdr:rowOff>133350</xdr:rowOff>
    </xdr:from>
    <xdr:to>
      <xdr:col>1</xdr:col>
      <xdr:colOff>409575</xdr:colOff>
      <xdr:row>2</xdr:row>
      <xdr:rowOff>123825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2F7848-64B7-4E9B-92C6-C33F6B889D47}"/>
            </a:ext>
          </a:extLst>
        </xdr:cNvPr>
        <xdr:cNvSpPr/>
      </xdr:nvSpPr>
      <xdr:spPr>
        <a:xfrm>
          <a:off x="1771650" y="133350"/>
          <a:ext cx="838200" cy="33337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133350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1C40306A-4192-4E50-9EF5-3219EA4E6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74809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1581150</xdr:colOff>
      <xdr:row>0</xdr:row>
      <xdr:rowOff>142875</xdr:rowOff>
    </xdr:from>
    <xdr:to>
      <xdr:col>1</xdr:col>
      <xdr:colOff>241935</xdr:colOff>
      <xdr:row>2</xdr:row>
      <xdr:rowOff>127635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23B598-39D9-4FD8-B7B0-3C8B3E06FA98}"/>
            </a:ext>
          </a:extLst>
        </xdr:cNvPr>
        <xdr:cNvSpPr/>
      </xdr:nvSpPr>
      <xdr:spPr>
        <a:xfrm>
          <a:off x="1581150" y="142875"/>
          <a:ext cx="861060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186690</xdr:colOff>
      <xdr:row>0</xdr:row>
      <xdr:rowOff>19050</xdr:rowOff>
    </xdr:from>
    <xdr:to>
      <xdr:col>0</xdr:col>
      <xdr:colOff>1255784</xdr:colOff>
      <xdr:row>3</xdr:row>
      <xdr:rowOff>110490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2D453011-3261-4640-A41B-9DA1A8D2C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" y="19050"/>
          <a:ext cx="1069094" cy="624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1933575</xdr:colOff>
      <xdr:row>0</xdr:row>
      <xdr:rowOff>152400</xdr:rowOff>
    </xdr:from>
    <xdr:to>
      <xdr:col>0</xdr:col>
      <xdr:colOff>2771775</xdr:colOff>
      <xdr:row>2</xdr:row>
      <xdr:rowOff>142875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5AEE2E3-B153-47F5-A4A3-E03E8607F13E}"/>
            </a:ext>
          </a:extLst>
        </xdr:cNvPr>
        <xdr:cNvSpPr/>
      </xdr:nvSpPr>
      <xdr:spPr>
        <a:xfrm>
          <a:off x="1933575" y="152400"/>
          <a:ext cx="838200" cy="37147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91440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F9B16458-F6A1-4D28-AB3A-29720B1A3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108052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1819275</xdr:colOff>
      <xdr:row>0</xdr:row>
      <xdr:rowOff>161925</xdr:rowOff>
    </xdr:from>
    <xdr:to>
      <xdr:col>0</xdr:col>
      <xdr:colOff>2657475</xdr:colOff>
      <xdr:row>3</xdr:row>
      <xdr:rowOff>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F22928-6A69-400C-9FEA-281566D22699}"/>
            </a:ext>
          </a:extLst>
        </xdr:cNvPr>
        <xdr:cNvSpPr/>
      </xdr:nvSpPr>
      <xdr:spPr>
        <a:xfrm>
          <a:off x="1819275" y="161925"/>
          <a:ext cx="838200" cy="37147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1126244</xdr:colOff>
      <xdr:row>3</xdr:row>
      <xdr:rowOff>97155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A5714D17-4343-4567-844F-AE85C6519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108052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1762125</xdr:colOff>
      <xdr:row>1</xdr:row>
      <xdr:rowOff>0</xdr:rowOff>
    </xdr:from>
    <xdr:to>
      <xdr:col>0</xdr:col>
      <xdr:colOff>2600325</xdr:colOff>
      <xdr:row>2</xdr:row>
      <xdr:rowOff>133350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A7D30D-4E9F-432E-AE3E-66765199DF39}"/>
            </a:ext>
          </a:extLst>
        </xdr:cNvPr>
        <xdr:cNvSpPr/>
      </xdr:nvSpPr>
      <xdr:spPr>
        <a:xfrm>
          <a:off x="1762125" y="152400"/>
          <a:ext cx="838200" cy="32385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1301504</xdr:colOff>
      <xdr:row>3</xdr:row>
      <xdr:rowOff>20955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A2D47BEA-0359-4FA4-A8A1-DD6518ABF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072904" cy="592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2000250</xdr:colOff>
      <xdr:row>0</xdr:row>
      <xdr:rowOff>142875</xdr:rowOff>
    </xdr:from>
    <xdr:to>
      <xdr:col>1</xdr:col>
      <xdr:colOff>104775</xdr:colOff>
      <xdr:row>2</xdr:row>
      <xdr:rowOff>85725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C2E4B1-1585-435F-A1F8-BC79E891D830}"/>
            </a:ext>
          </a:extLst>
        </xdr:cNvPr>
        <xdr:cNvSpPr/>
      </xdr:nvSpPr>
      <xdr:spPr>
        <a:xfrm>
          <a:off x="2000250" y="142875"/>
          <a:ext cx="838200" cy="32385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1126244</xdr:colOff>
      <xdr:row>3</xdr:row>
      <xdr:rowOff>110490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0D28B1AF-378A-48CE-92F2-09212C9F2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108052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0</xdr:row>
      <xdr:rowOff>95250</xdr:rowOff>
    </xdr:from>
    <xdr:to>
      <xdr:col>2</xdr:col>
      <xdr:colOff>266700</xdr:colOff>
      <xdr:row>2</xdr:row>
      <xdr:rowOff>85725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C45D4C-C290-4EF1-A3A4-CB9BD40FA604}"/>
            </a:ext>
          </a:extLst>
        </xdr:cNvPr>
        <xdr:cNvSpPr/>
      </xdr:nvSpPr>
      <xdr:spPr>
        <a:xfrm>
          <a:off x="2219325" y="95250"/>
          <a:ext cx="838200" cy="333375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110490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F45D0A79-F855-41FC-AF85-D20601077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528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1962150</xdr:colOff>
      <xdr:row>0</xdr:row>
      <xdr:rowOff>121920</xdr:rowOff>
    </xdr:from>
    <xdr:to>
      <xdr:col>2</xdr:col>
      <xdr:colOff>5715</xdr:colOff>
      <xdr:row>2</xdr:row>
      <xdr:rowOff>110490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FB8FFF-3961-4231-A068-99444ECCB997}"/>
            </a:ext>
          </a:extLst>
        </xdr:cNvPr>
        <xdr:cNvSpPr/>
      </xdr:nvSpPr>
      <xdr:spPr>
        <a:xfrm>
          <a:off x="1962150" y="121920"/>
          <a:ext cx="834390" cy="33147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133350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93BD5E1C-85CC-4EED-8732-32C5D184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0"/>
          <a:ext cx="1080524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1704975</xdr:colOff>
      <xdr:row>1</xdr:row>
      <xdr:rowOff>0</xdr:rowOff>
    </xdr:from>
    <xdr:to>
      <xdr:col>1</xdr:col>
      <xdr:colOff>146685</xdr:colOff>
      <xdr:row>2</xdr:row>
      <xdr:rowOff>137160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2E1308-1D0F-4C89-A078-E5A30842A34D}"/>
            </a:ext>
          </a:extLst>
        </xdr:cNvPr>
        <xdr:cNvSpPr/>
      </xdr:nvSpPr>
      <xdr:spPr>
        <a:xfrm>
          <a:off x="1704975" y="152400"/>
          <a:ext cx="641985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0</xdr:rowOff>
    </xdr:from>
    <xdr:to>
      <xdr:col>0</xdr:col>
      <xdr:colOff>1122434</xdr:colOff>
      <xdr:row>3</xdr:row>
      <xdr:rowOff>114300</xdr:rowOff>
    </xdr:to>
    <xdr:pic>
      <xdr:nvPicPr>
        <xdr:cNvPr id="2" name="Imagem 1" descr="Lavvi Incorporadora - Home | Facebook">
          <a:extLst>
            <a:ext uri="{FF2B5EF4-FFF2-40B4-BE49-F238E27FC236}">
              <a16:creationId xmlns:a16="http://schemas.microsoft.com/office/drawing/2014/main" id="{5C06F046-F85F-483D-B08C-892C995E4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1069094" cy="615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2076450</xdr:colOff>
      <xdr:row>0</xdr:row>
      <xdr:rowOff>142875</xdr:rowOff>
    </xdr:from>
    <xdr:to>
      <xdr:col>1</xdr:col>
      <xdr:colOff>99060</xdr:colOff>
      <xdr:row>2</xdr:row>
      <xdr:rowOff>127635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EA5009-71D1-4901-8529-6F127041E8C8}"/>
            </a:ext>
          </a:extLst>
        </xdr:cNvPr>
        <xdr:cNvSpPr/>
      </xdr:nvSpPr>
      <xdr:spPr>
        <a:xfrm>
          <a:off x="2076450" y="142875"/>
          <a:ext cx="842010" cy="327660"/>
        </a:xfrm>
        <a:prstGeom prst="roundRect">
          <a:avLst/>
        </a:prstGeom>
        <a:solidFill>
          <a:srgbClr val="18284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0">
              <a:latin typeface="Abadi" panose="020B0604020104020204" pitchFamily="34" charset="0"/>
            </a:rPr>
            <a:t>Back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avvi.sharepoint.com/sites/ri_oficial/Shared%20Documents/General/RI%20Oficial/Divulga&#231;&#245;es/Earnings%20Release/2023/3T23/EarningsRelease%203T23%20-%20v5_DFs%20do%20dia%2008.11_vAjustada.xlsx" TargetMode="External"/><Relationship Id="rId1" Type="http://schemas.openxmlformats.org/officeDocument/2006/relationships/externalLinkPath" Target="/sites/ri_oficial/Shared%20Documents/General/RI%20Oficial/Divulga&#231;&#245;es/Earnings%20Release/2023/3T23/EarningsRelease%203T23%20-%20v5_DFs%20do%20dia%2008.11_vAjustad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avvi.sharepoint.com/sites/ri_oficial/Shared%20Documents/General/RI%20Oficial/Divulga&#231;&#245;es/Earnings%20Release/2023/4T23/EarningsRelease%204T23%20-%20v1.xlsx" TargetMode="External"/><Relationship Id="rId1" Type="http://schemas.openxmlformats.org/officeDocument/2006/relationships/externalLinkPath" Target="/sites/ri_oficial/Shared%20Documents/General/RI%20Oficial/Divulga&#231;&#245;es/Earnings%20Release/2023/4T23/EarningsRelease%204T23%20-%20v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avvi.sharepoint.com/sites/ri_oficial/Shared%20Documents/General/RI%20Oficial/Divulga&#231;&#245;es/Earnings%20Release/2023/3T23/Inputs%20e%20An&#225;lises/Landbank%20base%203tri23_BASE%20Set%20(eliminando%20off%20balance).xlsx" TargetMode="External"/><Relationship Id="rId1" Type="http://schemas.openxmlformats.org/officeDocument/2006/relationships/externalLinkPath" Target="/sites/ri_oficial/Shared%20Documents/General/RI%20Oficial/Divulga&#231;&#245;es/Earnings%20Release/2023/3T23/Inputs%20e%20An&#225;lises/Landbank%20base%203tri23_BASE%20Set%20(eliminando%20off%20balanc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missas"/>
      <sheetName val="Input"/>
      <sheetName val="Input PLANEJAMENTO"/>
      <sheetName val="PPT Institucional"/>
      <sheetName val="ppt RCA - landbank e estoque ev"/>
      <sheetName val="Estoque"/>
      <sheetName val="Tables"/>
      <sheetName val="Charts Operating"/>
      <sheetName val="Charts Financial"/>
      <sheetName val="Destaques ER"/>
      <sheetName val="Destaques Prev"/>
      <sheetName val="Dividendos 2022 PropostaAGOE et"/>
      <sheetName val="LTM"/>
      <sheetName val="EBITDA"/>
      <sheetName val="DRE Gerencial e Recon EBITDA"/>
      <sheetName val="SG&amp;A"/>
      <sheetName val="Resultado Financeiro"/>
      <sheetName val="Endividamento"/>
      <sheetName val="Geração de Cx"/>
      <sheetName val="Contas a Receber"/>
      <sheetName val="Geração de Caixa"/>
      <sheetName val="DRE Consolidada"/>
      <sheetName val="Input Geração Cx Prévia"/>
      <sheetName val="BP Consolidado"/>
      <sheetName val="DRE Combinada"/>
      <sheetName val="Fluxo de Caixa"/>
    </sheetNames>
    <sheetDataSet>
      <sheetData sheetId="0"/>
      <sheetData sheetId="1">
        <row r="3">
          <cell r="B3" t="str">
            <v>BANCO DE DADOS (em R$ mil)</v>
          </cell>
          <cell r="C3" t="str">
            <v>1T19</v>
          </cell>
          <cell r="D3" t="str">
            <v>2T19</v>
          </cell>
          <cell r="E3" t="str">
            <v>3T19</v>
          </cell>
          <cell r="F3" t="str">
            <v>4T19</v>
          </cell>
          <cell r="G3">
            <v>2019</v>
          </cell>
          <cell r="H3" t="str">
            <v>1T20</v>
          </cell>
          <cell r="I3" t="str">
            <v>2T20</v>
          </cell>
          <cell r="J3" t="str">
            <v>3T20</v>
          </cell>
          <cell r="K3" t="str">
            <v>4T20</v>
          </cell>
          <cell r="L3">
            <v>2020</v>
          </cell>
          <cell r="M3" t="str">
            <v>1T21</v>
          </cell>
          <cell r="N3" t="str">
            <v>2T21</v>
          </cell>
          <cell r="O3" t="str">
            <v>3T21</v>
          </cell>
          <cell r="P3" t="str">
            <v>4T21</v>
          </cell>
          <cell r="Q3">
            <v>2021</v>
          </cell>
          <cell r="R3" t="str">
            <v>1T22</v>
          </cell>
          <cell r="S3" t="str">
            <v>2T22</v>
          </cell>
          <cell r="T3" t="str">
            <v>3T22</v>
          </cell>
          <cell r="U3" t="str">
            <v>4T22</v>
          </cell>
          <cell r="V3">
            <v>2022</v>
          </cell>
          <cell r="W3" t="str">
            <v>1T23</v>
          </cell>
          <cell r="X3" t="str">
            <v>2T23</v>
          </cell>
          <cell r="Y3" t="str">
            <v>3T23</v>
          </cell>
          <cell r="Z3" t="str">
            <v>4T23</v>
          </cell>
          <cell r="AA3">
            <v>2023</v>
          </cell>
          <cell r="AD3" t="str">
            <v>1S19</v>
          </cell>
          <cell r="AE3" t="str">
            <v>1S20</v>
          </cell>
          <cell r="AF3" t="str">
            <v>1S21</v>
          </cell>
          <cell r="AG3" t="str">
            <v>1S22</v>
          </cell>
          <cell r="AH3" t="str">
            <v>1S23</v>
          </cell>
          <cell r="AJ3" t="str">
            <v>9M19</v>
          </cell>
          <cell r="AK3" t="str">
            <v>9M20</v>
          </cell>
          <cell r="AL3" t="str">
            <v>9M21</v>
          </cell>
          <cell r="AM3" t="str">
            <v>9M22</v>
          </cell>
          <cell r="AN3" t="str">
            <v>9M23</v>
          </cell>
        </row>
        <row r="6">
          <cell r="Y6">
            <v>0</v>
          </cell>
        </row>
        <row r="7">
          <cell r="Y7">
            <v>0</v>
          </cell>
        </row>
        <row r="9">
          <cell r="Y9" t="str">
            <v>-</v>
          </cell>
        </row>
        <row r="10">
          <cell r="Y10">
            <v>0</v>
          </cell>
        </row>
        <row r="11">
          <cell r="Y11">
            <v>0</v>
          </cell>
        </row>
        <row r="12">
          <cell r="Y12">
            <v>0</v>
          </cell>
        </row>
        <row r="15">
          <cell r="Y15">
            <v>280929.44673625007</v>
          </cell>
        </row>
        <row r="17">
          <cell r="Y17">
            <v>192859.05322749802</v>
          </cell>
        </row>
        <row r="21">
          <cell r="Y21">
            <v>135</v>
          </cell>
        </row>
        <row r="72">
          <cell r="Y72">
            <v>16204</v>
          </cell>
        </row>
        <row r="73">
          <cell r="Y73">
            <v>1687</v>
          </cell>
        </row>
        <row r="74">
          <cell r="Y74">
            <v>475217</v>
          </cell>
        </row>
        <row r="75">
          <cell r="Y75">
            <v>444018</v>
          </cell>
        </row>
        <row r="76">
          <cell r="Y76">
            <v>622780</v>
          </cell>
        </row>
        <row r="77">
          <cell r="Y77">
            <v>5230</v>
          </cell>
        </row>
        <row r="78">
          <cell r="Y78">
            <v>0</v>
          </cell>
        </row>
        <row r="79">
          <cell r="Y79">
            <v>0</v>
          </cell>
        </row>
        <row r="80">
          <cell r="Y80">
            <v>4398</v>
          </cell>
        </row>
        <row r="81">
          <cell r="Y81">
            <v>0</v>
          </cell>
        </row>
        <row r="82">
          <cell r="Y82">
            <v>3071</v>
          </cell>
        </row>
        <row r="86">
          <cell r="Y86">
            <v>125900</v>
          </cell>
        </row>
        <row r="87">
          <cell r="Y87">
            <v>6216</v>
          </cell>
        </row>
        <row r="88">
          <cell r="Y88">
            <v>0</v>
          </cell>
        </row>
        <row r="89">
          <cell r="Y89">
            <v>0</v>
          </cell>
        </row>
        <row r="90">
          <cell r="Y90">
            <v>30542</v>
          </cell>
        </row>
        <row r="91">
          <cell r="Y91">
            <v>12306</v>
          </cell>
        </row>
        <row r="92">
          <cell r="Y92">
            <v>0</v>
          </cell>
        </row>
        <row r="93">
          <cell r="Y93">
            <v>346002</v>
          </cell>
        </row>
        <row r="94">
          <cell r="Y94">
            <v>147</v>
          </cell>
        </row>
        <row r="95">
          <cell r="Y95">
            <v>93085</v>
          </cell>
        </row>
        <row r="96">
          <cell r="Y96">
            <v>10914</v>
          </cell>
        </row>
        <row r="97">
          <cell r="Y97">
            <v>605</v>
          </cell>
        </row>
        <row r="107">
          <cell r="Y107">
            <v>35072</v>
          </cell>
        </row>
        <row r="108">
          <cell r="Y108">
            <v>0</v>
          </cell>
        </row>
        <row r="109">
          <cell r="Y109">
            <v>0</v>
          </cell>
        </row>
        <row r="110">
          <cell r="Y110">
            <v>567</v>
          </cell>
        </row>
        <row r="111">
          <cell r="Y111">
            <v>22058</v>
          </cell>
        </row>
        <row r="112">
          <cell r="Y112">
            <v>2953</v>
          </cell>
        </row>
        <row r="113">
          <cell r="Y113">
            <v>6257</v>
          </cell>
        </row>
        <row r="114">
          <cell r="Y114">
            <v>11485</v>
          </cell>
        </row>
        <row r="115">
          <cell r="Y115">
            <v>10144</v>
          </cell>
        </row>
        <row r="116">
          <cell r="Y116">
            <v>51307</v>
          </cell>
        </row>
        <row r="117">
          <cell r="Y117">
            <v>0</v>
          </cell>
        </row>
        <row r="118">
          <cell r="Y118">
            <v>60000</v>
          </cell>
        </row>
        <row r="119">
          <cell r="Y119">
            <v>0</v>
          </cell>
        </row>
        <row r="120">
          <cell r="Y120">
            <v>256305</v>
          </cell>
        </row>
        <row r="121">
          <cell r="Y121">
            <v>1074</v>
          </cell>
        </row>
        <row r="125">
          <cell r="Y125">
            <v>147001</v>
          </cell>
        </row>
        <row r="126">
          <cell r="Y126">
            <v>0</v>
          </cell>
        </row>
        <row r="127">
          <cell r="Y127">
            <v>0</v>
          </cell>
        </row>
        <row r="128">
          <cell r="Y128">
            <v>1399</v>
          </cell>
        </row>
        <row r="129">
          <cell r="Y129">
            <v>0</v>
          </cell>
        </row>
        <row r="130">
          <cell r="Y130">
            <v>9119</v>
          </cell>
        </row>
        <row r="131">
          <cell r="Y131">
            <v>0</v>
          </cell>
        </row>
        <row r="132">
          <cell r="Y132">
            <v>81565</v>
          </cell>
        </row>
        <row r="133">
          <cell r="Y133">
            <v>7062</v>
          </cell>
        </row>
        <row r="134">
          <cell r="Y134">
            <v>3130</v>
          </cell>
        </row>
        <row r="135">
          <cell r="Y135">
            <v>89270</v>
          </cell>
        </row>
        <row r="136">
          <cell r="Y136">
            <v>71179</v>
          </cell>
        </row>
        <row r="140">
          <cell r="Y140">
            <v>1133581</v>
          </cell>
        </row>
        <row r="141">
          <cell r="Y141">
            <v>-44590</v>
          </cell>
        </row>
        <row r="142">
          <cell r="Y142">
            <v>0</v>
          </cell>
        </row>
        <row r="143">
          <cell r="Y143">
            <v>0</v>
          </cell>
        </row>
        <row r="144">
          <cell r="Y144">
            <v>-3</v>
          </cell>
        </row>
        <row r="145">
          <cell r="Y145">
            <v>0</v>
          </cell>
        </row>
        <row r="146">
          <cell r="Y146">
            <v>19307</v>
          </cell>
        </row>
        <row r="147">
          <cell r="Y147">
            <v>45070</v>
          </cell>
        </row>
        <row r="148">
          <cell r="Y148">
            <v>-19154</v>
          </cell>
        </row>
        <row r="149">
          <cell r="Y149">
            <v>0</v>
          </cell>
        </row>
        <row r="150">
          <cell r="Y150">
            <v>120806</v>
          </cell>
        </row>
        <row r="151">
          <cell r="Y151">
            <v>0</v>
          </cell>
        </row>
        <row r="152">
          <cell r="Y152">
            <v>6216</v>
          </cell>
        </row>
        <row r="153">
          <cell r="Y153">
            <v>70142</v>
          </cell>
        </row>
        <row r="161">
          <cell r="Y161">
            <v>204980</v>
          </cell>
        </row>
        <row r="162">
          <cell r="Y162">
            <v>-136082</v>
          </cell>
        </row>
        <row r="170">
          <cell r="Y170">
            <v>-17126</v>
          </cell>
        </row>
        <row r="176">
          <cell r="Y176">
            <v>-10690</v>
          </cell>
        </row>
        <row r="186">
          <cell r="Y186">
            <v>2464</v>
          </cell>
        </row>
        <row r="187">
          <cell r="Y187">
            <v>-1343</v>
          </cell>
        </row>
        <row r="191">
          <cell r="Y191">
            <v>17363</v>
          </cell>
        </row>
        <row r="196">
          <cell r="Y196">
            <v>-1162</v>
          </cell>
        </row>
        <row r="206">
          <cell r="Y206">
            <v>-5755</v>
          </cell>
        </row>
        <row r="207">
          <cell r="Y207">
            <v>-1161</v>
          </cell>
        </row>
        <row r="211">
          <cell r="Y211">
            <v>-2923</v>
          </cell>
        </row>
        <row r="225">
          <cell r="A225" t="str">
            <v>(+) Depreciação &amp; AmortizaçãoEBITDA</v>
          </cell>
          <cell r="B225" t="str">
            <v>(+) Depreciação &amp; Amortização</v>
          </cell>
          <cell r="C225">
            <v>90</v>
          </cell>
          <cell r="D225">
            <v>74</v>
          </cell>
          <cell r="E225">
            <v>129</v>
          </cell>
          <cell r="F225">
            <v>101</v>
          </cell>
          <cell r="G225">
            <v>394</v>
          </cell>
          <cell r="H225">
            <v>102</v>
          </cell>
          <cell r="I225">
            <v>103</v>
          </cell>
          <cell r="J225">
            <v>108</v>
          </cell>
          <cell r="K225">
            <v>122</v>
          </cell>
          <cell r="L225">
            <v>435</v>
          </cell>
          <cell r="M225">
            <v>173</v>
          </cell>
          <cell r="N225">
            <v>198</v>
          </cell>
          <cell r="O225">
            <v>167</v>
          </cell>
          <cell r="P225">
            <v>265</v>
          </cell>
          <cell r="Q225">
            <v>803</v>
          </cell>
          <cell r="R225">
            <v>249</v>
          </cell>
          <cell r="S225">
            <v>246</v>
          </cell>
          <cell r="T225">
            <v>176</v>
          </cell>
          <cell r="U225">
            <v>204</v>
          </cell>
          <cell r="V225">
            <v>875</v>
          </cell>
          <cell r="W225">
            <v>182</v>
          </cell>
          <cell r="X225">
            <v>199</v>
          </cell>
          <cell r="Y225">
            <v>186</v>
          </cell>
          <cell r="Z225"/>
          <cell r="AA225"/>
          <cell r="AD225">
            <v>164</v>
          </cell>
          <cell r="AE225">
            <v>205</v>
          </cell>
          <cell r="AF225">
            <v>371</v>
          </cell>
          <cell r="AG225">
            <v>495</v>
          </cell>
          <cell r="AH225">
            <v>381</v>
          </cell>
          <cell r="AJ225">
            <v>293</v>
          </cell>
          <cell r="AK225">
            <v>313</v>
          </cell>
          <cell r="AL225">
            <v>538</v>
          </cell>
          <cell r="AM225">
            <v>671</v>
          </cell>
          <cell r="AN225">
            <v>567</v>
          </cell>
        </row>
        <row r="230">
          <cell r="B230" t="str">
            <v>(+) Juros Capitalizados</v>
          </cell>
          <cell r="C230"/>
          <cell r="D230"/>
          <cell r="E230"/>
          <cell r="F230"/>
          <cell r="G230"/>
          <cell r="H230"/>
          <cell r="I230"/>
          <cell r="J230"/>
          <cell r="K230">
            <v>507</v>
          </cell>
          <cell r="L230">
            <v>507</v>
          </cell>
          <cell r="M230">
            <v>133</v>
          </cell>
          <cell r="N230">
            <v>1586</v>
          </cell>
          <cell r="O230">
            <v>459</v>
          </cell>
          <cell r="P230">
            <v>768</v>
          </cell>
          <cell r="Q230">
            <v>2946</v>
          </cell>
          <cell r="R230">
            <v>31</v>
          </cell>
          <cell r="S230">
            <v>88</v>
          </cell>
          <cell r="T230">
            <v>26</v>
          </cell>
          <cell r="U230">
            <v>331</v>
          </cell>
          <cell r="V230">
            <v>476</v>
          </cell>
          <cell r="W230">
            <v>1142</v>
          </cell>
          <cell r="X230">
            <v>1007</v>
          </cell>
          <cell r="Y230">
            <v>2793</v>
          </cell>
          <cell r="Z230"/>
          <cell r="AA230"/>
          <cell r="AD230">
            <v>0</v>
          </cell>
          <cell r="AE230">
            <v>0</v>
          </cell>
          <cell r="AF230">
            <v>1719</v>
          </cell>
          <cell r="AG230">
            <v>119</v>
          </cell>
          <cell r="AH230">
            <v>2149</v>
          </cell>
          <cell r="AJ230">
            <v>0</v>
          </cell>
          <cell r="AK230">
            <v>0</v>
          </cell>
          <cell r="AL230">
            <v>2178</v>
          </cell>
          <cell r="AM230">
            <v>145</v>
          </cell>
          <cell r="AN230">
            <v>4942</v>
          </cell>
        </row>
        <row r="293">
          <cell r="Y293">
            <v>1303463.0592</v>
          </cell>
        </row>
        <row r="294">
          <cell r="Y294">
            <v>454797.05920000002</v>
          </cell>
        </row>
        <row r="346">
          <cell r="B346" t="str">
            <v>Programa de recompra</v>
          </cell>
          <cell r="C346"/>
          <cell r="D346"/>
          <cell r="E346"/>
          <cell r="F346"/>
          <cell r="G346"/>
          <cell r="H346"/>
          <cell r="I346"/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7272</v>
          </cell>
          <cell r="P346">
            <v>46776</v>
          </cell>
          <cell r="Q346">
            <v>54048</v>
          </cell>
          <cell r="R346">
            <v>12753</v>
          </cell>
          <cell r="S346">
            <v>33270</v>
          </cell>
          <cell r="T346">
            <v>0</v>
          </cell>
          <cell r="U346">
            <v>0</v>
          </cell>
          <cell r="V346">
            <v>46023</v>
          </cell>
          <cell r="W346">
            <v>0</v>
          </cell>
          <cell r="X346">
            <v>0</v>
          </cell>
          <cell r="Y346"/>
          <cell r="Z346"/>
          <cell r="AA346"/>
          <cell r="AG346">
            <v>46023</v>
          </cell>
          <cell r="AH346">
            <v>0</v>
          </cell>
          <cell r="AJ346">
            <v>0</v>
          </cell>
          <cell r="AK346">
            <v>0</v>
          </cell>
          <cell r="AL346">
            <v>7272</v>
          </cell>
          <cell r="AM346">
            <v>46023</v>
          </cell>
          <cell r="AN346">
            <v>0</v>
          </cell>
        </row>
        <row r="347">
          <cell r="B347" t="str">
            <v>Dividendos</v>
          </cell>
          <cell r="C347"/>
          <cell r="D347"/>
          <cell r="E347"/>
          <cell r="F347"/>
          <cell r="G347"/>
          <cell r="H347"/>
          <cell r="I347"/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22212</v>
          </cell>
          <cell r="O347">
            <v>0</v>
          </cell>
          <cell r="P347">
            <v>120000</v>
          </cell>
          <cell r="Q347">
            <v>142212</v>
          </cell>
          <cell r="R347">
            <v>0</v>
          </cell>
          <cell r="S347">
            <v>60000</v>
          </cell>
          <cell r="T347">
            <v>60000</v>
          </cell>
          <cell r="U347">
            <v>0</v>
          </cell>
          <cell r="V347">
            <v>120000</v>
          </cell>
          <cell r="W347">
            <v>35000</v>
          </cell>
          <cell r="X347">
            <v>6082</v>
          </cell>
          <cell r="Y347">
            <v>16420</v>
          </cell>
          <cell r="Z347"/>
          <cell r="AA347"/>
          <cell r="AG347">
            <v>60000</v>
          </cell>
          <cell r="AH347">
            <v>41082</v>
          </cell>
          <cell r="AJ347">
            <v>0</v>
          </cell>
          <cell r="AK347">
            <v>0</v>
          </cell>
          <cell r="AL347">
            <v>22212</v>
          </cell>
          <cell r="AM347">
            <v>120000</v>
          </cell>
          <cell r="AN347">
            <v>57502</v>
          </cell>
        </row>
      </sheetData>
      <sheetData sheetId="2"/>
      <sheetData sheetId="3"/>
      <sheetData sheetId="4"/>
      <sheetData sheetId="5"/>
      <sheetData sheetId="6">
        <row r="25">
          <cell r="N25">
            <v>1625159.3444876119</v>
          </cell>
          <cell r="O25">
            <v>1364488.688177892</v>
          </cell>
        </row>
      </sheetData>
      <sheetData sheetId="7"/>
      <sheetData sheetId="8"/>
      <sheetData sheetId="9">
        <row r="11">
          <cell r="C1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B2" t="str">
            <v>Saldo em caixa (R$ MM)</v>
          </cell>
          <cell r="C2" t="str">
            <v>3T23</v>
          </cell>
          <cell r="D2" t="str">
            <v>2T23</v>
          </cell>
          <cell r="E2" t="str">
            <v>T/T (%)</v>
          </cell>
          <cell r="F2" t="str">
            <v>3T22</v>
          </cell>
          <cell r="G2" t="str">
            <v>A/A (%)</v>
          </cell>
          <cell r="H2" t="str">
            <v>9M23</v>
          </cell>
          <cell r="I2" t="str">
            <v>9M22</v>
          </cell>
          <cell r="J2" t="str">
            <v>A/A (%)</v>
          </cell>
          <cell r="Y2" t="str">
            <v>Saldo em caixa (R$ MM)</v>
          </cell>
          <cell r="Z2"/>
          <cell r="AA2"/>
          <cell r="AB2" t="str">
            <v>9M23</v>
          </cell>
          <cell r="AC2" t="str">
            <v>3T23</v>
          </cell>
          <cell r="AD2">
            <v>45170</v>
          </cell>
          <cell r="AE2">
            <v>45139</v>
          </cell>
          <cell r="AF2">
            <v>45108</v>
          </cell>
          <cell r="AG2" t="str">
            <v>1S23</v>
          </cell>
          <cell r="AH2" t="str">
            <v>2T23</v>
          </cell>
          <cell r="AI2">
            <v>45078</v>
          </cell>
          <cell r="AJ2">
            <v>45047</v>
          </cell>
          <cell r="AK2">
            <v>45017</v>
          </cell>
          <cell r="AL2" t="str">
            <v>1T23</v>
          </cell>
          <cell r="AM2">
            <v>44986</v>
          </cell>
          <cell r="AN2">
            <v>44958</v>
          </cell>
          <cell r="AO2">
            <v>44927</v>
          </cell>
          <cell r="AP2" t="str">
            <v>4T22</v>
          </cell>
          <cell r="AQ2">
            <v>44896</v>
          </cell>
          <cell r="AR2">
            <v>44866</v>
          </cell>
          <cell r="AS2">
            <v>44835</v>
          </cell>
          <cell r="AT2" t="str">
            <v>9M22</v>
          </cell>
          <cell r="AU2" t="str">
            <v>3T22</v>
          </cell>
          <cell r="AV2">
            <v>44805</v>
          </cell>
          <cell r="AW2">
            <v>44774</v>
          </cell>
          <cell r="AX2">
            <v>44743</v>
          </cell>
          <cell r="AY2" t="str">
            <v>1S22</v>
          </cell>
          <cell r="AZ2" t="str">
            <v>2T22</v>
          </cell>
          <cell r="BA2">
            <v>44713</v>
          </cell>
          <cell r="BB2">
            <v>44682</v>
          </cell>
          <cell r="BC2">
            <v>44652</v>
          </cell>
          <cell r="BD2" t="str">
            <v>1T22</v>
          </cell>
          <cell r="BE2">
            <v>44621</v>
          </cell>
          <cell r="BF2">
            <v>44593</v>
          </cell>
          <cell r="BG2">
            <v>44562</v>
          </cell>
        </row>
        <row r="27">
          <cell r="B27" t="str">
            <v>(+) Aportes CBR 122</v>
          </cell>
          <cell r="C27">
            <v>0</v>
          </cell>
          <cell r="D27">
            <v>5295.0309999999999</v>
          </cell>
          <cell r="E27">
            <v>-1</v>
          </cell>
          <cell r="F27">
            <v>0</v>
          </cell>
          <cell r="G27" t="str">
            <v/>
          </cell>
          <cell r="H27">
            <v>22789.22675065936</v>
          </cell>
          <cell r="I27">
            <v>0</v>
          </cell>
          <cell r="J27" t="str">
            <v/>
          </cell>
          <cell r="Y27" t="str">
            <v>(+) Aportes CBR 122</v>
          </cell>
          <cell r="Z27"/>
          <cell r="AA27"/>
          <cell r="AB27">
            <v>22789.22675065936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22789.22675065936</v>
          </cell>
          <cell r="AH27">
            <v>5295.0309999999999</v>
          </cell>
          <cell r="AI27">
            <v>0</v>
          </cell>
          <cell r="AJ27">
            <v>95</v>
          </cell>
          <cell r="AK27">
            <v>5200.0309999999999</v>
          </cell>
          <cell r="AL27">
            <v>17494.195750659361</v>
          </cell>
          <cell r="AM27">
            <v>5163.3710000000001</v>
          </cell>
          <cell r="AN27">
            <v>5120.3597506593605</v>
          </cell>
          <cell r="AO27">
            <v>7210.4650000000001</v>
          </cell>
          <cell r="AP27">
            <v>61753.481</v>
          </cell>
          <cell r="AQ27">
            <v>6569.4809999999998</v>
          </cell>
          <cell r="AR27">
            <v>7777.5</v>
          </cell>
          <cell r="AS27">
            <v>47406.5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</row>
        <row r="28">
          <cell r="B28" t="str">
            <v>(+) Investimento em novos terrenos 100%</v>
          </cell>
          <cell r="C28">
            <v>166063.69879999998</v>
          </cell>
          <cell r="D28">
            <v>33620.272060329997</v>
          </cell>
          <cell r="E28">
            <v>3.9393918794591096</v>
          </cell>
          <cell r="F28">
            <v>8827.6795500000007</v>
          </cell>
          <cell r="G28">
            <v>17.811704464283594</v>
          </cell>
          <cell r="H28">
            <v>209915.81971032999</v>
          </cell>
          <cell r="I28">
            <v>37888.555710000001</v>
          </cell>
          <cell r="J28">
            <v>4.5403489464478719</v>
          </cell>
          <cell r="Y28" t="str">
            <v>(+) Investimento em novos terrenos 100%</v>
          </cell>
          <cell r="Z28"/>
          <cell r="AA28"/>
          <cell r="AB28">
            <v>209915.81971032999</v>
          </cell>
          <cell r="AC28">
            <v>166063.69879999998</v>
          </cell>
          <cell r="AD28">
            <v>6853.4475400000001</v>
          </cell>
          <cell r="AE28">
            <v>4119.5716500000008</v>
          </cell>
          <cell r="AF28">
            <v>155090.67960999999</v>
          </cell>
          <cell r="AG28">
            <v>43852.120910329999</v>
          </cell>
          <cell r="AH28">
            <v>33620.272060329997</v>
          </cell>
          <cell r="AI28">
            <v>2898.1998599999997</v>
          </cell>
          <cell r="AJ28">
            <v>8140.3397903300001</v>
          </cell>
          <cell r="AK28">
            <v>22581.732410000001</v>
          </cell>
          <cell r="AL28">
            <v>10231.84885</v>
          </cell>
          <cell r="AM28">
            <v>3052.8996200000001</v>
          </cell>
          <cell r="AN28">
            <v>4211.8059299999995</v>
          </cell>
          <cell r="AO28">
            <v>2967.1433000000002</v>
          </cell>
          <cell r="AP28">
            <v>105490.53899999999</v>
          </cell>
          <cell r="AQ28">
            <v>82135.952420000001</v>
          </cell>
          <cell r="AR28">
            <v>18682.468979999998</v>
          </cell>
          <cell r="AS28">
            <v>4672.1176000000005</v>
          </cell>
          <cell r="AT28">
            <v>37888.555710000001</v>
          </cell>
          <cell r="AU28">
            <v>8827.6795500000007</v>
          </cell>
          <cell r="AV28">
            <v>4569.9567700000007</v>
          </cell>
          <cell r="AW28">
            <v>2068.7157199999997</v>
          </cell>
          <cell r="AX28">
            <v>2189.0070599999999</v>
          </cell>
          <cell r="AY28">
            <v>29060.87616</v>
          </cell>
          <cell r="AZ28">
            <v>12839.43147</v>
          </cell>
          <cell r="BA28">
            <v>2419.9765299999999</v>
          </cell>
          <cell r="BB28">
            <v>2429.9367100000004</v>
          </cell>
          <cell r="BC28">
            <v>7989.5182300000006</v>
          </cell>
          <cell r="BD28">
            <v>16221.444690000002</v>
          </cell>
          <cell r="BE28">
            <v>5434.8022100000017</v>
          </cell>
          <cell r="BF28">
            <v>5627.7164400000011</v>
          </cell>
          <cell r="BG28">
            <v>5158.9260400000003</v>
          </cell>
        </row>
      </sheetData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missas"/>
      <sheetName val="Input"/>
      <sheetName val="Input PLANEJAMENTO"/>
      <sheetName val="PPT Institucional"/>
      <sheetName val="ppt RCA - landbank e estoque ev"/>
      <sheetName val="Estoque"/>
      <sheetName val="Tables"/>
      <sheetName val="Charts Operating"/>
      <sheetName val="Charts Financial"/>
      <sheetName val="Financials Anual"/>
      <sheetName val="Destaques ER"/>
      <sheetName val="Destaques Prev"/>
      <sheetName val="Dividendos 2022 PropostaAGOE et"/>
      <sheetName val="LTM"/>
      <sheetName val="EBITDA"/>
      <sheetName val="DRE Gerencial e Recon EBITDA"/>
      <sheetName val="SG&amp;A"/>
      <sheetName val="Resultado Financeiro"/>
      <sheetName val="Endividamento"/>
      <sheetName val="Geração de Cx"/>
      <sheetName val="Contas a Receber"/>
      <sheetName val="Geração de Caixa"/>
      <sheetName val="DRE Consolidada"/>
      <sheetName val="Input Geração Cx Prévia"/>
      <sheetName val="BP Consolidado"/>
      <sheetName val="DRE Combinada"/>
      <sheetName val="Fluxo de Caix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">
          <cell r="B2" t="str">
            <v>Saldo em caixa (R$ MM)</v>
          </cell>
          <cell r="C2" t="str">
            <v>3T23</v>
          </cell>
          <cell r="D2" t="str">
            <v>2T23</v>
          </cell>
          <cell r="E2" t="str">
            <v>T/T (%)</v>
          </cell>
          <cell r="F2" t="str">
            <v>3T22</v>
          </cell>
          <cell r="G2" t="str">
            <v>A/A (%)</v>
          </cell>
          <cell r="H2" t="str">
            <v>9M23</v>
          </cell>
          <cell r="I2" t="str">
            <v>9M22</v>
          </cell>
          <cell r="J2" t="str">
            <v>A/A (%)</v>
          </cell>
          <cell r="Y2" t="str">
            <v>Saldo em caixa (R$ MM)</v>
          </cell>
          <cell r="Z2"/>
          <cell r="AA2"/>
          <cell r="AB2" t="str">
            <v>4T23</v>
          </cell>
          <cell r="AC2">
            <v>45261</v>
          </cell>
          <cell r="AD2">
            <v>45231</v>
          </cell>
          <cell r="AE2">
            <v>45200</v>
          </cell>
          <cell r="AF2" t="str">
            <v>9M23</v>
          </cell>
          <cell r="AG2" t="str">
            <v>3T23</v>
          </cell>
          <cell r="AH2">
            <v>45170</v>
          </cell>
          <cell r="AI2">
            <v>45139</v>
          </cell>
          <cell r="AJ2">
            <v>45108</v>
          </cell>
          <cell r="AK2" t="str">
            <v>1S23</v>
          </cell>
          <cell r="AL2" t="str">
            <v>2T23</v>
          </cell>
          <cell r="AM2">
            <v>45078</v>
          </cell>
          <cell r="AN2">
            <v>45047</v>
          </cell>
          <cell r="AO2">
            <v>45017</v>
          </cell>
          <cell r="AP2" t="str">
            <v>1T23</v>
          </cell>
          <cell r="AQ2">
            <v>44986</v>
          </cell>
          <cell r="AR2">
            <v>44958</v>
          </cell>
          <cell r="AS2">
            <v>44927</v>
          </cell>
          <cell r="AT2" t="str">
            <v>4T22</v>
          </cell>
          <cell r="AU2">
            <v>44896</v>
          </cell>
          <cell r="AV2">
            <v>44866</v>
          </cell>
          <cell r="AW2">
            <v>44835</v>
          </cell>
          <cell r="AX2" t="str">
            <v>9M22</v>
          </cell>
          <cell r="AY2" t="str">
            <v>3T22</v>
          </cell>
          <cell r="AZ2">
            <v>44805</v>
          </cell>
          <cell r="BA2">
            <v>44774</v>
          </cell>
          <cell r="BB2">
            <v>44743</v>
          </cell>
          <cell r="BC2" t="str">
            <v>1S22</v>
          </cell>
          <cell r="BD2" t="str">
            <v>2T22</v>
          </cell>
          <cell r="BE2">
            <v>44713</v>
          </cell>
          <cell r="BF2">
            <v>44682</v>
          </cell>
          <cell r="BG2">
            <v>44652</v>
          </cell>
          <cell r="BH2" t="str">
            <v>1T22</v>
          </cell>
          <cell r="BI2">
            <v>44621</v>
          </cell>
          <cell r="BJ2">
            <v>44593</v>
          </cell>
          <cell r="BK2">
            <v>44562</v>
          </cell>
          <cell r="BL2" t="str">
            <v>4T21</v>
          </cell>
          <cell r="BM2">
            <v>44531</v>
          </cell>
          <cell r="BN2">
            <v>44501</v>
          </cell>
          <cell r="BO2">
            <v>44470</v>
          </cell>
          <cell r="BP2" t="str">
            <v>9M21</v>
          </cell>
          <cell r="BQ2" t="str">
            <v>3T21</v>
          </cell>
          <cell r="BR2">
            <v>44440</v>
          </cell>
          <cell r="BS2">
            <v>44409</v>
          </cell>
          <cell r="BT2">
            <v>44378</v>
          </cell>
          <cell r="BU2" t="str">
            <v>1S21</v>
          </cell>
          <cell r="BV2" t="str">
            <v>2T21</v>
          </cell>
          <cell r="BW2">
            <v>44348</v>
          </cell>
          <cell r="BX2">
            <v>44317</v>
          </cell>
          <cell r="BY2">
            <v>44287</v>
          </cell>
          <cell r="BZ2" t="str">
            <v>1T21</v>
          </cell>
          <cell r="CA2">
            <v>44256</v>
          </cell>
          <cell r="CB2">
            <v>44228</v>
          </cell>
          <cell r="CC2">
            <v>44197</v>
          </cell>
          <cell r="CD2" t="str">
            <v>4T20</v>
          </cell>
          <cell r="CE2">
            <v>44166</v>
          </cell>
          <cell r="CF2">
            <v>44136</v>
          </cell>
          <cell r="CG2">
            <v>44105</v>
          </cell>
          <cell r="CH2" t="str">
            <v>9M20</v>
          </cell>
          <cell r="CI2" t="str">
            <v>3T20</v>
          </cell>
          <cell r="CJ2">
            <v>44075</v>
          </cell>
          <cell r="CK2">
            <v>44044</v>
          </cell>
          <cell r="CL2">
            <v>44013</v>
          </cell>
          <cell r="CM2" t="str">
            <v>1S20</v>
          </cell>
          <cell r="CN2" t="str">
            <v>2T20</v>
          </cell>
          <cell r="CO2">
            <v>43983</v>
          </cell>
          <cell r="CP2">
            <v>43952</v>
          </cell>
          <cell r="CQ2">
            <v>43922</v>
          </cell>
          <cell r="CR2" t="str">
            <v>1T20</v>
          </cell>
          <cell r="CS2">
            <v>43891</v>
          </cell>
          <cell r="CT2">
            <v>43862</v>
          </cell>
          <cell r="CU2">
            <v>43831</v>
          </cell>
          <cell r="CV2" t="str">
            <v>4T19</v>
          </cell>
          <cell r="CW2">
            <v>43800</v>
          </cell>
          <cell r="CX2">
            <v>43770</v>
          </cell>
          <cell r="CY2">
            <v>43739</v>
          </cell>
          <cell r="CZ2" t="str">
            <v>9M19</v>
          </cell>
          <cell r="DA2" t="str">
            <v>3T19</v>
          </cell>
          <cell r="DB2">
            <v>43709</v>
          </cell>
          <cell r="DC2">
            <v>43678</v>
          </cell>
          <cell r="DD2">
            <v>43647</v>
          </cell>
          <cell r="DE2" t="str">
            <v>1S19</v>
          </cell>
          <cell r="DF2" t="str">
            <v>2T19</v>
          </cell>
          <cell r="DG2">
            <v>43617</v>
          </cell>
          <cell r="DH2">
            <v>43586</v>
          </cell>
          <cell r="DI2">
            <v>43556</v>
          </cell>
          <cell r="DJ2" t="str">
            <v>1T19</v>
          </cell>
          <cell r="DK2">
            <v>43525</v>
          </cell>
          <cell r="DL2">
            <v>43497</v>
          </cell>
          <cell r="DM2">
            <v>43466</v>
          </cell>
        </row>
        <row r="27">
          <cell r="B27" t="str">
            <v>(+) Aportes CBR 122</v>
          </cell>
          <cell r="C27">
            <v>0</v>
          </cell>
          <cell r="D27">
            <v>5295.0309999999999</v>
          </cell>
          <cell r="E27">
            <v>-1</v>
          </cell>
          <cell r="F27">
            <v>0</v>
          </cell>
          <cell r="G27" t="str">
            <v/>
          </cell>
          <cell r="H27">
            <v>22789.22675065936</v>
          </cell>
          <cell r="I27">
            <v>0</v>
          </cell>
          <cell r="J27" t="str">
            <v/>
          </cell>
          <cell r="Y27" t="str">
            <v>(+) Aportes CBR 122</v>
          </cell>
          <cell r="Z27"/>
          <cell r="AA27"/>
          <cell r="AB27">
            <v>0</v>
          </cell>
          <cell r="AC27"/>
          <cell r="AD27"/>
          <cell r="AE27"/>
          <cell r="AF27">
            <v>22789.22675065936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22789.22675065936</v>
          </cell>
          <cell r="AL27">
            <v>5295.0309999999999</v>
          </cell>
          <cell r="AM27">
            <v>0</v>
          </cell>
          <cell r="AN27">
            <v>95</v>
          </cell>
          <cell r="AO27">
            <v>5200.0309999999999</v>
          </cell>
          <cell r="AP27">
            <v>17494.195750659361</v>
          </cell>
          <cell r="AQ27">
            <v>5163.3710000000001</v>
          </cell>
          <cell r="AR27">
            <v>5120.3597506593605</v>
          </cell>
          <cell r="AS27">
            <v>7210.4650000000001</v>
          </cell>
          <cell r="AT27">
            <v>61753.481</v>
          </cell>
          <cell r="AU27">
            <v>6569.4809999999998</v>
          </cell>
          <cell r="AV27">
            <v>7777.5</v>
          </cell>
          <cell r="AW27">
            <v>47406.5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 t="str">
            <v>N/A</v>
          </cell>
          <cell r="DJ27">
            <v>0</v>
          </cell>
          <cell r="DK27" t="str">
            <v>N/A</v>
          </cell>
          <cell r="DL27" t="str">
            <v>N/A</v>
          </cell>
          <cell r="DM27" t="str">
            <v>N/A</v>
          </cell>
        </row>
        <row r="28">
          <cell r="B28" t="str">
            <v>(+) Investimento em novos terrenos 100%</v>
          </cell>
          <cell r="C28">
            <v>166063.69879999998</v>
          </cell>
          <cell r="D28">
            <v>33620.272060329997</v>
          </cell>
          <cell r="E28">
            <v>3.9393918794591096</v>
          </cell>
          <cell r="F28">
            <v>8827.6795500000007</v>
          </cell>
          <cell r="G28">
            <v>17.811704464283594</v>
          </cell>
          <cell r="H28">
            <v>209915.81971032999</v>
          </cell>
          <cell r="I28">
            <v>37888.555710000001</v>
          </cell>
          <cell r="J28">
            <v>4.5403489464478719</v>
          </cell>
          <cell r="Y28" t="str">
            <v>(+) Investimento em novos terrenos 100%</v>
          </cell>
          <cell r="Z28"/>
          <cell r="AA28"/>
          <cell r="AB28">
            <v>0</v>
          </cell>
          <cell r="AC28"/>
          <cell r="AD28"/>
          <cell r="AE28"/>
          <cell r="AF28">
            <v>209915.81971032999</v>
          </cell>
          <cell r="AG28">
            <v>166063.69879999998</v>
          </cell>
          <cell r="AH28">
            <v>6853.4475400000001</v>
          </cell>
          <cell r="AI28">
            <v>4119.5716500000008</v>
          </cell>
          <cell r="AJ28">
            <v>155090.67960999999</v>
          </cell>
          <cell r="AK28">
            <v>43852.120910329999</v>
          </cell>
          <cell r="AL28">
            <v>33620.272060329997</v>
          </cell>
          <cell r="AM28">
            <v>2898.1998599999997</v>
          </cell>
          <cell r="AN28">
            <v>8140.3397903300001</v>
          </cell>
          <cell r="AO28">
            <v>22581.732410000001</v>
          </cell>
          <cell r="AP28">
            <v>10231.84885</v>
          </cell>
          <cell r="AQ28">
            <v>3052.8996200000001</v>
          </cell>
          <cell r="AR28">
            <v>4211.8059299999995</v>
          </cell>
          <cell r="AS28">
            <v>2967.1433000000002</v>
          </cell>
          <cell r="AT28">
            <v>105490.53899999999</v>
          </cell>
          <cell r="AU28">
            <v>82135.952420000001</v>
          </cell>
          <cell r="AV28">
            <v>18682.468979999998</v>
          </cell>
          <cell r="AW28">
            <v>4672.1176000000005</v>
          </cell>
          <cell r="AX28">
            <v>37888.555710000001</v>
          </cell>
          <cell r="AY28">
            <v>8827.6795500000007</v>
          </cell>
          <cell r="AZ28">
            <v>4569.9567700000007</v>
          </cell>
          <cell r="BA28">
            <v>2068.7157199999997</v>
          </cell>
          <cell r="BB28">
            <v>2189.0070599999999</v>
          </cell>
          <cell r="BC28">
            <v>29060.87616</v>
          </cell>
          <cell r="BD28">
            <v>12839.43147</v>
          </cell>
          <cell r="BE28">
            <v>2419.9765299999999</v>
          </cell>
          <cell r="BF28">
            <v>2429.9367100000004</v>
          </cell>
          <cell r="BG28">
            <v>7989.5182300000006</v>
          </cell>
          <cell r="BH28">
            <v>16221.444690000002</v>
          </cell>
          <cell r="BI28">
            <v>5434.8022100000017</v>
          </cell>
          <cell r="BJ28">
            <v>5627.7164400000011</v>
          </cell>
          <cell r="BK28">
            <v>5158.9260400000003</v>
          </cell>
          <cell r="BL28">
            <v>35326.273419999998</v>
          </cell>
          <cell r="BM28">
            <v>17271.628799999995</v>
          </cell>
          <cell r="BN28">
            <v>9559.6202699999994</v>
          </cell>
          <cell r="BO28">
            <v>8495.0243499999997</v>
          </cell>
          <cell r="BP28">
            <v>390076.75825000001</v>
          </cell>
          <cell r="BQ28">
            <v>196215.07499999998</v>
          </cell>
          <cell r="BR28">
            <v>27119.06937999999</v>
          </cell>
          <cell r="BS28">
            <v>143111.60264999999</v>
          </cell>
          <cell r="BT28">
            <v>25984.402969999999</v>
          </cell>
          <cell r="BU28">
            <v>193861.68325000003</v>
          </cell>
          <cell r="BV28">
            <v>106578.19885000002</v>
          </cell>
          <cell r="BW28">
            <v>45632.550139999999</v>
          </cell>
          <cell r="BX28">
            <v>54330.577250000017</v>
          </cell>
          <cell r="BY28">
            <v>6615.071460000001</v>
          </cell>
          <cell r="BZ28">
            <v>87283.484400000016</v>
          </cell>
          <cell r="CA28">
            <v>38332.830280000009</v>
          </cell>
          <cell r="CB28">
            <v>7745.4274199999991</v>
          </cell>
          <cell r="CC28">
            <v>41205.226699999999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 t="str">
            <v>N/A</v>
          </cell>
          <cell r="DJ28">
            <v>0</v>
          </cell>
          <cell r="DK28" t="str">
            <v>N/A</v>
          </cell>
          <cell r="DL28" t="str">
            <v>N/A</v>
          </cell>
          <cell r="DM28" t="str">
            <v>N/A</v>
          </cell>
        </row>
      </sheetData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andBank"/>
      <sheetName val="DRE - comparativo"/>
      <sheetName val="DRE - Próximos Lançamentos Jun"/>
      <sheetName val="DRE - Próximos Lançamentos Set."/>
      <sheetName val="805"/>
      <sheetName val="762"/>
      <sheetName val="824"/>
      <sheetName val="823"/>
      <sheetName val="859"/>
      <sheetName val="826"/>
      <sheetName val="853"/>
      <sheetName val="Resumo Sandra"/>
      <sheetName val="Fluxo Hípica"/>
      <sheetName val="Fluxo Lote 6"/>
      <sheetName val="Fluxo Roque Petroni"/>
      <sheetName val="Fluxo Várzea"/>
      <sheetName val="Fluxo Anhaia Melo"/>
      <sheetName val="Fluxo BP"/>
      <sheetName val="Fluxo Lote 3"/>
    </sheetNames>
    <sheetDataSet>
      <sheetData sheetId="0">
        <row r="17">
          <cell r="K17">
            <v>4230.3030189900001</v>
          </cell>
        </row>
        <row r="18">
          <cell r="K18">
            <v>3059.3191585455002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4AB4-50D0-4BBA-9144-0351B0CE0D8C}">
  <sheetPr>
    <tabColor theme="0" tint="-0.34998626667073579"/>
  </sheetPr>
  <dimension ref="A1:H26"/>
  <sheetViews>
    <sheetView showGridLines="0" tabSelected="1" zoomScaleNormal="100" workbookViewId="0"/>
  </sheetViews>
  <sheetFormatPr defaultColWidth="0" defaultRowHeight="15" zeroHeight="1" x14ac:dyDescent="0.25"/>
  <cols>
    <col min="1" max="8" width="8.85546875" customWidth="1"/>
    <col min="9" max="16384" width="8.85546875" hidden="1"/>
  </cols>
  <sheetData>
    <row r="1" spans="1:8" s="41" customFormat="1" x14ac:dyDescent="0.25">
      <c r="A1"/>
      <c r="B1"/>
      <c r="C1"/>
      <c r="D1"/>
      <c r="E1"/>
      <c r="F1"/>
      <c r="G1"/>
      <c r="H1"/>
    </row>
    <row r="2" spans="1:8" x14ac:dyDescent="0.25"/>
    <row r="3" spans="1:8" x14ac:dyDescent="0.25"/>
    <row r="4" spans="1:8" x14ac:dyDescent="0.25"/>
    <row r="5" spans="1:8" x14ac:dyDescent="0.25"/>
    <row r="6" spans="1:8" x14ac:dyDescent="0.25"/>
    <row r="7" spans="1:8" x14ac:dyDescent="0.25"/>
    <row r="8" spans="1:8" x14ac:dyDescent="0.25"/>
    <row r="9" spans="1:8" x14ac:dyDescent="0.25"/>
    <row r="10" spans="1:8" x14ac:dyDescent="0.25"/>
    <row r="11" spans="1:8" x14ac:dyDescent="0.25"/>
    <row r="12" spans="1:8" x14ac:dyDescent="0.25"/>
    <row r="13" spans="1:8" x14ac:dyDescent="0.25"/>
    <row r="14" spans="1:8" x14ac:dyDescent="0.25"/>
    <row r="15" spans="1:8" x14ac:dyDescent="0.25"/>
    <row r="16" spans="1:8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B4591-4B94-434D-B9F1-AF959BCAA5FC}">
  <sheetPr>
    <tabColor rgb="FF182842"/>
  </sheetPr>
  <dimension ref="A1:V25"/>
  <sheetViews>
    <sheetView showGridLines="0" zoomScaleNormal="100" workbookViewId="0"/>
  </sheetViews>
  <sheetFormatPr defaultColWidth="0" defaultRowHeight="12" x14ac:dyDescent="0.2"/>
  <cols>
    <col min="1" max="1" width="37.28515625" style="1" bestFit="1" customWidth="1"/>
    <col min="2" max="7" width="8.85546875" style="1" customWidth="1"/>
    <col min="8" max="8" width="8.85546875" style="2" customWidth="1"/>
    <col min="9" max="9" width="10.42578125" style="2" customWidth="1"/>
    <col min="10" max="20" width="8.85546875" style="2" customWidth="1"/>
    <col min="21" max="16384" width="8.85546875" style="1" hidden="1"/>
  </cols>
  <sheetData>
    <row r="1" spans="1:22" ht="15" x14ac:dyDescent="0.25">
      <c r="B1"/>
      <c r="C1"/>
      <c r="D1"/>
      <c r="E1"/>
      <c r="F1" s="35"/>
      <c r="G1" s="35"/>
      <c r="H1" s="35"/>
      <c r="I1" s="35"/>
      <c r="J1" s="35"/>
      <c r="K1" s="34"/>
      <c r="L1" s="34"/>
      <c r="M1" s="34"/>
      <c r="N1" s="34"/>
      <c r="O1" s="34"/>
      <c r="P1" s="34"/>
    </row>
    <row r="2" spans="1:22" ht="15" x14ac:dyDescent="0.25">
      <c r="A2"/>
      <c r="B2"/>
      <c r="C2"/>
      <c r="D2"/>
      <c r="E2"/>
      <c r="F2"/>
      <c r="G2"/>
      <c r="O2" s="26"/>
      <c r="R2" s="26"/>
    </row>
    <row r="3" spans="1:22" x14ac:dyDescent="0.2">
      <c r="H3" s="25"/>
      <c r="I3" s="25"/>
      <c r="J3" s="25"/>
      <c r="K3" s="25"/>
      <c r="L3" s="25"/>
      <c r="M3" s="25"/>
      <c r="N3" s="25"/>
      <c r="Q3" s="26"/>
      <c r="R3" s="25"/>
    </row>
    <row r="5" spans="1:22" x14ac:dyDescent="0.2">
      <c r="A5" s="5" t="s">
        <v>390</v>
      </c>
      <c r="B5" s="3" t="s">
        <v>381</v>
      </c>
      <c r="C5" s="3" t="s">
        <v>371</v>
      </c>
      <c r="D5" s="3" t="s">
        <v>369</v>
      </c>
      <c r="E5" s="3" t="s">
        <v>361</v>
      </c>
      <c r="F5" s="3" t="s">
        <v>332</v>
      </c>
      <c r="G5" s="3" t="s">
        <v>329</v>
      </c>
      <c r="H5" s="3" t="s">
        <v>316</v>
      </c>
      <c r="I5" s="3" t="s">
        <v>307</v>
      </c>
      <c r="J5" s="3" t="s">
        <v>302</v>
      </c>
      <c r="K5" s="3" t="s">
        <v>292</v>
      </c>
      <c r="L5" s="3" t="s">
        <v>287</v>
      </c>
      <c r="M5" s="3" t="s">
        <v>278</v>
      </c>
      <c r="N5" s="3" t="s">
        <v>159</v>
      </c>
      <c r="O5" s="3" t="s">
        <v>160</v>
      </c>
      <c r="P5" s="3" t="s">
        <v>161</v>
      </c>
      <c r="Q5" s="3" t="s">
        <v>162</v>
      </c>
      <c r="R5" s="3" t="s">
        <v>163</v>
      </c>
      <c r="S5" s="3" t="s">
        <v>164</v>
      </c>
      <c r="T5" s="3" t="s">
        <v>165</v>
      </c>
    </row>
    <row r="6" spans="1:22" x14ac:dyDescent="0.2">
      <c r="A6" s="46" t="s">
        <v>143</v>
      </c>
      <c r="B6" s="39">
        <f>'Margens Bruta e EBITDA (ex-SFH)'!B6</f>
        <v>68898</v>
      </c>
      <c r="C6" s="39">
        <f>'Margens Bruta e EBITDA (ex-SFH)'!C6</f>
        <v>93331</v>
      </c>
      <c r="D6" s="39">
        <f>'Margens Bruta e EBITDA (ex-SFH)'!D6</f>
        <v>49225</v>
      </c>
      <c r="E6" s="39">
        <f>'Margens Bruta e EBITDA (ex-SFH)'!E6</f>
        <v>50724.147000000114</v>
      </c>
      <c r="F6" s="39">
        <f>'Margens Bruta e EBITDA (ex-SFH)'!F6</f>
        <v>48481.852999999872</v>
      </c>
      <c r="G6" s="39">
        <f>'Margens Bruta e EBITDA (ex-SFH)'!G6</f>
        <v>53126</v>
      </c>
      <c r="H6" s="39">
        <f>'Margens Bruta e EBITDA (ex-SFH)'!H6</f>
        <v>34007</v>
      </c>
      <c r="I6" s="39">
        <f>'Margens Bruta e EBITDA (ex-SFH)'!I6</f>
        <v>42967.705389999988</v>
      </c>
      <c r="J6" s="39">
        <f>'Margens Bruta e EBITDA (ex-SFH)'!J6</f>
        <v>64587</v>
      </c>
      <c r="K6" s="39">
        <f>'Margens Bruta e EBITDA (ex-SFH)'!K6</f>
        <v>109619</v>
      </c>
      <c r="L6" s="39">
        <f>'Margens Bruta e EBITDA (ex-SFH)'!L6</f>
        <v>36545.897999999994</v>
      </c>
      <c r="M6" s="39">
        <f>'Margens Bruta e EBITDA (ex-SFH)'!M6</f>
        <v>71859</v>
      </c>
      <c r="N6" s="39">
        <f>'Margens Bruta e EBITDA (ex-SFH)'!N6</f>
        <v>39394.869439999966</v>
      </c>
      <c r="O6" s="39">
        <f>'Margens Bruta e EBITDA (ex-SFH)'!O6</f>
        <v>21588</v>
      </c>
      <c r="P6" s="39">
        <f>'Margens Bruta e EBITDA (ex-SFH)'!P6</f>
        <v>16949</v>
      </c>
      <c r="Q6" s="39">
        <f>'Margens Bruta e EBITDA (ex-SFH)'!Q6</f>
        <v>32323.82462507172</v>
      </c>
      <c r="R6" s="39">
        <f>'Margens Bruta e EBITDA (ex-SFH)'!R6</f>
        <v>19431.797692613865</v>
      </c>
      <c r="S6" s="39">
        <f>'Margens Bruta e EBITDA (ex-SFH)'!S6</f>
        <v>35383.042196526963</v>
      </c>
      <c r="T6" s="39">
        <f>'Margens Bruta e EBITDA (ex-SFH)'!T6</f>
        <v>3028.927620000004</v>
      </c>
    </row>
    <row r="7" spans="1:22" x14ac:dyDescent="0.2">
      <c r="A7" s="47" t="s">
        <v>391</v>
      </c>
      <c r="B7" s="38">
        <f>'Margens Bruta e EBITDA (ex-SFH)'!B7</f>
        <v>0.33612059713142745</v>
      </c>
      <c r="C7" s="38">
        <f>'Margens Bruta e EBITDA (ex-SFH)'!C7</f>
        <v>0.32917736519849894</v>
      </c>
      <c r="D7" s="38">
        <f>'Margens Bruta e EBITDA (ex-SFH)'!D7</f>
        <v>0.30927025413878678</v>
      </c>
      <c r="E7" s="38">
        <f>'Margens Bruta e EBITDA (ex-SFH)'!E7</f>
        <v>0.34448107320226101</v>
      </c>
      <c r="F7" s="38">
        <f>'Margens Bruta e EBITDA (ex-SFH)'!F7</f>
        <v>0.37637389659239762</v>
      </c>
      <c r="G7" s="38">
        <f>'Margens Bruta e EBITDA (ex-SFH)'!G7</f>
        <v>0.29563059252993812</v>
      </c>
      <c r="H7" s="38">
        <f>'Margens Bruta e EBITDA (ex-SFH)'!H7</f>
        <v>0.3415660593399088</v>
      </c>
      <c r="I7" s="38">
        <f>'Margens Bruta e EBITDA (ex-SFH)'!I7</f>
        <v>0.39330893537346967</v>
      </c>
      <c r="J7" s="38">
        <f>'Margens Bruta e EBITDA (ex-SFH)'!J7</f>
        <v>0.43251767920282869</v>
      </c>
      <c r="K7" s="38">
        <f>'Margens Bruta e EBITDA (ex-SFH)'!K7</f>
        <v>0.42118549313578957</v>
      </c>
      <c r="L7" s="38">
        <f>'Margens Bruta e EBITDA (ex-SFH)'!L7</f>
        <v>0.40412594433436533</v>
      </c>
      <c r="M7" s="38">
        <f>'Margens Bruta e EBITDA (ex-SFH)'!M7</f>
        <v>0.40129448030915632</v>
      </c>
      <c r="N7" s="38">
        <f>'Margens Bruta e EBITDA (ex-SFH)'!N7</f>
        <v>0.45440191235972122</v>
      </c>
      <c r="O7" s="38">
        <f>'Margens Bruta e EBITDA (ex-SFH)'!O7</f>
        <v>0.42099104896741357</v>
      </c>
      <c r="P7" s="38">
        <f>'Margens Bruta e EBITDA (ex-SFH)'!P7</f>
        <v>0.39913809344385831</v>
      </c>
      <c r="Q7" s="38">
        <f>'Margens Bruta e EBITDA (ex-SFH)'!Q7</f>
        <v>0.32377687199595595</v>
      </c>
      <c r="R7" s="38">
        <f>'Margens Bruta e EBITDA (ex-SFH)'!R7</f>
        <v>0.38876035716657059</v>
      </c>
      <c r="S7" s="38">
        <f>'Margens Bruta e EBITDA (ex-SFH)'!S7</f>
        <v>0.34761549840558376</v>
      </c>
      <c r="T7" s="38">
        <f>'Margens Bruta e EBITDA (ex-SFH)'!T7</f>
        <v>0.18274218632360512</v>
      </c>
    </row>
    <row r="8" spans="1:22" x14ac:dyDescent="0.2">
      <c r="A8" s="47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1:22" x14ac:dyDescent="0.2">
      <c r="A9" s="53" t="s">
        <v>392</v>
      </c>
      <c r="B9" s="57">
        <f>'Margens Bruta e EBITDA (ex-SFH)'!B9</f>
        <v>2793</v>
      </c>
      <c r="C9" s="57">
        <f>'Margens Bruta e EBITDA (ex-SFH)'!C9</f>
        <v>1007</v>
      </c>
      <c r="D9" s="57">
        <f>'Margens Bruta e EBITDA (ex-SFH)'!D9</f>
        <v>1142</v>
      </c>
      <c r="E9" s="57">
        <f>'Margens Bruta e EBITDA (ex-SFH)'!E9</f>
        <v>331</v>
      </c>
      <c r="F9" s="57">
        <f>'Margens Bruta e EBITDA (ex-SFH)'!F9</f>
        <v>26</v>
      </c>
      <c r="G9" s="57">
        <f>'Margens Bruta e EBITDA (ex-SFH)'!G9</f>
        <v>88</v>
      </c>
      <c r="H9" s="57">
        <f>'Margens Bruta e EBITDA (ex-SFH)'!H9</f>
        <v>31</v>
      </c>
      <c r="I9" s="57">
        <f>'Margens Bruta e EBITDA (ex-SFH)'!I9</f>
        <v>768</v>
      </c>
      <c r="J9" s="57">
        <f>'Margens Bruta e EBITDA (ex-SFH)'!J9</f>
        <v>459</v>
      </c>
      <c r="K9" s="57">
        <f>'Margens Bruta e EBITDA (ex-SFH)'!K9</f>
        <v>1586</v>
      </c>
      <c r="L9" s="57">
        <f>'Margens Bruta e EBITDA (ex-SFH)'!L9</f>
        <v>133</v>
      </c>
      <c r="M9" s="57">
        <f>'Margens Bruta e EBITDA (ex-SFH)'!M9</f>
        <v>507</v>
      </c>
      <c r="N9" s="57">
        <f>'Margens Bruta e EBITDA (ex-SFH)'!N9</f>
        <v>0</v>
      </c>
      <c r="O9" s="57">
        <f>'Margens Bruta e EBITDA (ex-SFH)'!O9</f>
        <v>0</v>
      </c>
      <c r="P9" s="57">
        <f>'Margens Bruta e EBITDA (ex-SFH)'!P9</f>
        <v>0</v>
      </c>
      <c r="Q9" s="57">
        <f>'Margens Bruta e EBITDA (ex-SFH)'!Q9</f>
        <v>0</v>
      </c>
      <c r="R9" s="57">
        <f>'Margens Bruta e EBITDA (ex-SFH)'!R9</f>
        <v>0</v>
      </c>
      <c r="S9" s="57">
        <f>'Margens Bruta e EBITDA (ex-SFH)'!S9</f>
        <v>0</v>
      </c>
      <c r="T9" s="57">
        <f>'Margens Bruta e EBITDA (ex-SFH)'!T9</f>
        <v>0</v>
      </c>
    </row>
    <row r="10" spans="1:22" x14ac:dyDescent="0.2">
      <c r="A10" s="46" t="s">
        <v>420</v>
      </c>
      <c r="B10" s="44">
        <f>'Margens Bruta e EBITDA (ex-SFH)'!B10</f>
        <v>71691</v>
      </c>
      <c r="C10" s="44">
        <f>'Margens Bruta e EBITDA (ex-SFH)'!C10</f>
        <v>94338</v>
      </c>
      <c r="D10" s="44">
        <f>'Margens Bruta e EBITDA (ex-SFH)'!D10</f>
        <v>50367</v>
      </c>
      <c r="E10" s="44">
        <f>'Margens Bruta e EBITDA (ex-SFH)'!E10</f>
        <v>51055.147000000114</v>
      </c>
      <c r="F10" s="44">
        <f>'Margens Bruta e EBITDA (ex-SFH)'!F10</f>
        <v>48507.852999999872</v>
      </c>
      <c r="G10" s="44">
        <f>'Margens Bruta e EBITDA (ex-SFH)'!G10</f>
        <v>53214</v>
      </c>
      <c r="H10" s="44">
        <f>'Margens Bruta e EBITDA (ex-SFH)'!H10</f>
        <v>34038</v>
      </c>
      <c r="I10" s="44">
        <f>'Margens Bruta e EBITDA (ex-SFH)'!I10</f>
        <v>43735.705389999988</v>
      </c>
      <c r="J10" s="44">
        <f>'Margens Bruta e EBITDA (ex-SFH)'!J10</f>
        <v>65046</v>
      </c>
      <c r="K10" s="44">
        <f>'Margens Bruta e EBITDA (ex-SFH)'!K10</f>
        <v>111205</v>
      </c>
      <c r="L10" s="44">
        <f>'Margens Bruta e EBITDA (ex-SFH)'!L10</f>
        <v>36678.897999999994</v>
      </c>
      <c r="M10" s="44">
        <f>'Margens Bruta e EBITDA (ex-SFH)'!M10</f>
        <v>72366</v>
      </c>
      <c r="N10" s="44">
        <f>'Margens Bruta e EBITDA (ex-SFH)'!N10</f>
        <v>39394.869439999966</v>
      </c>
      <c r="O10" s="44">
        <f>'Margens Bruta e EBITDA (ex-SFH)'!O10</f>
        <v>21588</v>
      </c>
      <c r="P10" s="44">
        <f>'Margens Bruta e EBITDA (ex-SFH)'!P10</f>
        <v>16949</v>
      </c>
      <c r="Q10" s="44">
        <f>'Margens Bruta e EBITDA (ex-SFH)'!Q10</f>
        <v>32323.82462507172</v>
      </c>
      <c r="R10" s="44">
        <f>'Margens Bruta e EBITDA (ex-SFH)'!R10</f>
        <v>19431.797692613865</v>
      </c>
      <c r="S10" s="44">
        <f>'Margens Bruta e EBITDA (ex-SFH)'!S10</f>
        <v>35383.042196526963</v>
      </c>
      <c r="T10" s="44">
        <f>'Margens Bruta e EBITDA (ex-SFH)'!T10</f>
        <v>3028.927620000004</v>
      </c>
    </row>
    <row r="11" spans="1:22" x14ac:dyDescent="0.2">
      <c r="A11" s="47" t="s">
        <v>421</v>
      </c>
      <c r="B11" s="38">
        <f>'Margens Bruta e EBITDA (ex-SFH)'!B11</f>
        <v>0.34974631671382572</v>
      </c>
      <c r="C11" s="38">
        <f>'Margens Bruta e EBITDA (ex-SFH)'!C11</f>
        <v>0.33272904263423719</v>
      </c>
      <c r="D11" s="38">
        <f>'Margens Bruta e EBITDA (ex-SFH)'!D11</f>
        <v>0.31644519837904062</v>
      </c>
      <c r="E11" s="38">
        <f>'Margens Bruta e EBITDA (ex-SFH)'!E11</f>
        <v>0.34672898158463261</v>
      </c>
      <c r="F11" s="38">
        <f>'Margens Bruta e EBITDA (ex-SFH)'!F11</f>
        <v>0.3765757395646826</v>
      </c>
      <c r="G11" s="38">
        <f>'Margens Bruta e EBITDA (ex-SFH)'!G11</f>
        <v>0.29612028669367402</v>
      </c>
      <c r="H11" s="38">
        <f>'Margens Bruta e EBITDA (ex-SFH)'!H11</f>
        <v>0.34187742311323599</v>
      </c>
      <c r="I11" s="38">
        <f>'Margens Bruta e EBITDA (ex-SFH)'!I11</f>
        <v>0.40033889565701614</v>
      </c>
      <c r="J11" s="38">
        <f>'Margens Bruta e EBITDA (ex-SFH)'!J11</f>
        <v>0.43559144969463193</v>
      </c>
      <c r="K11" s="38">
        <f>'Margens Bruta e EBITDA (ex-SFH)'!K11</f>
        <v>0.42727932898644833</v>
      </c>
      <c r="L11" s="38">
        <f>'Margens Bruta e EBITDA (ex-SFH)'!L11</f>
        <v>0.40559666344479656</v>
      </c>
      <c r="M11" s="38">
        <f>'Margens Bruta e EBITDA (ex-SFH)'!M11</f>
        <v>0.40412580695601669</v>
      </c>
      <c r="N11" s="38">
        <f>'Margens Bruta e EBITDA (ex-SFH)'!N11</f>
        <v>0.45440191235972122</v>
      </c>
      <c r="O11" s="38">
        <f>'Margens Bruta e EBITDA (ex-SFH)'!O11</f>
        <v>0.42099104896741357</v>
      </c>
      <c r="P11" s="38">
        <f>'Margens Bruta e EBITDA (ex-SFH)'!P11</f>
        <v>0.39913809344385831</v>
      </c>
      <c r="Q11" s="38">
        <f>'Margens Bruta e EBITDA (ex-SFH)'!Q11</f>
        <v>0.32377687199595595</v>
      </c>
      <c r="R11" s="38">
        <f>'Margens Bruta e EBITDA (ex-SFH)'!R11</f>
        <v>0.38876035716657059</v>
      </c>
      <c r="S11" s="38">
        <f>'Margens Bruta e EBITDA (ex-SFH)'!S11</f>
        <v>0.34761549840558376</v>
      </c>
      <c r="T11" s="38">
        <f>'Margens Bruta e EBITDA (ex-SFH)'!T11</f>
        <v>0.18274218632360512</v>
      </c>
    </row>
    <row r="12" spans="1:22" x14ac:dyDescent="0.2">
      <c r="A12" s="6"/>
    </row>
    <row r="13" spans="1:22" x14ac:dyDescent="0.2">
      <c r="A13" s="6" t="s">
        <v>384</v>
      </c>
      <c r="B13" s="8">
        <f>'Margens Bruta e EBITDA (ex-SFH)'!B13</f>
        <v>42203</v>
      </c>
      <c r="C13" s="8">
        <f>'Margens Bruta e EBITDA (ex-SFH)'!C13</f>
        <v>65988</v>
      </c>
      <c r="D13" s="8">
        <f>'Margens Bruta e EBITDA (ex-SFH)'!D13</f>
        <v>27931</v>
      </c>
      <c r="E13" s="8">
        <f>'Margens Bruta e EBITDA (ex-SFH)'!E13</f>
        <v>23540.822580000116</v>
      </c>
      <c r="F13" s="8">
        <f>'Margens Bruta e EBITDA (ex-SFH)'!F13</f>
        <v>25047.177419999869</v>
      </c>
      <c r="G13" s="8">
        <f>'Margens Bruta e EBITDA (ex-SFH)'!G13</f>
        <v>24870</v>
      </c>
      <c r="H13" s="8">
        <f>'Margens Bruta e EBITDA (ex-SFH)'!H13</f>
        <v>13064</v>
      </c>
      <c r="I13" s="8">
        <f>'Margens Bruta e EBITDA (ex-SFH)'!I13</f>
        <v>22885.97381380439</v>
      </c>
      <c r="J13" s="8">
        <f>'Margens Bruta e EBITDA (ex-SFH)'!J13</f>
        <v>43511.401989999998</v>
      </c>
      <c r="K13" s="8">
        <f>'Margens Bruta e EBITDA (ex-SFH)'!K13</f>
        <v>90311</v>
      </c>
      <c r="L13" s="8">
        <f>'Margens Bruta e EBITDA (ex-SFH)'!L13</f>
        <v>19855.035829999993</v>
      </c>
      <c r="M13" s="8">
        <f>'Margens Bruta e EBITDA (ex-SFH)'!M13</f>
        <v>58764</v>
      </c>
      <c r="N13" s="8">
        <f>'Margens Bruta e EBITDA (ex-SFH)'!N13</f>
        <v>29557.869439999966</v>
      </c>
      <c r="O13" s="8">
        <f>'Margens Bruta e EBITDA (ex-SFH)'!O13</f>
        <v>18299</v>
      </c>
      <c r="P13" s="8">
        <f>'Margens Bruta e EBITDA (ex-SFH)'!P13</f>
        <v>12214</v>
      </c>
      <c r="Q13" s="8">
        <f>'Margens Bruta e EBITDA (ex-SFH)'!Q13</f>
        <v>27006.922940252116</v>
      </c>
      <c r="R13" s="8">
        <f>'Margens Bruta e EBITDA (ex-SFH)'!R13</f>
        <v>15650.041952613865</v>
      </c>
      <c r="S13" s="8">
        <f>'Margens Bruta e EBITDA (ex-SFH)'!S13</f>
        <v>28396.783656931726</v>
      </c>
      <c r="T13" s="8">
        <f>'Margens Bruta e EBITDA (ex-SFH)'!T13</f>
        <v>-2222.6003283354794</v>
      </c>
    </row>
    <row r="14" spans="1:22" x14ac:dyDescent="0.2">
      <c r="A14" s="53" t="s">
        <v>393</v>
      </c>
      <c r="B14" s="57">
        <f>'Margens Bruta e EBITDA (ex-SFH)'!B14</f>
        <v>186</v>
      </c>
      <c r="C14" s="57">
        <f>'Margens Bruta e EBITDA (ex-SFH)'!C14</f>
        <v>199</v>
      </c>
      <c r="D14" s="57">
        <f>'Margens Bruta e EBITDA (ex-SFH)'!D14</f>
        <v>182</v>
      </c>
      <c r="E14" s="57">
        <f>'Margens Bruta e EBITDA (ex-SFH)'!E14</f>
        <v>204</v>
      </c>
      <c r="F14" s="57">
        <f>'Margens Bruta e EBITDA (ex-SFH)'!F14</f>
        <v>176</v>
      </c>
      <c r="G14" s="57">
        <f>'Margens Bruta e EBITDA (ex-SFH)'!G14</f>
        <v>246</v>
      </c>
      <c r="H14" s="57">
        <f>'Margens Bruta e EBITDA (ex-SFH)'!H14</f>
        <v>249</v>
      </c>
      <c r="I14" s="57">
        <f>'Margens Bruta e EBITDA (ex-SFH)'!I14</f>
        <v>265</v>
      </c>
      <c r="J14" s="57">
        <f>'Margens Bruta e EBITDA (ex-SFH)'!J14</f>
        <v>167</v>
      </c>
      <c r="K14" s="57">
        <f>'Margens Bruta e EBITDA (ex-SFH)'!K14</f>
        <v>198</v>
      </c>
      <c r="L14" s="57">
        <f>'Margens Bruta e EBITDA (ex-SFH)'!L14</f>
        <v>173</v>
      </c>
      <c r="M14" s="57">
        <f>'Margens Bruta e EBITDA (ex-SFH)'!M14</f>
        <v>122</v>
      </c>
      <c r="N14" s="57">
        <f>'Margens Bruta e EBITDA (ex-SFH)'!N14</f>
        <v>108</v>
      </c>
      <c r="O14" s="57">
        <f>'Margens Bruta e EBITDA (ex-SFH)'!O14</f>
        <v>103</v>
      </c>
      <c r="P14" s="57">
        <f>'Margens Bruta e EBITDA (ex-SFH)'!P14</f>
        <v>102</v>
      </c>
      <c r="Q14" s="57">
        <f>'Margens Bruta e EBITDA (ex-SFH)'!Q14</f>
        <v>101</v>
      </c>
      <c r="R14" s="57">
        <f>'Margens Bruta e EBITDA (ex-SFH)'!R14</f>
        <v>129</v>
      </c>
      <c r="S14" s="57">
        <f>'Margens Bruta e EBITDA (ex-SFH)'!S14</f>
        <v>74</v>
      </c>
      <c r="T14" s="57">
        <f>'Margens Bruta e EBITDA (ex-SFH)'!T14</f>
        <v>90</v>
      </c>
    </row>
    <row r="15" spans="1:22" x14ac:dyDescent="0.2">
      <c r="A15" s="46" t="s">
        <v>387</v>
      </c>
      <c r="B15" s="10">
        <f>'Margens Bruta e EBITDA (ex-SFH)'!B15</f>
        <v>42389</v>
      </c>
      <c r="C15" s="10">
        <f>'Margens Bruta e EBITDA (ex-SFH)'!C15</f>
        <v>66187</v>
      </c>
      <c r="D15" s="10">
        <f>'Margens Bruta e EBITDA (ex-SFH)'!D15</f>
        <v>28113</v>
      </c>
      <c r="E15" s="10">
        <f>'Margens Bruta e EBITDA (ex-SFH)'!E15</f>
        <v>23744.822580000116</v>
      </c>
      <c r="F15" s="10">
        <f>'Margens Bruta e EBITDA (ex-SFH)'!F15</f>
        <v>25223.177419999869</v>
      </c>
      <c r="G15" s="10">
        <f>'Margens Bruta e EBITDA (ex-SFH)'!G15</f>
        <v>25116</v>
      </c>
      <c r="H15" s="10">
        <f>'Margens Bruta e EBITDA (ex-SFH)'!H15</f>
        <v>13313</v>
      </c>
      <c r="I15" s="10">
        <f>'Margens Bruta e EBITDA (ex-SFH)'!I15</f>
        <v>23150.97381380439</v>
      </c>
      <c r="J15" s="10">
        <f>'Margens Bruta e EBITDA (ex-SFH)'!J15</f>
        <v>43678.401989999998</v>
      </c>
      <c r="K15" s="10">
        <f>'Margens Bruta e EBITDA (ex-SFH)'!K15</f>
        <v>90509</v>
      </c>
      <c r="L15" s="10">
        <f>'Margens Bruta e EBITDA (ex-SFH)'!L15</f>
        <v>20028.035829999993</v>
      </c>
      <c r="M15" s="10">
        <f>'Margens Bruta e EBITDA (ex-SFH)'!M15</f>
        <v>58886</v>
      </c>
      <c r="N15" s="10">
        <f>'Margens Bruta e EBITDA (ex-SFH)'!N15</f>
        <v>29665.869439999966</v>
      </c>
      <c r="O15" s="10">
        <f>'Margens Bruta e EBITDA (ex-SFH)'!O15</f>
        <v>18402</v>
      </c>
      <c r="P15" s="10">
        <f>'Margens Bruta e EBITDA (ex-SFH)'!P15</f>
        <v>12316</v>
      </c>
      <c r="Q15" s="10">
        <f>'Margens Bruta e EBITDA (ex-SFH)'!Q15</f>
        <v>27107.922940252116</v>
      </c>
      <c r="R15" s="10">
        <f>'Margens Bruta e EBITDA (ex-SFH)'!R15</f>
        <v>15779.041952613865</v>
      </c>
      <c r="S15" s="10">
        <f>'Margens Bruta e EBITDA (ex-SFH)'!S15</f>
        <v>28470.783656931726</v>
      </c>
      <c r="T15" s="10">
        <f>'Margens Bruta e EBITDA (ex-SFH)'!T15</f>
        <v>-2132.6003283354794</v>
      </c>
    </row>
    <row r="16" spans="1:22" x14ac:dyDescent="0.2">
      <c r="A16" s="47" t="s">
        <v>394</v>
      </c>
      <c r="B16" s="40">
        <f>'Margens Bruta e EBITDA (ex-SFH)'!B16</f>
        <v>0.20679578495462972</v>
      </c>
      <c r="C16" s="40">
        <f>'Margens Bruta e EBITDA (ex-SFH)'!C16</f>
        <v>0.23344078891679129</v>
      </c>
      <c r="D16" s="40">
        <f>'Margens Bruta e EBITDA (ex-SFH)'!D16</f>
        <v>0.17662802751861276</v>
      </c>
      <c r="E16" s="40">
        <f>'Margens Bruta e EBITDA (ex-SFH)'!E16</f>
        <v>0.16125735865712443</v>
      </c>
      <c r="F16" s="40">
        <f>'Margens Bruta e EBITDA (ex-SFH)'!F16</f>
        <v>0.19581235003552266</v>
      </c>
      <c r="G16" s="40">
        <f>'Margens Bruta e EBITDA (ex-SFH)'!G16</f>
        <v>0.1397631660953568</v>
      </c>
      <c r="H16" s="40">
        <f>'Margens Bruta e EBITDA (ex-SFH)'!H16</f>
        <v>0.13371567465498885</v>
      </c>
      <c r="I16" s="40">
        <f>'Margens Bruta e EBITDA (ex-SFH)'!I16</f>
        <v>0.21191461775581874</v>
      </c>
      <c r="J16" s="40">
        <f>'Margens Bruta e EBITDA (ex-SFH)'!J16</f>
        <v>0.29249974545965929</v>
      </c>
      <c r="K16" s="40">
        <f>'Margens Bruta e EBITDA (ex-SFH)'!K16</f>
        <v>0.34775976608277009</v>
      </c>
      <c r="L16" s="40">
        <f>'Margens Bruta e EBITDA (ex-SFH)'!L16</f>
        <v>0.22147078977129672</v>
      </c>
      <c r="M16" s="40">
        <f>'Margens Bruta e EBITDA (ex-SFH)'!M16</f>
        <v>0.32884714186789377</v>
      </c>
      <c r="N16" s="40">
        <f>'Margens Bruta e EBITDA (ex-SFH)'!N16</f>
        <v>0.34218231960079842</v>
      </c>
      <c r="O16" s="40">
        <f>'Margens Bruta e EBITDA (ex-SFH)'!O16</f>
        <v>0.35886035219095536</v>
      </c>
      <c r="P16" s="40">
        <f>'Margens Bruta e EBITDA (ex-SFH)'!P16</f>
        <v>0.29003391107761867</v>
      </c>
      <c r="Q16" s="40">
        <f>'Margens Bruta e EBITDA (ex-SFH)'!Q16</f>
        <v>0.27153094034220504</v>
      </c>
      <c r="R16" s="40">
        <f>'Margens Bruta e EBITDA (ex-SFH)'!R16</f>
        <v>0.3156818572465962</v>
      </c>
      <c r="S16" s="40">
        <f>'Margens Bruta e EBITDA (ex-SFH)'!S16</f>
        <v>0.27970703016241216</v>
      </c>
      <c r="T16" s="40">
        <f>'Margens Bruta e EBITDA (ex-SFH)'!T16</f>
        <v>-0.12866469438925157</v>
      </c>
    </row>
    <row r="17" spans="1:20" x14ac:dyDescent="0.2">
      <c r="A17" s="47"/>
      <c r="B17" s="43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x14ac:dyDescent="0.2">
      <c r="A18" s="53" t="s">
        <v>392</v>
      </c>
      <c r="B18" s="57">
        <f>'Margens Bruta e EBITDA (ex-SFH)'!B18</f>
        <v>2793</v>
      </c>
      <c r="C18" s="57">
        <f>'Margens Bruta e EBITDA (ex-SFH)'!C18</f>
        <v>1007</v>
      </c>
      <c r="D18" s="57">
        <f>'Margens Bruta e EBITDA (ex-SFH)'!D18</f>
        <v>1142</v>
      </c>
      <c r="E18" s="57">
        <f>'Margens Bruta e EBITDA (ex-SFH)'!E18</f>
        <v>331</v>
      </c>
      <c r="F18" s="57">
        <f>'Margens Bruta e EBITDA (ex-SFH)'!F18</f>
        <v>26</v>
      </c>
      <c r="G18" s="57">
        <f>'Margens Bruta e EBITDA (ex-SFH)'!G18</f>
        <v>88</v>
      </c>
      <c r="H18" s="57">
        <f>'Margens Bruta e EBITDA (ex-SFH)'!H18</f>
        <v>31</v>
      </c>
      <c r="I18" s="57">
        <f>'Margens Bruta e EBITDA (ex-SFH)'!I18</f>
        <v>768</v>
      </c>
      <c r="J18" s="57">
        <f>'Margens Bruta e EBITDA (ex-SFH)'!J18</f>
        <v>459</v>
      </c>
      <c r="K18" s="57">
        <f>'Margens Bruta e EBITDA (ex-SFH)'!K18</f>
        <v>1586</v>
      </c>
      <c r="L18" s="57">
        <f>'Margens Bruta e EBITDA (ex-SFH)'!L18</f>
        <v>133</v>
      </c>
      <c r="M18" s="57">
        <f>'Margens Bruta e EBITDA (ex-SFH)'!M18</f>
        <v>507</v>
      </c>
      <c r="N18" s="57">
        <f>'Margens Bruta e EBITDA (ex-SFH)'!N18</f>
        <v>0</v>
      </c>
      <c r="O18" s="57">
        <f>'Margens Bruta e EBITDA (ex-SFH)'!O18</f>
        <v>0</v>
      </c>
      <c r="P18" s="57">
        <f>'Margens Bruta e EBITDA (ex-SFH)'!P18</f>
        <v>0</v>
      </c>
      <c r="Q18" s="57">
        <f>'Margens Bruta e EBITDA (ex-SFH)'!Q18</f>
        <v>0</v>
      </c>
      <c r="R18" s="57">
        <f>'Margens Bruta e EBITDA (ex-SFH)'!R18</f>
        <v>0</v>
      </c>
      <c r="S18" s="57">
        <f>'Margens Bruta e EBITDA (ex-SFH)'!S18</f>
        <v>0</v>
      </c>
      <c r="T18" s="57">
        <f>'Margens Bruta e EBITDA (ex-SFH)'!T18</f>
        <v>0</v>
      </c>
    </row>
    <row r="19" spans="1:20" x14ac:dyDescent="0.2">
      <c r="A19" s="46" t="s">
        <v>422</v>
      </c>
      <c r="B19" s="39">
        <f>'Margens Bruta e EBITDA (ex-SFH)'!B19</f>
        <v>45182</v>
      </c>
      <c r="C19" s="39">
        <f>'Margens Bruta e EBITDA (ex-SFH)'!C19</f>
        <v>67194</v>
      </c>
      <c r="D19" s="39">
        <f>'Margens Bruta e EBITDA (ex-SFH)'!D19</f>
        <v>29255</v>
      </c>
      <c r="E19" s="39">
        <f>'Margens Bruta e EBITDA (ex-SFH)'!E19</f>
        <v>24075.822580000116</v>
      </c>
      <c r="F19" s="39">
        <f>'Margens Bruta e EBITDA (ex-SFH)'!F19</f>
        <v>25249.177419999869</v>
      </c>
      <c r="G19" s="39">
        <f>'Margens Bruta e EBITDA (ex-SFH)'!G19</f>
        <v>25204</v>
      </c>
      <c r="H19" s="39">
        <f>'Margens Bruta e EBITDA (ex-SFH)'!H19</f>
        <v>13344</v>
      </c>
      <c r="I19" s="39">
        <f>'Margens Bruta e EBITDA (ex-SFH)'!I19</f>
        <v>23918.97381380439</v>
      </c>
      <c r="J19" s="39">
        <f>'Margens Bruta e EBITDA (ex-SFH)'!J19</f>
        <v>44137.401989999998</v>
      </c>
      <c r="K19" s="39">
        <f>'Margens Bruta e EBITDA (ex-SFH)'!K19</f>
        <v>92095</v>
      </c>
      <c r="L19" s="39">
        <f>'Margens Bruta e EBITDA (ex-SFH)'!L19</f>
        <v>20161.035829999993</v>
      </c>
      <c r="M19" s="39">
        <f>'Margens Bruta e EBITDA (ex-SFH)'!M19</f>
        <v>59393</v>
      </c>
      <c r="N19" s="39">
        <f>'Margens Bruta e EBITDA (ex-SFH)'!N19</f>
        <v>29665.869439999966</v>
      </c>
      <c r="O19" s="39">
        <f>'Margens Bruta e EBITDA (ex-SFH)'!O19</f>
        <v>18402</v>
      </c>
      <c r="P19" s="39">
        <f>'Margens Bruta e EBITDA (ex-SFH)'!P19</f>
        <v>12316</v>
      </c>
      <c r="Q19" s="39">
        <f>'Margens Bruta e EBITDA (ex-SFH)'!Q19</f>
        <v>27107.922940252116</v>
      </c>
      <c r="R19" s="39">
        <f>'Margens Bruta e EBITDA (ex-SFH)'!R19</f>
        <v>15779.041952613865</v>
      </c>
      <c r="S19" s="39">
        <f>'Margens Bruta e EBITDA (ex-SFH)'!S19</f>
        <v>28470.783656931726</v>
      </c>
      <c r="T19" s="39">
        <f>'Margens Bruta e EBITDA (ex-SFH)'!T19</f>
        <v>-2132.6003283354794</v>
      </c>
    </row>
    <row r="20" spans="1:20" x14ac:dyDescent="0.2">
      <c r="A20" s="47" t="s">
        <v>423</v>
      </c>
      <c r="B20" s="38">
        <f>'Margens Bruta e EBITDA (ex-SFH)'!B20</f>
        <v>0.220421504537028</v>
      </c>
      <c r="C20" s="38">
        <f>'Margens Bruta e EBITDA (ex-SFH)'!C20</f>
        <v>0.23699246635252955</v>
      </c>
      <c r="D20" s="38">
        <f>'Margens Bruta e EBITDA (ex-SFH)'!D20</f>
        <v>0.18380297175886659</v>
      </c>
      <c r="E20" s="38">
        <f>'Margens Bruta e EBITDA (ex-SFH)'!E20</f>
        <v>0.163505267039496</v>
      </c>
      <c r="F20" s="38">
        <f>'Margens Bruta e EBITDA (ex-SFH)'!F20</f>
        <v>0.19601419300780762</v>
      </c>
      <c r="G20" s="38">
        <f>'Margens Bruta e EBITDA (ex-SFH)'!G20</f>
        <v>0.14025286025909273</v>
      </c>
      <c r="H20" s="38">
        <f>'Margens Bruta e EBITDA (ex-SFH)'!H20</f>
        <v>0.13402703842831604</v>
      </c>
      <c r="I20" s="38">
        <f>'Margens Bruta e EBITDA (ex-SFH)'!I20</f>
        <v>0.21894457803936518</v>
      </c>
      <c r="J20" s="38">
        <f>'Margens Bruta e EBITDA (ex-SFH)'!J20</f>
        <v>0.29557351595146253</v>
      </c>
      <c r="K20" s="38">
        <f>'Margens Bruta e EBITDA (ex-SFH)'!K20</f>
        <v>0.35385360193342885</v>
      </c>
      <c r="L20" s="38">
        <f>'Margens Bruta e EBITDA (ex-SFH)'!L20</f>
        <v>0.22294150888172795</v>
      </c>
      <c r="M20" s="38">
        <f>'Margens Bruta e EBITDA (ex-SFH)'!M20</f>
        <v>0.33167846851475419</v>
      </c>
      <c r="N20" s="38">
        <f>'Margens Bruta e EBITDA (ex-SFH)'!N20</f>
        <v>0.34218231960079842</v>
      </c>
      <c r="O20" s="38">
        <f>'Margens Bruta e EBITDA (ex-SFH)'!O20</f>
        <v>0.35886035219095536</v>
      </c>
      <c r="P20" s="38">
        <f>'Margens Bruta e EBITDA (ex-SFH)'!P20</f>
        <v>0.29003391107761867</v>
      </c>
      <c r="Q20" s="38">
        <f>'Margens Bruta e EBITDA (ex-SFH)'!Q20</f>
        <v>0.27153094034220504</v>
      </c>
      <c r="R20" s="38">
        <f>'Margens Bruta e EBITDA (ex-SFH)'!R20</f>
        <v>0.3156818572465962</v>
      </c>
      <c r="S20" s="38">
        <f>'Margens Bruta e EBITDA (ex-SFH)'!S20</f>
        <v>0.27970703016241216</v>
      </c>
      <c r="T20" s="38">
        <f>'Margens Bruta e EBITDA (ex-SFH)'!T20</f>
        <v>-0.12866469438925157</v>
      </c>
    </row>
    <row r="23" spans="1:20" ht="33.75" x14ac:dyDescent="0.2">
      <c r="A23" s="54" t="s">
        <v>419</v>
      </c>
    </row>
    <row r="25" spans="1:20" ht="12" customHeight="1" x14ac:dyDescent="0.2">
      <c r="B25" s="51"/>
      <c r="C25" s="51"/>
      <c r="D25" s="51"/>
      <c r="E25" s="51"/>
      <c r="F25" s="51"/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FD867-148E-4A03-8D26-3A6B3D21330C}">
  <sheetPr>
    <tabColor rgb="FF182842"/>
  </sheetPr>
  <dimension ref="A2:T149"/>
  <sheetViews>
    <sheetView showGridLines="0" zoomScaleNormal="100" workbookViewId="0"/>
  </sheetViews>
  <sheetFormatPr defaultColWidth="0" defaultRowHeight="12" outlineLevelRow="1" x14ac:dyDescent="0.2"/>
  <cols>
    <col min="1" max="1" width="41.28515625" style="1" bestFit="1" customWidth="1"/>
    <col min="2" max="7" width="8.85546875" style="1" customWidth="1"/>
    <col min="8" max="20" width="8.85546875" style="2" customWidth="1"/>
    <col min="21" max="21" width="8.85546875" style="1" hidden="1" customWidth="1"/>
    <col min="22" max="16384" width="8.85546875" style="1" hidden="1"/>
  </cols>
  <sheetData>
    <row r="2" spans="1:20" ht="15" x14ac:dyDescent="0.25">
      <c r="A2"/>
      <c r="B2"/>
      <c r="C2"/>
      <c r="D2"/>
      <c r="E2"/>
      <c r="F2"/>
      <c r="G2"/>
    </row>
    <row r="5" spans="1:20" x14ac:dyDescent="0.2">
      <c r="A5" s="5" t="s">
        <v>166</v>
      </c>
      <c r="B5" s="3" t="s">
        <v>381</v>
      </c>
      <c r="C5" s="3" t="s">
        <v>371</v>
      </c>
      <c r="D5" s="3" t="s">
        <v>369</v>
      </c>
      <c r="E5" s="3" t="s">
        <v>361</v>
      </c>
      <c r="F5" s="3" t="s">
        <v>332</v>
      </c>
      <c r="G5" s="3" t="s">
        <v>329</v>
      </c>
      <c r="H5" s="3" t="s">
        <v>316</v>
      </c>
      <c r="I5" s="3" t="s">
        <v>307</v>
      </c>
      <c r="J5" s="3" t="s">
        <v>302</v>
      </c>
      <c r="K5" s="3" t="s">
        <v>292</v>
      </c>
      <c r="L5" s="3" t="s">
        <v>287</v>
      </c>
      <c r="M5" s="3" t="s">
        <v>278</v>
      </c>
      <c r="N5" s="3" t="s">
        <v>159</v>
      </c>
      <c r="O5" s="3" t="s">
        <v>160</v>
      </c>
      <c r="P5" s="3" t="s">
        <v>161</v>
      </c>
      <c r="Q5" s="3" t="s">
        <v>162</v>
      </c>
      <c r="R5" s="3" t="s">
        <v>163</v>
      </c>
      <c r="S5" s="3" t="s">
        <v>164</v>
      </c>
      <c r="T5" s="3" t="s">
        <v>165</v>
      </c>
    </row>
    <row r="6" spans="1:20" x14ac:dyDescent="0.2">
      <c r="A6" s="18" t="s">
        <v>167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2">
      <c r="A7" s="6" t="s">
        <v>168</v>
      </c>
      <c r="B7" s="7">
        <f>'Balanço Patrimonial'!B7</f>
        <v>16204</v>
      </c>
      <c r="C7" s="7">
        <f>'Balanço Patrimonial'!C7</f>
        <v>33473</v>
      </c>
      <c r="D7" s="7">
        <f>'Balanço Patrimonial'!D7</f>
        <v>32215</v>
      </c>
      <c r="E7" s="7">
        <f>'Balanço Patrimonial'!E7</f>
        <v>32685</v>
      </c>
      <c r="F7" s="7">
        <f>'Balanço Patrimonial'!F7</f>
        <v>15916.277</v>
      </c>
      <c r="G7" s="7">
        <f>'Balanço Patrimonial'!G7</f>
        <v>14831.493</v>
      </c>
      <c r="H7" s="7">
        <f>'Balanço Patrimonial'!H7</f>
        <v>2257</v>
      </c>
      <c r="I7" s="7">
        <f>'Balanço Patrimonial'!I7</f>
        <v>4620</v>
      </c>
      <c r="J7" s="7">
        <f>'Balanço Patrimonial'!J7</f>
        <v>2686</v>
      </c>
      <c r="K7" s="7">
        <f>'Balanço Patrimonial'!K7</f>
        <v>792431</v>
      </c>
      <c r="L7" s="7">
        <f>'Balanço Patrimonial'!L7</f>
        <v>811605</v>
      </c>
      <c r="M7" s="7">
        <f>'Balanço Patrimonial'!M7</f>
        <v>899712</v>
      </c>
      <c r="N7" s="7">
        <f>'Balanço Patrimonial'!N7</f>
        <v>1012152.2677099999</v>
      </c>
      <c r="O7" s="7">
        <f>'Balanço Patrimonial'!O7</f>
        <v>37645</v>
      </c>
      <c r="P7" s="7">
        <f>'Balanço Patrimonial'!P7</f>
        <v>47284.666120000009</v>
      </c>
      <c r="Q7" s="7">
        <f>'Balanço Patrimonial'!Q7</f>
        <v>76499.729099999997</v>
      </c>
      <c r="R7" s="7">
        <f>'Balanço Patrimonial'!R7</f>
        <v>49939.039660000002</v>
      </c>
      <c r="S7" s="7">
        <f>'Balanço Patrimonial'!S7</f>
        <v>39288.536120000004</v>
      </c>
      <c r="T7" s="7">
        <f>'Balanço Patrimonial'!T7</f>
        <v>30567.598810000003</v>
      </c>
    </row>
    <row r="8" spans="1:20" x14ac:dyDescent="0.2">
      <c r="A8" s="6" t="s">
        <v>169</v>
      </c>
      <c r="B8" s="7">
        <f>'Balanço Patrimonial'!B8</f>
        <v>1687</v>
      </c>
      <c r="C8" s="7">
        <f>'Balanço Patrimonial'!C8</f>
        <v>1399</v>
      </c>
      <c r="D8" s="7">
        <f>'Balanço Patrimonial'!D8</f>
        <v>1227</v>
      </c>
      <c r="E8" s="7">
        <f>'Balanço Patrimonial'!E8</f>
        <v>950</v>
      </c>
      <c r="F8" s="7">
        <f>'Balanço Patrimonial'!F8</f>
        <v>700.255</v>
      </c>
      <c r="G8" s="7">
        <f>'Balanço Patrimonial'!G8</f>
        <v>454.64800000000002</v>
      </c>
      <c r="H8" s="7">
        <f>'Balanço Patrimonial'!H8</f>
        <v>198</v>
      </c>
      <c r="I8" s="7">
        <f>'Balanço Patrimonial'!I8</f>
        <v>2495</v>
      </c>
      <c r="J8" s="7">
        <f>'Balanço Patrimonial'!J8</f>
        <v>2519</v>
      </c>
      <c r="K8" s="7">
        <f>'Balanço Patrimonial'!K8</f>
        <v>392</v>
      </c>
      <c r="L8" s="7">
        <f>'Balanço Patrimonial'!L8</f>
        <v>3284</v>
      </c>
      <c r="M8" s="7">
        <f>'Balanço Patrimonial'!M8</f>
        <v>2</v>
      </c>
      <c r="N8" s="7">
        <f>'Balanço Patrimonial'!N8</f>
        <v>5688.4008100000001</v>
      </c>
      <c r="O8" s="7">
        <f>'Balanço Patrimonial'!O8</f>
        <v>2207.7412899999999</v>
      </c>
      <c r="P8" s="7">
        <f>'Balanço Patrimonial'!P8</f>
        <v>1125.3144399999999</v>
      </c>
      <c r="Q8" s="7">
        <f>'Balanço Patrimonial'!Q8</f>
        <v>548.48277000000007</v>
      </c>
      <c r="R8" s="7">
        <f>'Balanço Patrimonial'!R8</f>
        <v>4038.7861799999996</v>
      </c>
      <c r="S8" s="7">
        <f>'Balanço Patrimonial'!S8</f>
        <v>3559.4477999999999</v>
      </c>
      <c r="T8" s="7">
        <f>'Balanço Patrimonial'!T8</f>
        <v>3017.0616</v>
      </c>
    </row>
    <row r="9" spans="1:20" x14ac:dyDescent="0.2">
      <c r="A9" s="6" t="s">
        <v>170</v>
      </c>
      <c r="B9" s="7">
        <f>'Balanço Patrimonial'!B9</f>
        <v>475217</v>
      </c>
      <c r="C9" s="7">
        <f>'Balanço Patrimonial'!C9</f>
        <v>504641</v>
      </c>
      <c r="D9" s="7">
        <f>'Balanço Patrimonial'!D9</f>
        <v>474728</v>
      </c>
      <c r="E9" s="7">
        <f>'Balanço Patrimonial'!E9</f>
        <v>392783</v>
      </c>
      <c r="F9" s="7">
        <f>'Balanço Patrimonial'!F9</f>
        <v>466333.00300000003</v>
      </c>
      <c r="G9" s="7">
        <f>'Balanço Patrimonial'!G9</f>
        <v>501493.50199999998</v>
      </c>
      <c r="H9" s="7">
        <f>'Balanço Patrimonial'!H9</f>
        <v>515786</v>
      </c>
      <c r="I9" s="7">
        <f>'Balanço Patrimonial'!I9</f>
        <v>460223</v>
      </c>
      <c r="J9" s="7">
        <f>'Balanço Patrimonial'!J9</f>
        <v>646395</v>
      </c>
      <c r="K9" s="7">
        <f>'Balanço Patrimonial'!K9</f>
        <v>11425</v>
      </c>
      <c r="L9" s="7">
        <f>'Balanço Patrimonial'!L9</f>
        <v>21159</v>
      </c>
      <c r="M9" s="7">
        <f>'Balanço Patrimonial'!M9</f>
        <v>22102</v>
      </c>
      <c r="N9" s="7">
        <f>'Balanço Patrimonial'!N9</f>
        <v>0</v>
      </c>
      <c r="O9" s="7">
        <f>'Balanço Patrimonial'!O9</f>
        <v>0</v>
      </c>
      <c r="P9" s="7">
        <f>'Balanço Patrimonial'!P9</f>
        <v>1436.9810199999999</v>
      </c>
      <c r="Q9" s="7">
        <f>'Balanço Patrimonial'!Q9</f>
        <v>0</v>
      </c>
      <c r="R9" s="7">
        <f>'Balanço Patrimonial'!R9</f>
        <v>1784.5393200000001</v>
      </c>
      <c r="S9" s="7">
        <f>'Balanço Patrimonial'!S9</f>
        <v>3587.1229299999995</v>
      </c>
      <c r="T9" s="7">
        <f>'Balanço Patrimonial'!T9</f>
        <v>3946.9974500000003</v>
      </c>
    </row>
    <row r="10" spans="1:20" x14ac:dyDescent="0.2">
      <c r="A10" s="6" t="s">
        <v>171</v>
      </c>
      <c r="B10" s="7">
        <f>'Balanço Patrimonial'!B10</f>
        <v>444018</v>
      </c>
      <c r="C10" s="7">
        <f>'Balanço Patrimonial'!C10</f>
        <v>359637</v>
      </c>
      <c r="D10" s="7">
        <f>'Balanço Patrimonial'!D10</f>
        <v>318052</v>
      </c>
      <c r="E10" s="7">
        <f>'Balanço Patrimonial'!E10</f>
        <v>296285</v>
      </c>
      <c r="F10" s="7">
        <f>'Balanço Patrimonial'!F10</f>
        <v>241084.42800000001</v>
      </c>
      <c r="G10" s="7">
        <f>'Balanço Patrimonial'!G10</f>
        <v>250706.802</v>
      </c>
      <c r="H10" s="7">
        <f>'Balanço Patrimonial'!H10</f>
        <v>233707</v>
      </c>
      <c r="I10" s="7">
        <f>'Balanço Patrimonial'!I10</f>
        <v>271790</v>
      </c>
      <c r="J10" s="7">
        <f>'Balanço Patrimonial'!J10</f>
        <v>283367</v>
      </c>
      <c r="K10" s="7">
        <f>'Balanço Patrimonial'!K10</f>
        <v>305909</v>
      </c>
      <c r="L10" s="7">
        <f>'Balanço Patrimonial'!L10</f>
        <v>250276</v>
      </c>
      <c r="M10" s="7">
        <f>'Balanço Patrimonial'!M10</f>
        <v>209145</v>
      </c>
      <c r="N10" s="7">
        <f>'Balanço Patrimonial'!N10</f>
        <v>191049.70976</v>
      </c>
      <c r="O10" s="7">
        <f>'Balanço Patrimonial'!O10</f>
        <v>153872.56284000003</v>
      </c>
      <c r="P10" s="7">
        <f>'Balanço Patrimonial'!P10</f>
        <v>116719.79075999997</v>
      </c>
      <c r="Q10" s="7">
        <f>'Balanço Patrimonial'!Q10</f>
        <v>115626.18212</v>
      </c>
      <c r="R10" s="7">
        <f>'Balanço Patrimonial'!R10</f>
        <v>101389.55036417035</v>
      </c>
      <c r="S10" s="7">
        <f>'Balanço Patrimonial'!S10</f>
        <v>112779.59431239976</v>
      </c>
      <c r="T10" s="7">
        <f>'Balanço Patrimonial'!T10</f>
        <v>57275.103429999996</v>
      </c>
    </row>
    <row r="11" spans="1:20" x14ac:dyDescent="0.2">
      <c r="A11" s="6" t="s">
        <v>172</v>
      </c>
      <c r="B11" s="7">
        <f>'Balanço Patrimonial'!B11</f>
        <v>622780</v>
      </c>
      <c r="C11" s="7">
        <f>'Balanço Patrimonial'!C11</f>
        <v>660639</v>
      </c>
      <c r="D11" s="7">
        <f>'Balanço Patrimonial'!D11</f>
        <v>780852</v>
      </c>
      <c r="E11" s="7">
        <f>'Balanço Patrimonial'!E11</f>
        <v>787976</v>
      </c>
      <c r="F11" s="7">
        <f>'Balanço Patrimonial'!F11</f>
        <v>754853.478</v>
      </c>
      <c r="G11" s="7">
        <f>'Balanço Patrimonial'!G11</f>
        <v>717762.61</v>
      </c>
      <c r="H11" s="7">
        <f>'Balanço Patrimonial'!H11</f>
        <v>613352</v>
      </c>
      <c r="I11" s="7">
        <f>'Balanço Patrimonial'!I11</f>
        <v>394801</v>
      </c>
      <c r="J11" s="7">
        <f>'Balanço Patrimonial'!J11</f>
        <v>387732</v>
      </c>
      <c r="K11" s="7">
        <f>'Balanço Patrimonial'!K11</f>
        <v>303131</v>
      </c>
      <c r="L11" s="7">
        <f>'Balanço Patrimonial'!L11</f>
        <v>264695</v>
      </c>
      <c r="M11" s="7">
        <f>'Balanço Patrimonial'!M11</f>
        <v>263033</v>
      </c>
      <c r="N11" s="7">
        <f>'Balanço Patrimonial'!N11</f>
        <v>265001.90190000006</v>
      </c>
      <c r="O11" s="7">
        <f>'Balanço Patrimonial'!O11</f>
        <v>267583</v>
      </c>
      <c r="P11" s="7">
        <f>'Balanço Patrimonial'!P11</f>
        <v>269433.05517000001</v>
      </c>
      <c r="Q11" s="7">
        <f>'Balanço Patrimonial'!Q11</f>
        <v>211720.54915000004</v>
      </c>
      <c r="R11" s="7">
        <f>'Balanço Patrimonial'!R11</f>
        <v>89677.572546453579</v>
      </c>
      <c r="S11" s="7">
        <f>'Balanço Patrimonial'!S11</f>
        <v>89270.25165879626</v>
      </c>
      <c r="T11" s="7">
        <f>'Balanço Patrimonial'!T11</f>
        <v>81559.644100000005</v>
      </c>
    </row>
    <row r="12" spans="1:20" x14ac:dyDescent="0.2">
      <c r="A12" s="6" t="s">
        <v>175</v>
      </c>
      <c r="B12" s="7">
        <f>'Balanço Patrimonial'!B12</f>
        <v>5230</v>
      </c>
      <c r="C12" s="7">
        <f>'Balanço Patrimonial'!C12</f>
        <v>3527</v>
      </c>
      <c r="D12" s="7">
        <f>'Balanço Patrimonial'!D12</f>
        <v>1821</v>
      </c>
      <c r="E12" s="7">
        <f>'Balanço Patrimonial'!E12</f>
        <v>5512</v>
      </c>
      <c r="F12" s="7">
        <f>'Balanço Patrimonial'!F12</f>
        <v>4765.6170000000002</v>
      </c>
      <c r="G12" s="7">
        <f>'Balanço Patrimonial'!G12</f>
        <v>4407.1450000000004</v>
      </c>
      <c r="H12" s="7">
        <f>'Balanço Patrimonial'!H12</f>
        <v>1081</v>
      </c>
      <c r="I12" s="7">
        <f>'Balanço Patrimonial'!I12</f>
        <v>4638</v>
      </c>
      <c r="J12" s="7">
        <f>'Balanço Patrimonial'!J12</f>
        <v>5151</v>
      </c>
      <c r="K12" s="7">
        <f>'Balanço Patrimonial'!K12</f>
        <v>3867</v>
      </c>
      <c r="L12" s="7">
        <f>'Balanço Patrimonial'!L12</f>
        <v>1414</v>
      </c>
      <c r="M12" s="7">
        <f>'Balanço Patrimonial'!M12</f>
        <v>988</v>
      </c>
      <c r="N12" s="7">
        <f>'Balanço Patrimonial'!N12</f>
        <v>293.58685000000003</v>
      </c>
      <c r="O12" s="7">
        <f>'Balanço Patrimonial'!O12</f>
        <v>439.27290999999991</v>
      </c>
      <c r="P12" s="7">
        <f>'Balanço Patrimonial'!P12</f>
        <v>384.81763999999998</v>
      </c>
      <c r="Q12" s="7">
        <f>'Balanço Patrimonial'!Q12</f>
        <v>494.20971000000003</v>
      </c>
      <c r="R12" s="7">
        <f>'Balanço Patrimonial'!R12</f>
        <v>505.87458000000004</v>
      </c>
      <c r="S12" s="7">
        <f>'Balanço Patrimonial'!S12</f>
        <v>481.79758000000004</v>
      </c>
      <c r="T12" s="7">
        <f>'Balanço Patrimonial'!T12</f>
        <v>458.27896000000004</v>
      </c>
    </row>
    <row r="13" spans="1:20" hidden="1" outlineLevel="1" x14ac:dyDescent="0.2">
      <c r="A13" s="6" t="s">
        <v>173</v>
      </c>
      <c r="B13" s="7">
        <f>'Balanço Patrimonial'!B13</f>
        <v>0</v>
      </c>
      <c r="C13" s="7">
        <f>'Balanço Patrimonial'!C13</f>
        <v>0</v>
      </c>
      <c r="D13" s="7">
        <f>'Balanço Patrimonial'!D13</f>
        <v>0</v>
      </c>
      <c r="E13" s="7">
        <f>'Balanço Patrimonial'!E13</f>
        <v>0</v>
      </c>
      <c r="F13" s="7">
        <f>'Balanço Patrimonial'!F13</f>
        <v>0</v>
      </c>
      <c r="G13" s="7">
        <f>'Balanço Patrimonial'!G13</f>
        <v>0</v>
      </c>
      <c r="H13" s="7">
        <f>'Balanço Patrimonial'!H13</f>
        <v>0</v>
      </c>
      <c r="I13" s="7">
        <f>'Balanço Patrimonial'!I13</f>
        <v>0</v>
      </c>
      <c r="J13" s="7">
        <f>'Balanço Patrimonial'!J13</f>
        <v>0</v>
      </c>
      <c r="K13" s="7">
        <f>'Balanço Patrimonial'!K13</f>
        <v>0</v>
      </c>
      <c r="L13" s="7">
        <f>'Balanço Patrimonial'!L13</f>
        <v>0</v>
      </c>
      <c r="M13" s="7">
        <f>'Balanço Patrimonial'!M13</f>
        <v>0</v>
      </c>
      <c r="N13" s="7">
        <f>'Balanço Patrimonial'!N13</f>
        <v>0</v>
      </c>
      <c r="O13" s="7">
        <f>'Balanço Patrimonial'!O13</f>
        <v>0</v>
      </c>
      <c r="P13" s="7">
        <f>'Balanço Patrimonial'!P13</f>
        <v>0</v>
      </c>
      <c r="Q13" s="7">
        <f>'Balanço Patrimonial'!Q13</f>
        <v>0</v>
      </c>
      <c r="R13" s="7">
        <f>'Balanço Patrimonial'!R13</f>
        <v>-1.8189894035458565E-15</v>
      </c>
      <c r="S13" s="7">
        <f>'Balanço Patrimonial'!S13</f>
        <v>134.17034761689715</v>
      </c>
      <c r="T13" s="7">
        <f>'Balanço Patrimonial'!T13</f>
        <v>0</v>
      </c>
    </row>
    <row r="14" spans="1:20" hidden="1" outlineLevel="1" x14ac:dyDescent="0.2">
      <c r="A14" s="6" t="s">
        <v>183</v>
      </c>
      <c r="B14" s="7">
        <f>'Balanço Patrimonial'!B14</f>
        <v>0</v>
      </c>
      <c r="C14" s="7">
        <f>'Balanço Patrimonial'!C14</f>
        <v>0</v>
      </c>
      <c r="D14" s="7">
        <f>'Balanço Patrimonial'!D14</f>
        <v>0</v>
      </c>
      <c r="E14" s="7" t="str">
        <f>'Balanço Patrimonial'!E14</f>
        <v>-</v>
      </c>
      <c r="F14" s="7">
        <f>'Balanço Patrimonial'!F14</f>
        <v>0</v>
      </c>
      <c r="G14" s="7">
        <f>'Balanço Patrimonial'!G14</f>
        <v>0</v>
      </c>
      <c r="H14" s="7">
        <f>'Balanço Patrimonial'!H14</f>
        <v>0</v>
      </c>
      <c r="I14" s="7">
        <f>'Balanço Patrimonial'!I14</f>
        <v>0</v>
      </c>
      <c r="J14" s="7">
        <f>'Balanço Patrimonial'!J14</f>
        <v>0</v>
      </c>
      <c r="K14" s="7">
        <f>'Balanço Patrimonial'!K14</f>
        <v>0</v>
      </c>
      <c r="L14" s="7">
        <f>'Balanço Patrimonial'!L14</f>
        <v>0</v>
      </c>
      <c r="M14" s="7">
        <f>'Balanço Patrimonial'!M14</f>
        <v>0</v>
      </c>
      <c r="N14" s="7">
        <f>'Balanço Patrimonial'!N14</f>
        <v>0</v>
      </c>
      <c r="O14" s="7">
        <f>'Balanço Patrimonial'!O14</f>
        <v>0</v>
      </c>
      <c r="P14" s="7">
        <f>'Balanço Patrimonial'!P14</f>
        <v>0</v>
      </c>
      <c r="Q14" s="7">
        <f>'Balanço Patrimonial'!Q14</f>
        <v>0</v>
      </c>
      <c r="R14" s="7">
        <f>'Balanço Patrimonial'!R14</f>
        <v>0</v>
      </c>
      <c r="S14" s="7">
        <f>'Balanço Patrimonial'!S14</f>
        <v>0</v>
      </c>
      <c r="T14" s="7">
        <f>'Balanço Patrimonial'!T14</f>
        <v>0</v>
      </c>
    </row>
    <row r="15" spans="1:20" hidden="1" outlineLevel="1" x14ac:dyDescent="0.2">
      <c r="A15" s="6" t="s">
        <v>176</v>
      </c>
      <c r="B15" s="7">
        <f>'Balanço Patrimonial'!B15</f>
        <v>4398</v>
      </c>
      <c r="C15" s="7">
        <f>'Balanço Patrimonial'!C15</f>
        <v>2282</v>
      </c>
      <c r="D15" s="7">
        <f>'Balanço Patrimonial'!D15</f>
        <v>0</v>
      </c>
      <c r="E15" s="7" t="str">
        <f>'Balanço Patrimonial'!E15</f>
        <v>-</v>
      </c>
      <c r="F15" s="7">
        <f>'Balanço Patrimonial'!F15</f>
        <v>0</v>
      </c>
      <c r="G15" s="7">
        <f>'Balanço Patrimonial'!G15</f>
        <v>0</v>
      </c>
      <c r="H15" s="7">
        <f>'Balanço Patrimonial'!H15</f>
        <v>0</v>
      </c>
      <c r="I15" s="7">
        <f>'Balanço Patrimonial'!I15</f>
        <v>0</v>
      </c>
      <c r="J15" s="7">
        <f>'Balanço Patrimonial'!J15</f>
        <v>0</v>
      </c>
      <c r="K15" s="7">
        <f>'Balanço Patrimonial'!K15</f>
        <v>0</v>
      </c>
      <c r="L15" s="7">
        <f>'Balanço Patrimonial'!L15</f>
        <v>0</v>
      </c>
      <c r="M15" s="7">
        <f>'Balanço Patrimonial'!M15</f>
        <v>0</v>
      </c>
      <c r="N15" s="7">
        <f>'Balanço Patrimonial'!N15</f>
        <v>0</v>
      </c>
      <c r="O15" s="7">
        <f>'Balanço Patrimonial'!O15</f>
        <v>0</v>
      </c>
      <c r="P15" s="7">
        <f>'Balanço Patrimonial'!P15</f>
        <v>0</v>
      </c>
      <c r="Q15" s="7">
        <f>'Balanço Patrimonial'!Q15</f>
        <v>0</v>
      </c>
      <c r="R15" s="7">
        <f>'Balanço Patrimonial'!R15</f>
        <v>0</v>
      </c>
      <c r="S15" s="7">
        <f>'Balanço Patrimonial'!S15</f>
        <v>0</v>
      </c>
      <c r="T15" s="7">
        <f>'Balanço Patrimonial'!T15</f>
        <v>0</v>
      </c>
    </row>
    <row r="16" spans="1:20" hidden="1" outlineLevel="1" x14ac:dyDescent="0.2">
      <c r="A16" s="6" t="s">
        <v>177</v>
      </c>
      <c r="B16" s="7">
        <f>'Balanço Patrimonial'!B16</f>
        <v>0</v>
      </c>
      <c r="C16" s="7">
        <f>'Balanço Patrimonial'!C16</f>
        <v>0</v>
      </c>
      <c r="D16" s="7">
        <f>'Balanço Patrimonial'!D16</f>
        <v>0</v>
      </c>
      <c r="E16" s="7" t="str">
        <f>'Balanço Patrimonial'!E16</f>
        <v>-</v>
      </c>
      <c r="F16" s="7">
        <f>'Balanço Patrimonial'!F16</f>
        <v>0</v>
      </c>
      <c r="G16" s="7">
        <f>'Balanço Patrimonial'!G16</f>
        <v>0</v>
      </c>
      <c r="H16" s="7">
        <f>'Balanço Patrimonial'!H16</f>
        <v>0</v>
      </c>
      <c r="I16" s="7">
        <f>'Balanço Patrimonial'!I16</f>
        <v>0</v>
      </c>
      <c r="J16" s="7">
        <f>'Balanço Patrimonial'!J16</f>
        <v>0</v>
      </c>
      <c r="K16" s="7">
        <f>'Balanço Patrimonial'!K16</f>
        <v>0</v>
      </c>
      <c r="L16" s="7">
        <f>'Balanço Patrimonial'!L16</f>
        <v>0</v>
      </c>
      <c r="M16" s="7">
        <f>'Balanço Patrimonial'!M16</f>
        <v>0</v>
      </c>
      <c r="N16" s="7">
        <f>'Balanço Patrimonial'!N16</f>
        <v>0</v>
      </c>
      <c r="O16" s="7">
        <f>'Balanço Patrimonial'!O16</f>
        <v>0</v>
      </c>
      <c r="P16" s="7">
        <f>'Balanço Patrimonial'!P16</f>
        <v>0</v>
      </c>
      <c r="Q16" s="7">
        <f>'Balanço Patrimonial'!Q16</f>
        <v>0</v>
      </c>
      <c r="R16" s="7">
        <f>'Balanço Patrimonial'!R16</f>
        <v>0</v>
      </c>
      <c r="S16" s="7">
        <f>'Balanço Patrimonial'!S16</f>
        <v>0</v>
      </c>
      <c r="T16" s="7">
        <f>'Balanço Patrimonial'!T16</f>
        <v>0</v>
      </c>
    </row>
    <row r="17" spans="1:20" collapsed="1" x14ac:dyDescent="0.2">
      <c r="A17" s="6" t="s">
        <v>174</v>
      </c>
      <c r="B17" s="7">
        <f>'Balanço Patrimonial'!B17</f>
        <v>3071</v>
      </c>
      <c r="C17" s="7">
        <f>'Balanço Patrimonial'!C17</f>
        <v>2030</v>
      </c>
      <c r="D17" s="7">
        <f>'Balanço Patrimonial'!D17</f>
        <v>2419</v>
      </c>
      <c r="E17" s="7">
        <f>'Balanço Patrimonial'!E17</f>
        <v>1004</v>
      </c>
      <c r="F17" s="7">
        <f>'Balanço Patrimonial'!F17</f>
        <v>3868.4969999999998</v>
      </c>
      <c r="G17" s="7">
        <f>'Balanço Patrimonial'!G17</f>
        <v>4711.33</v>
      </c>
      <c r="H17" s="7">
        <f>'Balanço Patrimonial'!H17</f>
        <v>5018</v>
      </c>
      <c r="I17" s="7">
        <f>'Balanço Patrimonial'!I17</f>
        <v>1398</v>
      </c>
      <c r="J17" s="7">
        <f>'Balanço Patrimonial'!J17</f>
        <v>2457</v>
      </c>
      <c r="K17" s="7">
        <f>'Balanço Patrimonial'!K17</f>
        <v>3139</v>
      </c>
      <c r="L17" s="7">
        <f>'Balanço Patrimonial'!L17</f>
        <v>2019</v>
      </c>
      <c r="M17" s="7">
        <f>'Balanço Patrimonial'!M17</f>
        <v>3379</v>
      </c>
      <c r="N17" s="7">
        <f>'Balanço Patrimonial'!N17</f>
        <v>406.38228000000072</v>
      </c>
      <c r="O17" s="7">
        <f>'Balanço Patrimonial'!O17</f>
        <v>1555.1586299999963</v>
      </c>
      <c r="P17" s="7">
        <f>'Balanço Patrimonial'!P17</f>
        <v>615.92859728875897</v>
      </c>
      <c r="Q17" s="7">
        <f>'Balanço Patrimonial'!Q17</f>
        <v>262.76454391931054</v>
      </c>
      <c r="R17" s="7">
        <f>'Balanço Patrimonial'!R17</f>
        <v>3268.1193899999398</v>
      </c>
      <c r="S17" s="7">
        <f>'Balanço Patrimonial'!S17</f>
        <v>1017.4622652429955</v>
      </c>
      <c r="T17" s="7">
        <f>'Balanço Patrimonial'!T17</f>
        <v>439.10369068172912</v>
      </c>
    </row>
    <row r="18" spans="1:20" ht="12.75" thickBot="1" x14ac:dyDescent="0.25">
      <c r="A18" s="16" t="s">
        <v>179</v>
      </c>
      <c r="B18" s="15">
        <f t="shared" ref="B18" si="0">SUM(B7:B17)</f>
        <v>1572605</v>
      </c>
      <c r="C18" s="15">
        <f t="shared" ref="C18:D18" si="1">SUM(C7:C17)</f>
        <v>1567628</v>
      </c>
      <c r="D18" s="15">
        <f t="shared" si="1"/>
        <v>1611314</v>
      </c>
      <c r="E18" s="15">
        <f t="shared" ref="E18:F18" si="2">SUM(E7:E17)</f>
        <v>1517195</v>
      </c>
      <c r="F18" s="15">
        <f t="shared" si="2"/>
        <v>1487521.5550000002</v>
      </c>
      <c r="G18" s="15">
        <f t="shared" ref="G18:H18" si="3">SUM(G7:G17)</f>
        <v>1494367.53</v>
      </c>
      <c r="H18" s="15">
        <f t="shared" si="3"/>
        <v>1371399</v>
      </c>
      <c r="I18" s="15">
        <f t="shared" ref="I18:J18" si="4">SUM(I7:I17)</f>
        <v>1139965</v>
      </c>
      <c r="J18" s="15">
        <f t="shared" si="4"/>
        <v>1330307</v>
      </c>
      <c r="K18" s="15">
        <f t="shared" ref="K18:L18" si="5">SUM(K7:K17)</f>
        <v>1420294</v>
      </c>
      <c r="L18" s="15">
        <f t="shared" si="5"/>
        <v>1354452</v>
      </c>
      <c r="M18" s="15">
        <f t="shared" ref="M18:T18" si="6">SUM(M7:M17)</f>
        <v>1398361</v>
      </c>
      <c r="N18" s="15">
        <f t="shared" si="6"/>
        <v>1474592.2493099999</v>
      </c>
      <c r="O18" s="15">
        <f t="shared" si="6"/>
        <v>463302.73567000008</v>
      </c>
      <c r="P18" s="15">
        <f t="shared" si="6"/>
        <v>437000.55374728871</v>
      </c>
      <c r="Q18" s="15">
        <f t="shared" si="6"/>
        <v>405151.91739391937</v>
      </c>
      <c r="R18" s="15">
        <f t="shared" si="6"/>
        <v>250603.4820406239</v>
      </c>
      <c r="S18" s="15">
        <f t="shared" si="6"/>
        <v>250118.3830140559</v>
      </c>
      <c r="T18" s="15">
        <f t="shared" si="6"/>
        <v>177263.78804068171</v>
      </c>
    </row>
    <row r="19" spans="1:20" ht="12.75" thickTop="1" x14ac:dyDescent="0.2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x14ac:dyDescent="0.2">
      <c r="A20" s="6" t="s">
        <v>171</v>
      </c>
      <c r="B20" s="7">
        <f>'Balanço Patrimonial'!B20</f>
        <v>125900</v>
      </c>
      <c r="C20" s="7">
        <f>'Balanço Patrimonial'!C20</f>
        <v>152451</v>
      </c>
      <c r="D20" s="7">
        <f>'Balanço Patrimonial'!D20</f>
        <v>122533</v>
      </c>
      <c r="E20" s="7">
        <f>'Balanço Patrimonial'!E20</f>
        <v>101226</v>
      </c>
      <c r="F20" s="7">
        <f>'Balanço Patrimonial'!F20</f>
        <v>118340.61599999999</v>
      </c>
      <c r="G20" s="7">
        <f>'Balanço Patrimonial'!G20</f>
        <v>89078.536999999997</v>
      </c>
      <c r="H20" s="7">
        <f>'Balanço Patrimonial'!H20</f>
        <v>85776</v>
      </c>
      <c r="I20" s="7">
        <f>'Balanço Patrimonial'!I20</f>
        <v>81194</v>
      </c>
      <c r="J20" s="7">
        <f>'Balanço Patrimonial'!J20</f>
        <v>100555</v>
      </c>
      <c r="K20" s="7">
        <f>'Balanço Patrimonial'!K20</f>
        <v>81956</v>
      </c>
      <c r="L20" s="7">
        <f>'Balanço Patrimonial'!L20</f>
        <v>40029</v>
      </c>
      <c r="M20" s="7">
        <f>'Balanço Patrimonial'!M20</f>
        <v>85496</v>
      </c>
      <c r="N20" s="7">
        <f>'Balanço Patrimonial'!N20</f>
        <v>59080.764870000014</v>
      </c>
      <c r="O20" s="7">
        <f>'Balanço Patrimonial'!O20</f>
        <v>60952.077140000001</v>
      </c>
      <c r="P20" s="7">
        <f>'Balanço Patrimonial'!P20</f>
        <v>93113.183510000003</v>
      </c>
      <c r="Q20" s="7">
        <f>'Balanço Patrimonial'!Q20</f>
        <v>85587.218030000004</v>
      </c>
      <c r="R20" s="7">
        <f>'Balanço Patrimonial'!R20</f>
        <v>63880.846638144387</v>
      </c>
      <c r="S20" s="7">
        <f>'Balanço Patrimonial'!S20</f>
        <v>54210.042710000009</v>
      </c>
      <c r="T20" s="7">
        <f>'Balanço Patrimonial'!T20</f>
        <v>65149.597139999991</v>
      </c>
    </row>
    <row r="21" spans="1:20" x14ac:dyDescent="0.2">
      <c r="A21" s="6" t="s">
        <v>170</v>
      </c>
      <c r="B21" s="7">
        <f>'Balanço Patrimonial'!B21</f>
        <v>6216</v>
      </c>
      <c r="C21" s="7">
        <f>'Balanço Patrimonial'!C21</f>
        <v>6312</v>
      </c>
      <c r="D21" s="7">
        <f>'Balanço Patrimonial'!D21</f>
        <v>4664</v>
      </c>
      <c r="E21" s="7">
        <f>'Balanço Patrimonial'!E21</f>
        <v>110616</v>
      </c>
      <c r="F21" s="7">
        <f>'Balanço Patrimonial'!F21</f>
        <v>114609.26700000001</v>
      </c>
      <c r="G21" s="7">
        <f>'Balanço Patrimonial'!G21</f>
        <v>112988.276</v>
      </c>
      <c r="H21" s="7">
        <f>'Balanço Patrimonial'!H21</f>
        <v>108280</v>
      </c>
      <c r="I21" s="7">
        <f>'Balanço Patrimonial'!I21</f>
        <v>106589</v>
      </c>
      <c r="J21" s="7">
        <f>'Balanço Patrimonial'!J21</f>
        <v>104537</v>
      </c>
      <c r="K21" s="7">
        <f>'Balanço Patrimonial'!K21</f>
        <v>102786</v>
      </c>
      <c r="L21" s="7">
        <f>'Balanço Patrimonial'!L21</f>
        <v>102018</v>
      </c>
      <c r="M21" s="7">
        <f>'Balanço Patrimonial'!M21</f>
        <v>100621</v>
      </c>
      <c r="N21" s="7">
        <f>'Balanço Patrimonial'!N21</f>
        <v>0</v>
      </c>
      <c r="O21" s="7">
        <f>'Balanço Patrimonial'!O21</f>
        <v>0</v>
      </c>
      <c r="P21" s="7">
        <f>'Balanço Patrimonial'!P21</f>
        <v>0</v>
      </c>
      <c r="Q21" s="7">
        <f>'Balanço Patrimonial'!Q21</f>
        <v>0</v>
      </c>
      <c r="R21" s="7">
        <f>'Balanço Patrimonial'!R21</f>
        <v>0</v>
      </c>
      <c r="S21" s="7">
        <f>'Balanço Patrimonial'!S21</f>
        <v>0</v>
      </c>
      <c r="T21" s="7">
        <f>'Balanço Patrimonial'!T21</f>
        <v>0</v>
      </c>
    </row>
    <row r="22" spans="1:20" hidden="1" outlineLevel="1" x14ac:dyDescent="0.2">
      <c r="A22" s="6" t="s">
        <v>184</v>
      </c>
      <c r="B22" s="7">
        <f>'Balanço Patrimonial'!B22</f>
        <v>0</v>
      </c>
      <c r="C22" s="7">
        <f>'Balanço Patrimonial'!C22</f>
        <v>0</v>
      </c>
      <c r="D22" s="7">
        <f>'Balanço Patrimonial'!D22</f>
        <v>0</v>
      </c>
      <c r="E22" s="7" t="str">
        <f>'Balanço Patrimonial'!E22</f>
        <v>-</v>
      </c>
      <c r="F22" s="7">
        <f>'Balanço Patrimonial'!F22</f>
        <v>0</v>
      </c>
      <c r="G22" s="7">
        <f>'Balanço Patrimonial'!G22</f>
        <v>0</v>
      </c>
      <c r="H22" s="7">
        <f>'Balanço Patrimonial'!H22</f>
        <v>0</v>
      </c>
      <c r="I22" s="7">
        <f>'Balanço Patrimonial'!I22</f>
        <v>0</v>
      </c>
      <c r="J22" s="7">
        <f>'Balanço Patrimonial'!J22</f>
        <v>0</v>
      </c>
      <c r="K22" s="7">
        <f>'Balanço Patrimonial'!K22</f>
        <v>0</v>
      </c>
      <c r="L22" s="7">
        <f>'Balanço Patrimonial'!L22</f>
        <v>0</v>
      </c>
      <c r="M22" s="7">
        <f>'Balanço Patrimonial'!M22</f>
        <v>0</v>
      </c>
      <c r="N22" s="7">
        <f>'Balanço Patrimonial'!N22</f>
        <v>0</v>
      </c>
      <c r="O22" s="7">
        <f>'Balanço Patrimonial'!O22</f>
        <v>0</v>
      </c>
      <c r="P22" s="7">
        <f>'Balanço Patrimonial'!P22</f>
        <v>0</v>
      </c>
      <c r="Q22" s="7">
        <f>'Balanço Patrimonial'!Q22</f>
        <v>0</v>
      </c>
      <c r="R22" s="7">
        <f>'Balanço Patrimonial'!R22</f>
        <v>0</v>
      </c>
      <c r="S22" s="7">
        <f>'Balanço Patrimonial'!S22</f>
        <v>0</v>
      </c>
      <c r="T22" s="7">
        <f>'Balanço Patrimonial'!T22</f>
        <v>0</v>
      </c>
    </row>
    <row r="23" spans="1:20" hidden="1" outlineLevel="1" x14ac:dyDescent="0.2">
      <c r="A23" s="6" t="s">
        <v>183</v>
      </c>
      <c r="B23" s="7">
        <f>'Balanço Patrimonial'!B23</f>
        <v>0</v>
      </c>
      <c r="C23" s="7">
        <f>'Balanço Patrimonial'!C23</f>
        <v>0</v>
      </c>
      <c r="D23" s="7">
        <f>'Balanço Patrimonial'!D23</f>
        <v>0</v>
      </c>
      <c r="E23" s="7" t="str">
        <f>'Balanço Patrimonial'!E23</f>
        <v>-</v>
      </c>
      <c r="F23" s="7">
        <f>'Balanço Patrimonial'!F23</f>
        <v>0</v>
      </c>
      <c r="G23" s="7">
        <f>'Balanço Patrimonial'!G23</f>
        <v>0</v>
      </c>
      <c r="H23" s="7">
        <f>'Balanço Patrimonial'!H23</f>
        <v>0</v>
      </c>
      <c r="I23" s="7">
        <f>'Balanço Patrimonial'!I23</f>
        <v>0</v>
      </c>
      <c r="J23" s="7">
        <f>'Balanço Patrimonial'!J23</f>
        <v>0</v>
      </c>
      <c r="K23" s="7">
        <f>'Balanço Patrimonial'!K23</f>
        <v>0</v>
      </c>
      <c r="L23" s="7">
        <f>'Balanço Patrimonial'!L23</f>
        <v>0</v>
      </c>
      <c r="M23" s="7">
        <f>'Balanço Patrimonial'!M23</f>
        <v>0</v>
      </c>
      <c r="N23" s="7">
        <f>'Balanço Patrimonial'!N23</f>
        <v>0</v>
      </c>
      <c r="O23" s="7">
        <f>'Balanço Patrimonial'!O23</f>
        <v>0</v>
      </c>
      <c r="P23" s="7">
        <f>'Balanço Patrimonial'!P23</f>
        <v>0</v>
      </c>
      <c r="Q23" s="7">
        <f>'Balanço Patrimonial'!Q23</f>
        <v>0</v>
      </c>
      <c r="R23" s="7">
        <f>'Balanço Patrimonial'!R23</f>
        <v>0</v>
      </c>
      <c r="S23" s="7">
        <f>'Balanço Patrimonial'!S23</f>
        <v>0</v>
      </c>
      <c r="T23" s="7">
        <f>'Balanço Patrimonial'!T23</f>
        <v>0</v>
      </c>
    </row>
    <row r="24" spans="1:20" collapsed="1" x14ac:dyDescent="0.2">
      <c r="A24" s="6" t="s">
        <v>178</v>
      </c>
      <c r="B24" s="7">
        <f>'Balanço Patrimonial'!B24</f>
        <v>30542</v>
      </c>
      <c r="C24" s="7">
        <f>'Balanço Patrimonial'!C24</f>
        <v>31853</v>
      </c>
      <c r="D24" s="7">
        <f>'Balanço Patrimonial'!D24</f>
        <v>31535</v>
      </c>
      <c r="E24" s="7">
        <f>'Balanço Patrimonial'!E24</f>
        <v>30816</v>
      </c>
      <c r="F24" s="7">
        <f>'Balanço Patrimonial'!F24</f>
        <v>29599.133000000002</v>
      </c>
      <c r="G24" s="7">
        <f>'Balanço Patrimonial'!G24</f>
        <v>28705.31</v>
      </c>
      <c r="H24" s="7">
        <f>'Balanço Patrimonial'!H24</f>
        <v>26495</v>
      </c>
      <c r="I24" s="7">
        <f>'Balanço Patrimonial'!I24</f>
        <v>13330</v>
      </c>
      <c r="J24" s="7">
        <f>'Balanço Patrimonial'!J24</f>
        <v>6902</v>
      </c>
      <c r="K24" s="7">
        <f>'Balanço Patrimonial'!K24</f>
        <v>6050</v>
      </c>
      <c r="L24" s="7">
        <f>'Balanço Patrimonial'!L24</f>
        <v>5007</v>
      </c>
      <c r="M24" s="7">
        <f>'Balanço Patrimonial'!M24</f>
        <v>2804</v>
      </c>
      <c r="N24" s="7">
        <f>'Balanço Patrimonial'!N24</f>
        <v>0</v>
      </c>
      <c r="O24" s="7">
        <f>'Balanço Patrimonial'!O24</f>
        <v>0</v>
      </c>
      <c r="P24" s="7">
        <f>'Balanço Patrimonial'!P24</f>
        <v>0</v>
      </c>
      <c r="Q24" s="7">
        <f>'Balanço Patrimonial'!Q24</f>
        <v>0</v>
      </c>
      <c r="R24" s="7">
        <f>'Balanço Patrimonial'!R24</f>
        <v>0</v>
      </c>
      <c r="S24" s="7">
        <f>'Balanço Patrimonial'!S24</f>
        <v>2218.6047400000002</v>
      </c>
      <c r="T24" s="7">
        <f>'Balanço Patrimonial'!T24</f>
        <v>0</v>
      </c>
    </row>
    <row r="25" spans="1:20" x14ac:dyDescent="0.2">
      <c r="A25" s="6" t="s">
        <v>175</v>
      </c>
      <c r="B25" s="7">
        <f>'Balanço Patrimonial'!B25</f>
        <v>12306</v>
      </c>
      <c r="C25" s="7">
        <f>'Balanço Patrimonial'!C25</f>
        <v>11828</v>
      </c>
      <c r="D25" s="7">
        <f>'Balanço Patrimonial'!D25</f>
        <v>11283</v>
      </c>
      <c r="E25" s="7">
        <f>'Balanço Patrimonial'!E25</f>
        <v>5878</v>
      </c>
      <c r="F25" s="7">
        <f>'Balanço Patrimonial'!F25</f>
        <v>7145.4129999999996</v>
      </c>
      <c r="G25" s="7">
        <f>'Balanço Patrimonial'!G25</f>
        <v>6511.875</v>
      </c>
      <c r="H25" s="7">
        <f>'Balanço Patrimonial'!H25</f>
        <v>6301</v>
      </c>
      <c r="I25" s="7">
        <f>'Balanço Patrimonial'!I25</f>
        <v>1912</v>
      </c>
      <c r="J25" s="7">
        <f>'Balanço Patrimonial'!J25</f>
        <v>1868</v>
      </c>
      <c r="K25" s="7">
        <f>'Balanço Patrimonial'!K25</f>
        <v>1856</v>
      </c>
      <c r="L25" s="7">
        <f>'Balanço Patrimonial'!L25</f>
        <v>1832</v>
      </c>
      <c r="M25" s="7">
        <f>'Balanço Patrimonial'!M25</f>
        <v>525</v>
      </c>
      <c r="N25" s="7">
        <f>'Balanço Patrimonial'!N25</f>
        <v>510.02497999999997</v>
      </c>
      <c r="O25" s="7">
        <f>'Balanço Patrimonial'!O25</f>
        <v>323.03240999999997</v>
      </c>
      <c r="P25" s="7">
        <f>'Balanço Patrimonial'!P25</f>
        <v>322.57267999999999</v>
      </c>
      <c r="Q25" s="7">
        <f>'Balanço Patrimonial'!Q25</f>
        <v>139.79144999999997</v>
      </c>
      <c r="R25" s="7">
        <f>'Balanço Patrimonial'!R25</f>
        <v>114.81303</v>
      </c>
      <c r="S25" s="7">
        <f>'Balanço Patrimonial'!S25</f>
        <v>114.81303</v>
      </c>
      <c r="T25" s="7">
        <f>'Balanço Patrimonial'!T25</f>
        <v>109.84108000000002</v>
      </c>
    </row>
    <row r="26" spans="1:20" hidden="1" outlineLevel="1" x14ac:dyDescent="0.2">
      <c r="A26" s="6" t="s">
        <v>173</v>
      </c>
      <c r="B26" s="7">
        <f>'Balanço Patrimonial'!B26</f>
        <v>0</v>
      </c>
      <c r="C26" s="7">
        <f>'Balanço Patrimonial'!C26</f>
        <v>0</v>
      </c>
      <c r="D26" s="7">
        <f>'Balanço Patrimonial'!D26</f>
        <v>0</v>
      </c>
      <c r="E26" s="7" t="str">
        <f>'Balanço Patrimonial'!E26</f>
        <v>-</v>
      </c>
      <c r="F26" s="7">
        <f>'Balanço Patrimonial'!F26</f>
        <v>0</v>
      </c>
      <c r="G26" s="7">
        <f>'Balanço Patrimonial'!G26</f>
        <v>0</v>
      </c>
      <c r="H26" s="7">
        <f>'Balanço Patrimonial'!H26</f>
        <v>0</v>
      </c>
      <c r="I26" s="7">
        <f>'Balanço Patrimonial'!I26</f>
        <v>0</v>
      </c>
      <c r="J26" s="7">
        <f>'Balanço Patrimonial'!J26</f>
        <v>0</v>
      </c>
      <c r="K26" s="7">
        <f>'Balanço Patrimonial'!K26</f>
        <v>0</v>
      </c>
      <c r="L26" s="7">
        <f>'Balanço Patrimonial'!L26</f>
        <v>0</v>
      </c>
      <c r="M26" s="7">
        <f>'Balanço Patrimonial'!M26</f>
        <v>0</v>
      </c>
      <c r="N26" s="7">
        <f>'Balanço Patrimonial'!N26</f>
        <v>0</v>
      </c>
      <c r="O26" s="7">
        <f>'Balanço Patrimonial'!O26</f>
        <v>0</v>
      </c>
      <c r="P26" s="7">
        <f>'Balanço Patrimonial'!P26</f>
        <v>0</v>
      </c>
      <c r="Q26" s="7">
        <f>'Balanço Patrimonial'!Q26</f>
        <v>0</v>
      </c>
      <c r="R26" s="7">
        <f>'Balanço Patrimonial'!R26</f>
        <v>0</v>
      </c>
      <c r="S26" s="7">
        <f>'Balanço Patrimonial'!S26</f>
        <v>0</v>
      </c>
      <c r="T26" s="7">
        <f>'Balanço Patrimonial'!T26</f>
        <v>0</v>
      </c>
    </row>
    <row r="27" spans="1:20" collapsed="1" x14ac:dyDescent="0.2">
      <c r="A27" s="6" t="s">
        <v>172</v>
      </c>
      <c r="B27" s="7">
        <f>'Balanço Patrimonial'!B27</f>
        <v>346002</v>
      </c>
      <c r="C27" s="7">
        <f>'Balanço Patrimonial'!C27</f>
        <v>160899</v>
      </c>
      <c r="D27" s="7">
        <f>'Balanço Patrimonial'!D27</f>
        <v>93328</v>
      </c>
      <c r="E27" s="7">
        <f>'Balanço Patrimonial'!E27</f>
        <v>108677</v>
      </c>
      <c r="F27" s="7">
        <f>'Balanço Patrimonial'!F27</f>
        <v>17860.79</v>
      </c>
      <c r="G27" s="7">
        <f>'Balanço Patrimonial'!G27</f>
        <v>47464.186999999998</v>
      </c>
      <c r="H27" s="7">
        <f>'Balanço Patrimonial'!H27</f>
        <v>159765</v>
      </c>
      <c r="I27" s="7">
        <f>'Balanço Patrimonial'!I27</f>
        <v>388060</v>
      </c>
      <c r="J27" s="7">
        <f>'Balanço Patrimonial'!J27</f>
        <v>379078</v>
      </c>
      <c r="K27" s="7">
        <f>'Balanço Patrimonial'!K27</f>
        <v>254359</v>
      </c>
      <c r="L27" s="7">
        <f>'Balanço Patrimonial'!L27</f>
        <v>166066</v>
      </c>
      <c r="M27" s="7">
        <f>'Balanço Patrimonial'!M27</f>
        <v>92644</v>
      </c>
      <c r="N27" s="7">
        <f>'Balanço Patrimonial'!N27</f>
        <v>69699.87638999999</v>
      </c>
      <c r="O27" s="7">
        <f>'Balanço Patrimonial'!O27</f>
        <v>65267.428160000003</v>
      </c>
      <c r="P27" s="7">
        <f>'Balanço Patrimonial'!P27</f>
        <v>65267.428160000003</v>
      </c>
      <c r="Q27" s="7">
        <f>'Balanço Patrimonial'!Q27</f>
        <v>65267.428160000003</v>
      </c>
      <c r="R27" s="7">
        <f>'Balanço Patrimonial'!R27</f>
        <v>109922.82666999998</v>
      </c>
      <c r="S27" s="7">
        <f>'Balanço Patrimonial'!S27</f>
        <v>95615.362939999992</v>
      </c>
      <c r="T27" s="7">
        <f>'Balanço Patrimonial'!T27</f>
        <v>94904.724930000026</v>
      </c>
    </row>
    <row r="28" spans="1:20" x14ac:dyDescent="0.2">
      <c r="A28" s="6" t="s">
        <v>174</v>
      </c>
      <c r="B28" s="7">
        <f>'Balanço Patrimonial'!B28</f>
        <v>147</v>
      </c>
      <c r="C28" s="7">
        <f>'Balanço Patrimonial'!C28</f>
        <v>23</v>
      </c>
      <c r="D28" s="7">
        <f>'Balanço Patrimonial'!D28</f>
        <v>24</v>
      </c>
      <c r="E28" s="7">
        <f>'Balanço Patrimonial'!E28</f>
        <v>11</v>
      </c>
      <c r="F28" s="7">
        <f>'Balanço Patrimonial'!F28</f>
        <v>11.151999999999999</v>
      </c>
      <c r="G28" s="7">
        <f>'Balanço Patrimonial'!G28</f>
        <v>11.151999999999999</v>
      </c>
      <c r="H28" s="7">
        <f>'Balanço Patrimonial'!H28</f>
        <v>11</v>
      </c>
      <c r="I28" s="7">
        <f>'Balanço Patrimonial'!I28</f>
        <v>11</v>
      </c>
      <c r="J28" s="7">
        <f>'Balanço Patrimonial'!J28</f>
        <v>11</v>
      </c>
      <c r="K28" s="7">
        <f>'Balanço Patrimonial'!K28</f>
        <v>90</v>
      </c>
      <c r="L28" s="7">
        <f>'Balanço Patrimonial'!L28</f>
        <v>90</v>
      </c>
      <c r="M28" s="7">
        <f>'Balanço Patrimonial'!M28</f>
        <v>90</v>
      </c>
      <c r="N28" s="7">
        <f>'Balanço Patrimonial'!N28</f>
        <v>89.656919999999985</v>
      </c>
      <c r="O28" s="7">
        <f>'Balanço Patrimonial'!O28</f>
        <v>90.766519999999986</v>
      </c>
      <c r="P28" s="7">
        <f>'Balanço Patrimonial'!P28</f>
        <v>90.766519999999986</v>
      </c>
      <c r="Q28" s="7">
        <f>'Balanço Patrimonial'!Q28</f>
        <v>80.938009999999991</v>
      </c>
      <c r="R28" s="7">
        <f>'Balanço Patrimonial'!R28</f>
        <v>60.437899999999999</v>
      </c>
      <c r="S28" s="7">
        <f>'Balanço Patrimonial'!S28</f>
        <v>58.004820000000002</v>
      </c>
      <c r="T28" s="7">
        <f>'Balanço Patrimonial'!T28</f>
        <v>58.004820000000002</v>
      </c>
    </row>
    <row r="29" spans="1:20" x14ac:dyDescent="0.2">
      <c r="A29" s="6" t="s">
        <v>180</v>
      </c>
      <c r="B29" s="7">
        <f>'Balanço Patrimonial'!B29</f>
        <v>93085</v>
      </c>
      <c r="C29" s="7">
        <f>'Balanço Patrimonial'!C29</f>
        <v>90649</v>
      </c>
      <c r="D29" s="7">
        <f>'Balanço Patrimonial'!D29</f>
        <v>81691</v>
      </c>
      <c r="E29" s="7">
        <f>'Balanço Patrimonial'!E29</f>
        <v>50600</v>
      </c>
      <c r="F29" s="7">
        <f>'Balanço Patrimonial'!F29</f>
        <v>11080.695</v>
      </c>
      <c r="G29" s="7">
        <f>'Balanço Patrimonial'!G29</f>
        <v>11320.477000000001</v>
      </c>
      <c r="H29" s="7">
        <f>'Balanço Patrimonial'!H29</f>
        <v>15740</v>
      </c>
      <c r="I29" s="7">
        <f>'Balanço Patrimonial'!I29</f>
        <v>15083</v>
      </c>
      <c r="J29" s="7">
        <f>'Balanço Patrimonial'!J29</f>
        <v>14684</v>
      </c>
      <c r="K29" s="7">
        <f>'Balanço Patrimonial'!K29</f>
        <v>13256</v>
      </c>
      <c r="L29" s="7">
        <f>'Balanço Patrimonial'!L29</f>
        <v>12310</v>
      </c>
      <c r="M29" s="7">
        <f>'Balanço Patrimonial'!M29</f>
        <v>10929</v>
      </c>
      <c r="N29" s="7">
        <f>'Balanço Patrimonial'!N29</f>
        <v>10313</v>
      </c>
      <c r="O29" s="7">
        <f>'Balanço Patrimonial'!O29</f>
        <v>10172.279902193141</v>
      </c>
      <c r="P29" s="7">
        <f>'Balanço Patrimonial'!P29</f>
        <v>9611.7675783483264</v>
      </c>
      <c r="Q29" s="7">
        <f>'Balanço Patrimonial'!Q29</f>
        <v>10839.994269999999</v>
      </c>
      <c r="R29" s="7">
        <f>'Balanço Patrimonial'!R29</f>
        <v>13115.257414496016</v>
      </c>
      <c r="S29" s="7">
        <f>'Balanço Patrimonial'!S29</f>
        <v>8256.3038867921859</v>
      </c>
      <c r="T29" s="7">
        <f>'Balanço Patrimonial'!T29</f>
        <v>4.4720061123371122E-6</v>
      </c>
    </row>
    <row r="30" spans="1:20" x14ac:dyDescent="0.2">
      <c r="A30" s="6" t="s">
        <v>181</v>
      </c>
      <c r="B30" s="7">
        <f>'Balanço Patrimonial'!B30</f>
        <v>10914</v>
      </c>
      <c r="C30" s="7">
        <f>'Balanço Patrimonial'!C30</f>
        <v>9714</v>
      </c>
      <c r="D30" s="7">
        <f>'Balanço Patrimonial'!D30</f>
        <v>7470</v>
      </c>
      <c r="E30" s="7">
        <f>'Balanço Patrimonial'!E30</f>
        <v>2954</v>
      </c>
      <c r="F30" s="7">
        <f>'Balanço Patrimonial'!F30</f>
        <v>3371.8270000000002</v>
      </c>
      <c r="G30" s="7">
        <f>'Balanço Patrimonial'!G30</f>
        <v>3721.2849999999999</v>
      </c>
      <c r="H30" s="7">
        <f>'Balanço Patrimonial'!H30</f>
        <v>3921</v>
      </c>
      <c r="I30" s="7">
        <f>'Balanço Patrimonial'!I30</f>
        <v>4077</v>
      </c>
      <c r="J30" s="7">
        <f>'Balanço Patrimonial'!J30</f>
        <v>4297</v>
      </c>
      <c r="K30" s="7">
        <f>'Balanço Patrimonial'!K30</f>
        <v>3023</v>
      </c>
      <c r="L30" s="7">
        <f>'Balanço Patrimonial'!L30</f>
        <v>3215</v>
      </c>
      <c r="M30" s="7">
        <f>'Balanço Patrimonial'!M30</f>
        <v>2168</v>
      </c>
      <c r="N30" s="7">
        <f>'Balanço Patrimonial'!N30</f>
        <v>1719.5960500000001</v>
      </c>
      <c r="O30" s="7">
        <f>'Balanço Patrimonial'!O30</f>
        <v>1825.59494</v>
      </c>
      <c r="P30" s="7">
        <f>'Balanço Patrimonial'!P30</f>
        <v>1900.0518</v>
      </c>
      <c r="Q30" s="7">
        <f>'Balanço Patrimonial'!Q30</f>
        <v>1975.7621100000003</v>
      </c>
      <c r="R30" s="7">
        <f>'Balanço Patrimonial'!R30</f>
        <v>2058.557085648139</v>
      </c>
      <c r="S30" s="7">
        <f>'Balanço Patrimonial'!S30</f>
        <v>2166.4549670987594</v>
      </c>
      <c r="T30" s="7">
        <f>'Balanço Patrimonial'!T30</f>
        <v>2236.6937699999994</v>
      </c>
    </row>
    <row r="31" spans="1:20" x14ac:dyDescent="0.2">
      <c r="A31" s="6" t="s">
        <v>182</v>
      </c>
      <c r="B31" s="7">
        <f>'Balanço Patrimonial'!B31</f>
        <v>605</v>
      </c>
      <c r="C31" s="7">
        <f>'Balanço Patrimonial'!C31</f>
        <v>637</v>
      </c>
      <c r="D31" s="7">
        <f>'Balanço Patrimonial'!D31</f>
        <v>670</v>
      </c>
      <c r="E31" s="7">
        <f>'Balanço Patrimonial'!E31</f>
        <v>691</v>
      </c>
      <c r="F31" s="7">
        <f>'Balanço Patrimonial'!F31</f>
        <v>723.90499999999997</v>
      </c>
      <c r="G31" s="7">
        <f>'Balanço Patrimonial'!G31</f>
        <v>713.47699999999998</v>
      </c>
      <c r="H31" s="7">
        <f>'Balanço Patrimonial'!H31</f>
        <v>761</v>
      </c>
      <c r="I31" s="7">
        <f>'Balanço Patrimonial'!I31</f>
        <v>820</v>
      </c>
      <c r="J31" s="7">
        <f>'Balanço Patrimonial'!J31</f>
        <v>796</v>
      </c>
      <c r="K31" s="7">
        <f>'Balanço Patrimonial'!K31</f>
        <v>750</v>
      </c>
      <c r="L31" s="7">
        <f>'Balanço Patrimonial'!L31</f>
        <v>365</v>
      </c>
      <c r="M31" s="7">
        <f>'Balanço Patrimonial'!M31</f>
        <v>153</v>
      </c>
      <c r="N31" s="7">
        <f>'Balanço Patrimonial'!N31</f>
        <v>140.42471000000006</v>
      </c>
      <c r="O31" s="7">
        <f>'Balanço Patrimonial'!O31</f>
        <v>169.65162000000004</v>
      </c>
      <c r="P31" s="7">
        <f>'Balanço Patrimonial'!P31</f>
        <v>198.87853000000007</v>
      </c>
      <c r="Q31" s="7">
        <f>'Balanço Patrimonial'!Q31</f>
        <v>227.80045000000004</v>
      </c>
      <c r="R31" s="7">
        <f>'Balanço Patrimonial'!R31</f>
        <v>257.01235000000008</v>
      </c>
      <c r="S31" s="7">
        <f>'Balanço Patrimonial'!S31</f>
        <v>305.18025000000006</v>
      </c>
      <c r="T31" s="7">
        <f>'Balanço Patrimonial'!T31</f>
        <v>310.34815000000003</v>
      </c>
    </row>
    <row r="32" spans="1:20" ht="12.75" thickBot="1" x14ac:dyDescent="0.25">
      <c r="A32" s="16" t="s">
        <v>320</v>
      </c>
      <c r="B32" s="15">
        <f t="shared" ref="B32:C32" si="7">SUM(B20:B31)</f>
        <v>625717</v>
      </c>
      <c r="C32" s="15">
        <f t="shared" si="7"/>
        <v>464366</v>
      </c>
      <c r="D32" s="15">
        <f t="shared" ref="D32:E32" si="8">SUM(D20:D31)</f>
        <v>353198</v>
      </c>
      <c r="E32" s="15">
        <f t="shared" si="8"/>
        <v>411469</v>
      </c>
      <c r="F32" s="15">
        <f t="shared" ref="F32:G32" si="9">SUM(F20:F31)</f>
        <v>302742.79800000001</v>
      </c>
      <c r="G32" s="15">
        <f t="shared" si="9"/>
        <v>300514.576</v>
      </c>
      <c r="H32" s="15">
        <f t="shared" ref="H32:I32" si="10">SUM(H20:H31)</f>
        <v>407050</v>
      </c>
      <c r="I32" s="15">
        <f t="shared" si="10"/>
        <v>611076</v>
      </c>
      <c r="J32" s="15">
        <f t="shared" ref="J32:O32" si="11">SUM(J20:J31)</f>
        <v>612728</v>
      </c>
      <c r="K32" s="15">
        <f t="shared" si="11"/>
        <v>464126</v>
      </c>
      <c r="L32" s="15">
        <f t="shared" si="11"/>
        <v>330932</v>
      </c>
      <c r="M32" s="15">
        <f t="shared" si="11"/>
        <v>295430</v>
      </c>
      <c r="N32" s="15">
        <f t="shared" si="11"/>
        <v>141553.34391999998</v>
      </c>
      <c r="O32" s="15">
        <f t="shared" si="11"/>
        <v>138800.83069219315</v>
      </c>
      <c r="P32" s="15">
        <f t="shared" ref="P32:T32" si="12">SUM(P20:P31)</f>
        <v>170504.64877834829</v>
      </c>
      <c r="Q32" s="15">
        <f>SUM(Q20:Q31)</f>
        <v>164118.93248000005</v>
      </c>
      <c r="R32" s="15">
        <f t="shared" si="12"/>
        <v>189409.75108828853</v>
      </c>
      <c r="S32" s="15">
        <f t="shared" si="12"/>
        <v>162944.76734389094</v>
      </c>
      <c r="T32" s="15">
        <f t="shared" si="12"/>
        <v>162769.20989447203</v>
      </c>
    </row>
    <row r="33" spans="1:20" ht="12.75" thickTop="1" x14ac:dyDescent="0.2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2.75" thickBot="1" x14ac:dyDescent="0.25">
      <c r="A34" s="16" t="s">
        <v>321</v>
      </c>
      <c r="B34" s="15">
        <f t="shared" ref="B34:C34" si="13">+B32+B18</f>
        <v>2198322</v>
      </c>
      <c r="C34" s="15">
        <f t="shared" si="13"/>
        <v>2031994</v>
      </c>
      <c r="D34" s="15">
        <f t="shared" ref="D34:E34" si="14">+D32+D18</f>
        <v>1964512</v>
      </c>
      <c r="E34" s="15">
        <f t="shared" si="14"/>
        <v>1928664</v>
      </c>
      <c r="F34" s="15">
        <f t="shared" ref="F34:G34" si="15">+F32+F18</f>
        <v>1790264.3530000001</v>
      </c>
      <c r="G34" s="15">
        <f t="shared" si="15"/>
        <v>1794882.1060000001</v>
      </c>
      <c r="H34" s="15">
        <f t="shared" ref="H34:I34" si="16">+H32+H18</f>
        <v>1778449</v>
      </c>
      <c r="I34" s="15">
        <f t="shared" si="16"/>
        <v>1751041</v>
      </c>
      <c r="J34" s="15">
        <f t="shared" ref="J34:O34" si="17">+J32+J18</f>
        <v>1943035</v>
      </c>
      <c r="K34" s="15">
        <f t="shared" si="17"/>
        <v>1884420</v>
      </c>
      <c r="L34" s="15">
        <f t="shared" si="17"/>
        <v>1685384</v>
      </c>
      <c r="M34" s="15">
        <f t="shared" si="17"/>
        <v>1693791</v>
      </c>
      <c r="N34" s="15">
        <f t="shared" si="17"/>
        <v>1616145.5932299998</v>
      </c>
      <c r="O34" s="15">
        <f t="shared" si="17"/>
        <v>602103.5663621932</v>
      </c>
      <c r="P34" s="15">
        <f t="shared" ref="P34:T34" si="18">+P32+P18</f>
        <v>607505.202525637</v>
      </c>
      <c r="Q34" s="15">
        <f t="shared" si="18"/>
        <v>569270.84987391939</v>
      </c>
      <c r="R34" s="15">
        <f t="shared" si="18"/>
        <v>440013.2331289124</v>
      </c>
      <c r="S34" s="15">
        <f t="shared" si="18"/>
        <v>413063.15035794687</v>
      </c>
      <c r="T34" s="15">
        <f t="shared" si="18"/>
        <v>340032.99793515378</v>
      </c>
    </row>
    <row r="35" spans="1:20" ht="12.75" thickTop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x14ac:dyDescent="0.2">
      <c r="A36" s="5" t="s">
        <v>166</v>
      </c>
      <c r="B36" s="3" t="str">
        <f t="shared" ref="B36:C36" si="19">B5</f>
        <v>3Q23</v>
      </c>
      <c r="C36" s="3" t="str">
        <f t="shared" si="19"/>
        <v>2Q23</v>
      </c>
      <c r="D36" s="3" t="str">
        <f t="shared" ref="D36:E36" si="20">D5</f>
        <v>1Q23</v>
      </c>
      <c r="E36" s="3" t="str">
        <f t="shared" si="20"/>
        <v>4Q22</v>
      </c>
      <c r="F36" s="3" t="str">
        <f t="shared" ref="F36:G36" si="21">F5</f>
        <v>3Q22</v>
      </c>
      <c r="G36" s="3" t="str">
        <f t="shared" si="21"/>
        <v>2Q22</v>
      </c>
      <c r="H36" s="3" t="str">
        <f t="shared" ref="H36:J36" si="22">H5</f>
        <v>1Q22</v>
      </c>
      <c r="I36" s="3" t="str">
        <f t="shared" si="22"/>
        <v>4Q21</v>
      </c>
      <c r="J36" s="3" t="str">
        <f t="shared" si="22"/>
        <v>3Q21</v>
      </c>
      <c r="K36" s="3" t="str">
        <f>K5</f>
        <v>2Q21</v>
      </c>
      <c r="L36" s="3" t="str">
        <f>L5</f>
        <v>1Q21</v>
      </c>
      <c r="M36" s="3" t="str">
        <f t="shared" ref="M36:T36" si="23">M5</f>
        <v>4Q20</v>
      </c>
      <c r="N36" s="3" t="str">
        <f t="shared" si="23"/>
        <v>3Q20</v>
      </c>
      <c r="O36" s="3" t="str">
        <f t="shared" si="23"/>
        <v>2Q20</v>
      </c>
      <c r="P36" s="3" t="str">
        <f t="shared" si="23"/>
        <v>1Q20</v>
      </c>
      <c r="Q36" s="3" t="str">
        <f t="shared" si="23"/>
        <v>4Q19</v>
      </c>
      <c r="R36" s="3" t="str">
        <f t="shared" si="23"/>
        <v>3Q19</v>
      </c>
      <c r="S36" s="3" t="str">
        <f t="shared" si="23"/>
        <v>2Q19</v>
      </c>
      <c r="T36" s="3" t="str">
        <f t="shared" si="23"/>
        <v>1Q19</v>
      </c>
    </row>
    <row r="37" spans="1:20" x14ac:dyDescent="0.2">
      <c r="A37" s="18" t="s">
        <v>322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x14ac:dyDescent="0.2">
      <c r="A38" s="6" t="s">
        <v>185</v>
      </c>
      <c r="B38" s="7">
        <f>'Balanço Patrimonial'!B38</f>
        <v>35072</v>
      </c>
      <c r="C38" s="7">
        <f>'Balanço Patrimonial'!C38</f>
        <v>884</v>
      </c>
      <c r="D38" s="7">
        <f>'Balanço Patrimonial'!D38</f>
        <v>653</v>
      </c>
      <c r="E38" s="7">
        <f>'Balanço Patrimonial'!E38</f>
        <v>325</v>
      </c>
      <c r="F38" s="7">
        <f>'Balanço Patrimonial'!F38</f>
        <v>12.159000000000001</v>
      </c>
      <c r="G38" s="7">
        <f>'Balanço Patrimonial'!G38</f>
        <v>4.694</v>
      </c>
      <c r="H38" s="7">
        <f>'Balanço Patrimonial'!H38</f>
        <v>0</v>
      </c>
      <c r="I38" s="7">
        <f>'Balanço Patrimonial'!I38</f>
        <v>1</v>
      </c>
      <c r="J38" s="7">
        <f>'Balanço Patrimonial'!J38</f>
        <v>628</v>
      </c>
      <c r="K38" s="7">
        <f>'Balanço Patrimonial'!K38</f>
        <v>267</v>
      </c>
      <c r="L38" s="7">
        <f>'Balanço Patrimonial'!L38</f>
        <v>543</v>
      </c>
      <c r="M38" s="7">
        <f>'Balanço Patrimonial'!M38</f>
        <v>3004</v>
      </c>
      <c r="N38" s="7">
        <f>'Balanço Patrimonial'!N38</f>
        <v>620.73636999999997</v>
      </c>
      <c r="O38" s="7">
        <f>'Balanço Patrimonial'!O38</f>
        <v>137.62628999999995</v>
      </c>
      <c r="P38" s="7">
        <f>'Balanço Patrimonial'!P38</f>
        <v>12409.1574</v>
      </c>
      <c r="Q38" s="7">
        <f>'Balanço Patrimonial'!Q38</f>
        <v>13363.714749999999</v>
      </c>
      <c r="R38" s="7">
        <f>'Balanço Patrimonial'!R38</f>
        <v>25361.415619999996</v>
      </c>
      <c r="S38" s="7">
        <f>'Balanço Patrimonial'!S38</f>
        <v>328.20314000000008</v>
      </c>
      <c r="T38" s="7">
        <f>'Balanço Patrimonial'!T38</f>
        <v>5245.5618581520366</v>
      </c>
    </row>
    <row r="39" spans="1:20" hidden="1" outlineLevel="1" x14ac:dyDescent="0.2">
      <c r="A39" s="6" t="s">
        <v>56</v>
      </c>
      <c r="B39" s="7">
        <f>'Balanço Patrimonial'!B39</f>
        <v>0</v>
      </c>
      <c r="C39" s="7">
        <f>'Balanço Patrimonial'!C39</f>
        <v>0</v>
      </c>
      <c r="D39" s="7" t="str">
        <f>'Balanço Patrimonial'!D39</f>
        <v>-</v>
      </c>
      <c r="E39" s="7" t="str">
        <f>'Balanço Patrimonial'!E39</f>
        <v>-</v>
      </c>
      <c r="F39" s="7">
        <f>'Balanço Patrimonial'!F39</f>
        <v>0</v>
      </c>
      <c r="G39" s="7">
        <f>'Balanço Patrimonial'!G39</f>
        <v>0</v>
      </c>
      <c r="H39" s="7">
        <f>'Balanço Patrimonial'!H39</f>
        <v>0</v>
      </c>
      <c r="I39" s="7">
        <f>'Balanço Patrimonial'!I39</f>
        <v>0</v>
      </c>
      <c r="J39" s="7">
        <f>'Balanço Patrimonial'!J39</f>
        <v>0</v>
      </c>
      <c r="K39" s="7">
        <f>'Balanço Patrimonial'!K39</f>
        <v>0</v>
      </c>
      <c r="L39" s="7">
        <f>'Balanço Patrimonial'!L39</f>
        <v>0</v>
      </c>
      <c r="M39" s="7">
        <f>'Balanço Patrimonial'!M39</f>
        <v>0</v>
      </c>
      <c r="N39" s="7">
        <f>'Balanço Patrimonial'!N39</f>
        <v>0</v>
      </c>
      <c r="O39" s="7">
        <f>'Balanço Patrimonial'!O39</f>
        <v>0</v>
      </c>
      <c r="P39" s="7">
        <f>'Balanço Patrimonial'!P39</f>
        <v>0</v>
      </c>
      <c r="Q39" s="7">
        <f>'Balanço Patrimonial'!Q39</f>
        <v>0</v>
      </c>
      <c r="R39" s="7">
        <f>'Balanço Patrimonial'!R39</f>
        <v>0</v>
      </c>
      <c r="S39" s="7">
        <f>'Balanço Patrimonial'!S39</f>
        <v>0</v>
      </c>
      <c r="T39" s="7">
        <f>'Balanço Patrimonial'!T39</f>
        <v>0</v>
      </c>
    </row>
    <row r="40" spans="1:20" hidden="1" outlineLevel="1" x14ac:dyDescent="0.2">
      <c r="A40" s="6" t="s">
        <v>57</v>
      </c>
      <c r="B40" s="7">
        <f>'Balanço Patrimonial'!B40</f>
        <v>0</v>
      </c>
      <c r="C40" s="7">
        <f>'Balanço Patrimonial'!C40</f>
        <v>0</v>
      </c>
      <c r="D40" s="7" t="str">
        <f>'Balanço Patrimonial'!D40</f>
        <v>-</v>
      </c>
      <c r="E40" s="7" t="str">
        <f>'Balanço Patrimonial'!E40</f>
        <v>-</v>
      </c>
      <c r="F40" s="7">
        <f>'Balanço Patrimonial'!F40</f>
        <v>0</v>
      </c>
      <c r="G40" s="7">
        <f>'Balanço Patrimonial'!G40</f>
        <v>0</v>
      </c>
      <c r="H40" s="7">
        <f>'Balanço Patrimonial'!H40</f>
        <v>0</v>
      </c>
      <c r="I40" s="7">
        <f>'Balanço Patrimonial'!I40</f>
        <v>0</v>
      </c>
      <c r="J40" s="7">
        <f>'Balanço Patrimonial'!J40</f>
        <v>0</v>
      </c>
      <c r="K40" s="7">
        <f>'Balanço Patrimonial'!K40</f>
        <v>0</v>
      </c>
      <c r="L40" s="7">
        <f>'Balanço Patrimonial'!L40</f>
        <v>0</v>
      </c>
      <c r="M40" s="7">
        <f>'Balanço Patrimonial'!M40</f>
        <v>0</v>
      </c>
      <c r="N40" s="7">
        <f>'Balanço Patrimonial'!N40</f>
        <v>0</v>
      </c>
      <c r="O40" s="7">
        <f>'Balanço Patrimonial'!O40</f>
        <v>0</v>
      </c>
      <c r="P40" s="7">
        <f>'Balanço Patrimonial'!P40</f>
        <v>0</v>
      </c>
      <c r="Q40" s="7">
        <f>'Balanço Patrimonial'!Q40</f>
        <v>0</v>
      </c>
      <c r="R40" s="7">
        <f>'Balanço Patrimonial'!R40</f>
        <v>0</v>
      </c>
      <c r="S40" s="7">
        <f>'Balanço Patrimonial'!S40</f>
        <v>0</v>
      </c>
      <c r="T40" s="7">
        <f>'Balanço Patrimonial'!T40</f>
        <v>0</v>
      </c>
    </row>
    <row r="41" spans="1:20" collapsed="1" x14ac:dyDescent="0.2">
      <c r="A41" s="6" t="s">
        <v>186</v>
      </c>
      <c r="B41" s="7">
        <f>'Balanço Patrimonial'!B41</f>
        <v>567</v>
      </c>
      <c r="C41" s="7">
        <f>'Balanço Patrimonial'!C41</f>
        <v>643</v>
      </c>
      <c r="D41" s="7">
        <f>'Balanço Patrimonial'!D41</f>
        <v>610</v>
      </c>
      <c r="E41" s="7">
        <f>'Balanço Patrimonial'!E41</f>
        <v>578</v>
      </c>
      <c r="F41" s="7">
        <f>'Balanço Patrimonial'!F41</f>
        <v>607.16</v>
      </c>
      <c r="G41" s="7">
        <f>'Balanço Patrimonial'!G41</f>
        <v>571.13699999999994</v>
      </c>
      <c r="H41" s="7">
        <f>'Balanço Patrimonial'!H41</f>
        <v>536</v>
      </c>
      <c r="I41" s="7">
        <f>'Balanço Patrimonial'!I41</f>
        <v>504</v>
      </c>
      <c r="J41" s="7">
        <f>'Balanço Patrimonial'!J41</f>
        <v>469</v>
      </c>
      <c r="K41" s="7">
        <f>'Balanço Patrimonial'!K41</f>
        <v>310</v>
      </c>
      <c r="L41" s="7">
        <f>'Balanço Patrimonial'!L41</f>
        <v>400</v>
      </c>
      <c r="M41" s="7">
        <f>'Balanço Patrimonial'!M41</f>
        <v>166</v>
      </c>
      <c r="N41" s="7">
        <f>'Balanço Patrimonial'!N41</f>
        <v>195.35070000000002</v>
      </c>
      <c r="O41" s="7">
        <f>'Balanço Patrimonial'!O41</f>
        <v>131.99684999999997</v>
      </c>
      <c r="P41" s="7">
        <f>'Balanço Patrimonial'!P41</f>
        <v>0</v>
      </c>
      <c r="Q41" s="7">
        <f>'Balanço Patrimonial'!Q41</f>
        <v>0</v>
      </c>
      <c r="R41" s="7">
        <f>'Balanço Patrimonial'!R41</f>
        <v>0</v>
      </c>
      <c r="S41" s="7">
        <f>'Balanço Patrimonial'!S41</f>
        <v>0</v>
      </c>
      <c r="T41" s="7">
        <f>'Balanço Patrimonial'!T41</f>
        <v>0</v>
      </c>
    </row>
    <row r="42" spans="1:20" x14ac:dyDescent="0.2">
      <c r="A42" s="6" t="s">
        <v>187</v>
      </c>
      <c r="B42" s="7">
        <f>'Balanço Patrimonial'!B42</f>
        <v>22058</v>
      </c>
      <c r="C42" s="7">
        <f>'Balanço Patrimonial'!C42</f>
        <v>19818</v>
      </c>
      <c r="D42" s="7">
        <f>'Balanço Patrimonial'!D42</f>
        <v>30626</v>
      </c>
      <c r="E42" s="7">
        <f>'Balanço Patrimonial'!E42</f>
        <v>19550</v>
      </c>
      <c r="F42" s="7">
        <f>'Balanço Patrimonial'!F42</f>
        <v>22846.356</v>
      </c>
      <c r="G42" s="7">
        <f>'Balanço Patrimonial'!G42</f>
        <v>21062.36</v>
      </c>
      <c r="H42" s="7">
        <f>'Balanço Patrimonial'!H42</f>
        <v>16526</v>
      </c>
      <c r="I42" s="7">
        <f>'Balanço Patrimonial'!I42</f>
        <v>12230</v>
      </c>
      <c r="J42" s="7">
        <f>'Balanço Patrimonial'!J42</f>
        <v>12939</v>
      </c>
      <c r="K42" s="7">
        <f>'Balanço Patrimonial'!K42</f>
        <v>13474</v>
      </c>
      <c r="L42" s="7">
        <f>'Balanço Patrimonial'!L42</f>
        <v>11800</v>
      </c>
      <c r="M42" s="7">
        <f>'Balanço Patrimonial'!M42</f>
        <v>5633</v>
      </c>
      <c r="N42" s="7">
        <f>'Balanço Patrimonial'!N42</f>
        <v>8465.3796999999995</v>
      </c>
      <c r="O42" s="7">
        <f>'Balanço Patrimonial'!O42</f>
        <v>7328.3067299999984</v>
      </c>
      <c r="P42" s="7">
        <f>'Balanço Patrimonial'!P42</f>
        <v>5687.211040000001</v>
      </c>
      <c r="Q42" s="7">
        <f>'Balanço Patrimonial'!Q42</f>
        <v>4993.7648399999998</v>
      </c>
      <c r="R42" s="7">
        <f>'Balanço Patrimonial'!R42</f>
        <v>10187.639359999999</v>
      </c>
      <c r="S42" s="7">
        <f>'Balanço Patrimonial'!S42</f>
        <v>9111.2415300000011</v>
      </c>
      <c r="T42" s="7">
        <f>'Balanço Patrimonial'!T42</f>
        <v>9153.0566799999997</v>
      </c>
    </row>
    <row r="43" spans="1:20" x14ac:dyDescent="0.2">
      <c r="A43" s="6" t="s">
        <v>188</v>
      </c>
      <c r="B43" s="7">
        <f>'Balanço Patrimonial'!B43</f>
        <v>2953</v>
      </c>
      <c r="C43" s="7">
        <f>'Balanço Patrimonial'!C43</f>
        <v>2786</v>
      </c>
      <c r="D43" s="7">
        <f>'Balanço Patrimonial'!D43</f>
        <v>3092</v>
      </c>
      <c r="E43" s="7">
        <f>'Balanço Patrimonial'!E43</f>
        <v>2705</v>
      </c>
      <c r="F43" s="7">
        <f>'Balanço Patrimonial'!F43</f>
        <v>3207.1779999999999</v>
      </c>
      <c r="G43" s="7">
        <f>'Balanço Patrimonial'!G43</f>
        <v>3142.1509999999998</v>
      </c>
      <c r="H43" s="7">
        <f>'Balanço Patrimonial'!H43</f>
        <v>3586</v>
      </c>
      <c r="I43" s="7">
        <f>'Balanço Patrimonial'!I43</f>
        <v>1421</v>
      </c>
      <c r="J43" s="7">
        <f>'Balanço Patrimonial'!J43</f>
        <v>1330</v>
      </c>
      <c r="K43" s="7">
        <f>'Balanço Patrimonial'!K43</f>
        <v>927</v>
      </c>
      <c r="L43" s="7">
        <f>'Balanço Patrimonial'!L43</f>
        <v>1498</v>
      </c>
      <c r="M43" s="7">
        <f>'Balanço Patrimonial'!M43</f>
        <v>1369</v>
      </c>
      <c r="N43" s="7">
        <f>'Balanço Patrimonial'!N43</f>
        <v>334.12852000000004</v>
      </c>
      <c r="O43" s="7">
        <f>'Balanço Patrimonial'!O43</f>
        <v>291.05572999999998</v>
      </c>
      <c r="P43" s="7">
        <f>'Balanço Patrimonial'!P43</f>
        <v>275.54955000000001</v>
      </c>
      <c r="Q43" s="7">
        <f>'Balanço Patrimonial'!Q43</f>
        <v>1076.64256</v>
      </c>
      <c r="R43" s="7">
        <f>'Balanço Patrimonial'!R43</f>
        <v>0</v>
      </c>
      <c r="S43" s="7">
        <f>'Balanço Patrimonial'!S43</f>
        <v>0</v>
      </c>
      <c r="T43" s="7">
        <f>'Balanço Patrimonial'!T43</f>
        <v>0</v>
      </c>
    </row>
    <row r="44" spans="1:20" x14ac:dyDescent="0.2">
      <c r="A44" s="6" t="s">
        <v>189</v>
      </c>
      <c r="B44" s="7">
        <f>'Balanço Patrimonial'!B44</f>
        <v>6257</v>
      </c>
      <c r="C44" s="7">
        <f>'Balanço Patrimonial'!C44</f>
        <v>8986</v>
      </c>
      <c r="D44" s="7">
        <f>'Balanço Patrimonial'!D44</f>
        <v>4843</v>
      </c>
      <c r="E44" s="7">
        <f>'Balanço Patrimonial'!E44</f>
        <v>4748</v>
      </c>
      <c r="F44" s="7">
        <f>'Balanço Patrimonial'!F44</f>
        <v>6400.45</v>
      </c>
      <c r="G44" s="7">
        <f>'Balanço Patrimonial'!G44</f>
        <v>6752.893</v>
      </c>
      <c r="H44" s="7">
        <f>'Balanço Patrimonial'!H44</f>
        <v>7548</v>
      </c>
      <c r="I44" s="7">
        <f>'Balanço Patrimonial'!I44</f>
        <v>3489</v>
      </c>
      <c r="J44" s="7">
        <f>'Balanço Patrimonial'!J44</f>
        <v>6357</v>
      </c>
      <c r="K44" s="7">
        <f>'Balanço Patrimonial'!K44</f>
        <v>7287</v>
      </c>
      <c r="L44" s="7">
        <f>'Balanço Patrimonial'!L44</f>
        <v>3361</v>
      </c>
      <c r="M44" s="7">
        <f>'Balanço Patrimonial'!M44</f>
        <v>4604</v>
      </c>
      <c r="N44" s="7">
        <f>'Balanço Patrimonial'!N44</f>
        <v>1800.73224</v>
      </c>
      <c r="O44" s="7">
        <f>'Balanço Patrimonial'!O44</f>
        <v>1434</v>
      </c>
      <c r="P44" s="7">
        <f>'Balanço Patrimonial'!P44</f>
        <v>1427.7719399999996</v>
      </c>
      <c r="Q44" s="7">
        <f>'Balanço Patrimonial'!Q44</f>
        <v>2485.2712099999999</v>
      </c>
      <c r="R44" s="7">
        <f>'Balanço Patrimonial'!R44</f>
        <v>1530.8953800000004</v>
      </c>
      <c r="S44" s="7">
        <f>'Balanço Patrimonial'!S44</f>
        <v>1577.51415</v>
      </c>
      <c r="T44" s="7">
        <f>'Balanço Patrimonial'!T44</f>
        <v>1462.2665499999998</v>
      </c>
    </row>
    <row r="45" spans="1:20" x14ac:dyDescent="0.2">
      <c r="A45" s="6" t="s">
        <v>173</v>
      </c>
      <c r="B45" s="7">
        <f>'Balanço Patrimonial'!B45</f>
        <v>11485</v>
      </c>
      <c r="C45" s="7">
        <f>'Balanço Patrimonial'!C45</f>
        <v>8250</v>
      </c>
      <c r="D45" s="7">
        <f>'Balanço Patrimonial'!D45</f>
        <v>7233</v>
      </c>
      <c r="E45" s="7">
        <f>'Balanço Patrimonial'!E45</f>
        <v>6331</v>
      </c>
      <c r="F45" s="7">
        <f>'Balanço Patrimonial'!F45</f>
        <v>4844.1469999999999</v>
      </c>
      <c r="G45" s="7">
        <f>'Balanço Patrimonial'!G45</f>
        <v>934.90599999999995</v>
      </c>
      <c r="H45" s="7">
        <f>'Balanço Patrimonial'!H45</f>
        <v>2510</v>
      </c>
      <c r="I45" s="7">
        <f>'Balanço Patrimonial'!I45</f>
        <v>5241</v>
      </c>
      <c r="J45" s="7">
        <f>'Balanço Patrimonial'!J45</f>
        <v>6581</v>
      </c>
      <c r="K45" s="7">
        <f>'Balanço Patrimonial'!K45</f>
        <v>4061</v>
      </c>
      <c r="L45" s="7">
        <f>'Balanço Patrimonial'!L45</f>
        <v>4020</v>
      </c>
      <c r="M45" s="7">
        <f>'Balanço Patrimonial'!M45</f>
        <v>5077</v>
      </c>
      <c r="N45" s="7">
        <f>'Balanço Patrimonial'!N45</f>
        <v>6184</v>
      </c>
      <c r="O45" s="7">
        <f>'Balanço Patrimonial'!O45</f>
        <v>5565</v>
      </c>
      <c r="P45" s="7">
        <f>'Balanço Patrimonial'!P45</f>
        <v>99.229509999999991</v>
      </c>
      <c r="Q45" s="7">
        <f>'Balanço Patrimonial'!Q45</f>
        <v>213.11286000000001</v>
      </c>
      <c r="R45" s="7">
        <f>'Balanço Patrimonial'!R45</f>
        <v>155.39117000000005</v>
      </c>
      <c r="S45" s="7">
        <f>'Balanço Patrimonial'!S45</f>
        <v>561.30381000000011</v>
      </c>
      <c r="T45" s="7">
        <f>'Balanço Patrimonial'!T45</f>
        <v>268.59642000000002</v>
      </c>
    </row>
    <row r="46" spans="1:20" x14ac:dyDescent="0.2">
      <c r="A46" s="6" t="s">
        <v>190</v>
      </c>
      <c r="B46" s="7">
        <f>'Balanço Patrimonial'!B46</f>
        <v>10144</v>
      </c>
      <c r="C46" s="7">
        <f>'Balanço Patrimonial'!C46</f>
        <v>7943</v>
      </c>
      <c r="D46" s="7">
        <f>'Balanço Patrimonial'!D46</f>
        <v>6525</v>
      </c>
      <c r="E46" s="7">
        <f>'Balanço Patrimonial'!E46</f>
        <v>7801</v>
      </c>
      <c r="F46" s="7">
        <f>'Balanço Patrimonial'!F46</f>
        <v>7594.2290000000003</v>
      </c>
      <c r="G46" s="7">
        <f>'Balanço Patrimonial'!G46</f>
        <v>5855.6760000000004</v>
      </c>
      <c r="H46" s="7">
        <f>'Balanço Patrimonial'!H46</f>
        <v>4839</v>
      </c>
      <c r="I46" s="7">
        <f>'Balanço Patrimonial'!I46</f>
        <v>5989</v>
      </c>
      <c r="J46" s="7">
        <f>'Balanço Patrimonial'!J46</f>
        <v>6233</v>
      </c>
      <c r="K46" s="7">
        <f>'Balanço Patrimonial'!K46</f>
        <v>4704</v>
      </c>
      <c r="L46" s="7">
        <f>'Balanço Patrimonial'!L46</f>
        <v>3479</v>
      </c>
      <c r="M46" s="7">
        <f>'Balanço Patrimonial'!M46</f>
        <v>3170</v>
      </c>
      <c r="N46" s="7">
        <f>'Balanço Patrimonial'!N46</f>
        <v>1940.6352999999999</v>
      </c>
      <c r="O46" s="7">
        <f>'Balanço Patrimonial'!O46</f>
        <v>758.80918999999994</v>
      </c>
      <c r="P46" s="7">
        <f>'Balanço Patrimonial'!P46</f>
        <v>581.57173999999998</v>
      </c>
      <c r="Q46" s="7">
        <f>'Balanço Patrimonial'!Q46</f>
        <v>354.66740999999996</v>
      </c>
      <c r="R46" s="7">
        <f>'Balanço Patrimonial'!R46</f>
        <v>480.16746999999992</v>
      </c>
      <c r="S46" s="7">
        <f>'Balanço Patrimonial'!S46</f>
        <v>373.65395000000007</v>
      </c>
      <c r="T46" s="7">
        <f>'Balanço Patrimonial'!T46</f>
        <v>296.20779999999996</v>
      </c>
    </row>
    <row r="47" spans="1:20" x14ac:dyDescent="0.2">
      <c r="A47" s="6" t="s">
        <v>191</v>
      </c>
      <c r="B47" s="7">
        <f>'Balanço Patrimonial'!B47</f>
        <v>51307</v>
      </c>
      <c r="C47" s="7">
        <f>'Balanço Patrimonial'!C47</f>
        <v>44962</v>
      </c>
      <c r="D47" s="7">
        <f>'Balanço Patrimonial'!D47</f>
        <v>38839</v>
      </c>
      <c r="E47" s="7">
        <f>'Balanço Patrimonial'!E47</f>
        <v>34650</v>
      </c>
      <c r="F47" s="7">
        <f>'Balanço Patrimonial'!F47</f>
        <v>28332.532999999999</v>
      </c>
      <c r="G47" s="7">
        <f>'Balanço Patrimonial'!G47</f>
        <v>31020.067999999999</v>
      </c>
      <c r="H47" s="7">
        <f>'Balanço Patrimonial'!H47</f>
        <v>28928</v>
      </c>
      <c r="I47" s="7">
        <f>'Balanço Patrimonial'!I47</f>
        <v>36434</v>
      </c>
      <c r="J47" s="7">
        <f>'Balanço Patrimonial'!J47</f>
        <v>54157</v>
      </c>
      <c r="K47" s="7">
        <f>'Balanço Patrimonial'!K47</f>
        <v>72445</v>
      </c>
      <c r="L47" s="7">
        <f>'Balanço Patrimonial'!L47</f>
        <v>58343</v>
      </c>
      <c r="M47" s="7">
        <f>'Balanço Patrimonial'!M47</f>
        <v>79572</v>
      </c>
      <c r="N47" s="7">
        <f>'Balanço Patrimonial'!N47</f>
        <v>42547.395329999999</v>
      </c>
      <c r="O47" s="7">
        <f>'Balanço Patrimonial'!O47</f>
        <v>29684.972669999999</v>
      </c>
      <c r="P47" s="7">
        <f>'Balanço Patrimonial'!P47</f>
        <v>33776.415120000005</v>
      </c>
      <c r="Q47" s="7">
        <f>'Balanço Patrimonial'!Q47</f>
        <v>45791.233789999998</v>
      </c>
      <c r="R47" s="7">
        <f>'Balanço Patrimonial'!R47</f>
        <v>18222.577734757328</v>
      </c>
      <c r="S47" s="7">
        <f>'Balanço Patrimonial'!S47</f>
        <v>9737.7454408466892</v>
      </c>
      <c r="T47" s="7">
        <f>'Balanço Patrimonial'!T47</f>
        <v>9566.8343700000005</v>
      </c>
    </row>
    <row r="48" spans="1:20" x14ac:dyDescent="0.2">
      <c r="A48" s="6" t="s">
        <v>194</v>
      </c>
      <c r="B48" s="7">
        <f>'Balanço Patrimonial'!B48</f>
        <v>0</v>
      </c>
      <c r="C48" s="7">
        <f>'Balanço Patrimonial'!C48</f>
        <v>0</v>
      </c>
      <c r="D48" s="7">
        <f>'Balanço Patrimonial'!D48</f>
        <v>0</v>
      </c>
      <c r="E48" s="7">
        <f>'Balanço Patrimonial'!E48</f>
        <v>0</v>
      </c>
      <c r="F48" s="7">
        <f>'Balanço Patrimonial'!F48</f>
        <v>7.5999999999999998E-2</v>
      </c>
      <c r="G48" s="7">
        <f>'Balanço Patrimonial'!G48</f>
        <v>7.5999999999999998E-2</v>
      </c>
      <c r="H48" s="7">
        <f>'Balanço Patrimonial'!H48</f>
        <v>42211</v>
      </c>
      <c r="I48" s="7">
        <f>'Balanço Patrimonial'!I48</f>
        <v>42211</v>
      </c>
      <c r="J48" s="7">
        <f>'Balanço Patrimonial'!J48</f>
        <v>0</v>
      </c>
      <c r="K48" s="7">
        <f>'Balanço Patrimonial'!K48</f>
        <v>0</v>
      </c>
      <c r="L48" s="7">
        <f>'Balanço Patrimonial'!L48</f>
        <v>22212</v>
      </c>
      <c r="M48" s="7">
        <f>'Balanço Patrimonial'!M48</f>
        <v>22212</v>
      </c>
      <c r="N48" s="7">
        <f>'Balanço Patrimonial'!N48</f>
        <v>0</v>
      </c>
      <c r="O48" s="7">
        <f>'Balanço Patrimonial'!O48</f>
        <v>0</v>
      </c>
      <c r="P48" s="7">
        <f>'Balanço Patrimonial'!P48</f>
        <v>0</v>
      </c>
      <c r="Q48" s="7">
        <f>'Balanço Patrimonial'!Q48</f>
        <v>0</v>
      </c>
      <c r="R48" s="7">
        <f>'Balanço Patrimonial'!R48</f>
        <v>0</v>
      </c>
      <c r="S48" s="7">
        <f>'Balanço Patrimonial'!S48</f>
        <v>0</v>
      </c>
      <c r="T48" s="7">
        <f>'Balanço Patrimonial'!T48</f>
        <v>0</v>
      </c>
    </row>
    <row r="49" spans="1:20" x14ac:dyDescent="0.2">
      <c r="A49" s="6" t="s">
        <v>178</v>
      </c>
      <c r="B49" s="7">
        <f>'Balanço Patrimonial'!B49</f>
        <v>60000</v>
      </c>
      <c r="C49" s="7">
        <f>'Balanço Patrimonial'!C49</f>
        <v>14361</v>
      </c>
      <c r="D49" s="7">
        <f>'Balanço Patrimonial'!D49</f>
        <v>14361</v>
      </c>
      <c r="E49" s="7">
        <f>'Balanço Patrimonial'!E49</f>
        <v>14361</v>
      </c>
      <c r="F49" s="7">
        <f>'Balanço Patrimonial'!F49</f>
        <v>14360.897999999999</v>
      </c>
      <c r="G49" s="7">
        <f>'Balanço Patrimonial'!G49</f>
        <v>14360.897999999999</v>
      </c>
      <c r="H49" s="7">
        <f>'Balanço Patrimonial'!H49</f>
        <v>14361</v>
      </c>
      <c r="I49" s="7">
        <f>'Balanço Patrimonial'!I49</f>
        <v>14361</v>
      </c>
      <c r="J49" s="7">
        <f>'Balanço Patrimonial'!J49</f>
        <v>0</v>
      </c>
      <c r="K49" s="7">
        <f>'Balanço Patrimonial'!K49</f>
        <v>0</v>
      </c>
      <c r="L49" s="7">
        <f>'Balanço Patrimonial'!L49</f>
        <v>0</v>
      </c>
      <c r="M49" s="7">
        <f>'Balanço Patrimonial'!M49</f>
        <v>0</v>
      </c>
      <c r="N49" s="7">
        <f>'Balanço Patrimonial'!N49</f>
        <v>0</v>
      </c>
      <c r="O49" s="7">
        <f>'Balanço Patrimonial'!O49</f>
        <v>5.8207660913467408E-14</v>
      </c>
      <c r="P49" s="7">
        <f>'Balanço Patrimonial'!P49</f>
        <v>0</v>
      </c>
      <c r="Q49" s="7">
        <f>'Balanço Patrimonial'!Q49</f>
        <v>1624.2938899999999</v>
      </c>
      <c r="R49" s="7">
        <f>'Balanço Patrimonial'!R49</f>
        <v>16508.17109</v>
      </c>
      <c r="S49" s="7">
        <f>'Balanço Patrimonial'!S49</f>
        <v>4191.8016399999997</v>
      </c>
      <c r="T49" s="7">
        <f>'Balanço Patrimonial'!T49</f>
        <v>1.01</v>
      </c>
    </row>
    <row r="50" spans="1:20" hidden="1" outlineLevel="1" x14ac:dyDescent="0.2">
      <c r="A50" s="6" t="s">
        <v>183</v>
      </c>
      <c r="B50" s="7">
        <f>'Balanço Patrimonial'!B50</f>
        <v>0</v>
      </c>
      <c r="C50" s="7">
        <f>'Balanço Patrimonial'!C50</f>
        <v>0</v>
      </c>
      <c r="D50" s="7" t="str">
        <f>'Balanço Patrimonial'!D50</f>
        <v>-</v>
      </c>
      <c r="E50" s="7" t="str">
        <f>'Balanço Patrimonial'!E50</f>
        <v>-</v>
      </c>
      <c r="F50" s="7">
        <f>'Balanço Patrimonial'!F50</f>
        <v>0</v>
      </c>
      <c r="G50" s="7">
        <f>'Balanço Patrimonial'!G50</f>
        <v>0</v>
      </c>
      <c r="H50" s="7">
        <f>'Balanço Patrimonial'!H50</f>
        <v>0</v>
      </c>
      <c r="I50" s="7">
        <f>'Balanço Patrimonial'!I50</f>
        <v>0</v>
      </c>
      <c r="J50" s="7">
        <f>'Balanço Patrimonial'!J50</f>
        <v>0</v>
      </c>
      <c r="K50" s="7">
        <f>'Balanço Patrimonial'!K50</f>
        <v>0</v>
      </c>
      <c r="L50" s="7">
        <f>'Balanço Patrimonial'!L50</f>
        <v>0</v>
      </c>
      <c r="M50" s="7">
        <f>'Balanço Patrimonial'!M50</f>
        <v>0</v>
      </c>
      <c r="N50" s="7">
        <f>'Balanço Patrimonial'!N50</f>
        <v>0</v>
      </c>
      <c r="O50" s="7">
        <f>'Balanço Patrimonial'!O50</f>
        <v>0</v>
      </c>
      <c r="P50" s="7">
        <f>'Balanço Patrimonial'!P50</f>
        <v>0</v>
      </c>
      <c r="Q50" s="7">
        <f>'Balanço Patrimonial'!Q50</f>
        <v>0</v>
      </c>
      <c r="R50" s="7">
        <f>'Balanço Patrimonial'!R50</f>
        <v>0</v>
      </c>
      <c r="S50" s="7">
        <f>'Balanço Patrimonial'!S50</f>
        <v>0</v>
      </c>
      <c r="T50" s="7">
        <f>'Balanço Patrimonial'!T50</f>
        <v>0</v>
      </c>
    </row>
    <row r="51" spans="1:20" collapsed="1" x14ac:dyDescent="0.2">
      <c r="A51" s="6" t="s">
        <v>192</v>
      </c>
      <c r="B51" s="7">
        <f>'Balanço Patrimonial'!B51</f>
        <v>256305</v>
      </c>
      <c r="C51" s="7">
        <f>'Balanço Patrimonial'!C51</f>
        <v>251158</v>
      </c>
      <c r="D51" s="7">
        <f>'Balanço Patrimonial'!D51</f>
        <v>240298</v>
      </c>
      <c r="E51" s="7">
        <f>'Balanço Patrimonial'!E51</f>
        <v>242221</v>
      </c>
      <c r="F51" s="7">
        <f>'Balanço Patrimonial'!F51</f>
        <v>317919.54100000003</v>
      </c>
      <c r="G51" s="7">
        <f>'Balanço Patrimonial'!G51</f>
        <v>300795.962</v>
      </c>
      <c r="H51" s="7">
        <f>'Balanço Patrimonial'!H51</f>
        <v>246932</v>
      </c>
      <c r="I51" s="7">
        <f>'Balanço Patrimonial'!I51</f>
        <v>233569</v>
      </c>
      <c r="J51" s="7">
        <f>'Balanço Patrimonial'!J51</f>
        <v>208509</v>
      </c>
      <c r="K51" s="7">
        <f>'Balanço Patrimonial'!K51</f>
        <v>166935</v>
      </c>
      <c r="L51" s="7">
        <f>'Balanço Patrimonial'!L51</f>
        <v>162381</v>
      </c>
      <c r="M51" s="7">
        <f>'Balanço Patrimonial'!M51</f>
        <v>163656</v>
      </c>
      <c r="N51" s="7">
        <f>'Balanço Patrimonial'!N51</f>
        <v>158548.42192000002</v>
      </c>
      <c r="O51" s="7">
        <f>'Balanço Patrimonial'!O51</f>
        <v>173702.79786000002</v>
      </c>
      <c r="P51" s="7">
        <f>'Balanço Patrimonial'!P51</f>
        <v>169341.47784000001</v>
      </c>
      <c r="Q51" s="7">
        <f>'Balanço Patrimonial'!Q51</f>
        <v>133171.75797999999</v>
      </c>
      <c r="R51" s="7">
        <f>'Balanço Patrimonial'!R51</f>
        <v>78532.823572512512</v>
      </c>
      <c r="S51" s="7">
        <f>'Balanço Patrimonial'!S51</f>
        <v>76493.948208609916</v>
      </c>
      <c r="T51" s="7">
        <f>'Balanço Patrimonial'!T51</f>
        <v>48168.115689999999</v>
      </c>
    </row>
    <row r="52" spans="1:20" x14ac:dyDescent="0.2">
      <c r="A52" s="6" t="s">
        <v>193</v>
      </c>
      <c r="B52" s="7">
        <f>'Balanço Patrimonial'!B52</f>
        <v>1074</v>
      </c>
      <c r="C52" s="7">
        <f>'Balanço Patrimonial'!C52</f>
        <v>2326</v>
      </c>
      <c r="D52" s="7">
        <f>'Balanço Patrimonial'!D52</f>
        <v>4169</v>
      </c>
      <c r="E52" s="7">
        <f>'Balanço Patrimonial'!E52</f>
        <v>1448</v>
      </c>
      <c r="F52" s="7">
        <f>'Balanço Patrimonial'!F52</f>
        <v>1335.366</v>
      </c>
      <c r="G52" s="7">
        <f>'Balanço Patrimonial'!G52</f>
        <v>3262.19</v>
      </c>
      <c r="H52" s="7">
        <f>'Balanço Patrimonial'!H52</f>
        <v>5216</v>
      </c>
      <c r="I52" s="7">
        <f>'Balanço Patrimonial'!I52</f>
        <v>3637</v>
      </c>
      <c r="J52" s="7">
        <f>'Balanço Patrimonial'!J52</f>
        <v>3762</v>
      </c>
      <c r="K52" s="7">
        <f>'Balanço Patrimonial'!K52</f>
        <v>861</v>
      </c>
      <c r="L52" s="7">
        <f>'Balanço Patrimonial'!L52</f>
        <v>922</v>
      </c>
      <c r="M52" s="7">
        <f>'Balanço Patrimonial'!M52</f>
        <v>4641</v>
      </c>
      <c r="N52" s="7">
        <f>'Balanço Patrimonial'!N52</f>
        <v>4831.238949999999</v>
      </c>
      <c r="O52" s="7">
        <f>'Balanço Patrimonial'!O52</f>
        <v>1468.4996299999998</v>
      </c>
      <c r="P52" s="7">
        <f>'Balanço Patrimonial'!P52</f>
        <v>1235.9275299999997</v>
      </c>
      <c r="Q52" s="7">
        <f>'Balanço Patrimonial'!Q52</f>
        <v>1079.0436999999997</v>
      </c>
      <c r="R52" s="7">
        <f>'Balanço Patrimonial'!R52</f>
        <v>1237.2072900000001</v>
      </c>
      <c r="S52" s="7">
        <f>'Balanço Patrimonial'!S52</f>
        <v>973.51807000000724</v>
      </c>
      <c r="T52" s="7">
        <f>'Balanço Patrimonial'!T52</f>
        <v>890.79880000000003</v>
      </c>
    </row>
    <row r="53" spans="1:20" ht="12.75" thickBot="1" x14ac:dyDescent="0.25">
      <c r="A53" s="16" t="s">
        <v>323</v>
      </c>
      <c r="B53" s="15">
        <f t="shared" ref="B53:C53" si="24">SUM(B38:B52)</f>
        <v>457222</v>
      </c>
      <c r="C53" s="15">
        <f t="shared" si="24"/>
        <v>362117</v>
      </c>
      <c r="D53" s="15">
        <f t="shared" ref="D53:E53" si="25">SUM(D38:D52)</f>
        <v>351249</v>
      </c>
      <c r="E53" s="15">
        <f t="shared" si="25"/>
        <v>334718</v>
      </c>
      <c r="F53" s="15">
        <f t="shared" ref="F53:G53" si="26">SUM(F38:F52)</f>
        <v>407460.09299999999</v>
      </c>
      <c r="G53" s="15">
        <f t="shared" si="26"/>
        <v>387763.011</v>
      </c>
      <c r="H53" s="15">
        <f t="shared" ref="H53:I53" si="27">SUM(H38:H52)</f>
        <v>373193</v>
      </c>
      <c r="I53" s="15">
        <f t="shared" si="27"/>
        <v>359087</v>
      </c>
      <c r="J53" s="15">
        <f t="shared" ref="J53:O53" si="28">SUM(J38:J52)</f>
        <v>300965</v>
      </c>
      <c r="K53" s="15">
        <f t="shared" si="28"/>
        <v>271271</v>
      </c>
      <c r="L53" s="15">
        <f t="shared" si="28"/>
        <v>268959</v>
      </c>
      <c r="M53" s="15">
        <f t="shared" si="28"/>
        <v>293104</v>
      </c>
      <c r="N53" s="15">
        <f t="shared" si="28"/>
        <v>225468.01903000002</v>
      </c>
      <c r="O53" s="15">
        <f t="shared" si="28"/>
        <v>220503.06495000003</v>
      </c>
      <c r="P53" s="15">
        <f t="shared" ref="P53:T53" si="29">SUM(P38:P52)</f>
        <v>224834.31167</v>
      </c>
      <c r="Q53" s="15">
        <f t="shared" si="29"/>
        <v>204153.50299000001</v>
      </c>
      <c r="R53" s="15">
        <f t="shared" si="29"/>
        <v>152216.28868726984</v>
      </c>
      <c r="S53" s="15">
        <f t="shared" si="29"/>
        <v>103348.92993945662</v>
      </c>
      <c r="T53" s="15">
        <f t="shared" si="29"/>
        <v>75052.448168152041</v>
      </c>
    </row>
    <row r="54" spans="1:20" ht="12.75" thickTop="1" x14ac:dyDescent="0.2">
      <c r="A54" s="6" t="s">
        <v>185</v>
      </c>
      <c r="B54" s="7">
        <f>'Balanço Patrimonial'!B54</f>
        <v>147001</v>
      </c>
      <c r="C54" s="7">
        <f>'Balanço Patrimonial'!C54</f>
        <v>63357</v>
      </c>
      <c r="D54" s="7">
        <f>'Balanço Patrimonial'!D54</f>
        <v>42142</v>
      </c>
      <c r="E54" s="7">
        <f>'Balanço Patrimonial'!E54</f>
        <v>42243</v>
      </c>
      <c r="F54" s="7">
        <f>'Balanço Patrimonial'!F54</f>
        <v>1524.9580000000001</v>
      </c>
      <c r="G54" s="7">
        <f>'Balanço Patrimonial'!G54</f>
        <v>515.03099999999995</v>
      </c>
      <c r="H54" s="7">
        <f>'Balanço Patrimonial'!H54</f>
        <v>508</v>
      </c>
      <c r="I54" s="7">
        <f>'Balanço Patrimonial'!I54</f>
        <v>413</v>
      </c>
      <c r="J54" s="7">
        <f>'Balanço Patrimonial'!J54</f>
        <v>50204</v>
      </c>
      <c r="K54" s="7">
        <f>'Balanço Patrimonial'!K54</f>
        <v>50204</v>
      </c>
      <c r="L54" s="7">
        <f>'Balanço Patrimonial'!L54</f>
        <v>50204</v>
      </c>
      <c r="M54" s="7">
        <f>'Balanço Patrimonial'!M54</f>
        <v>54200</v>
      </c>
      <c r="N54" s="7">
        <f>'Balanço Patrimonial'!N54</f>
        <v>50200</v>
      </c>
      <c r="O54" s="7">
        <f>'Balanço Patrimonial'!O54</f>
        <v>50000</v>
      </c>
      <c r="P54" s="7">
        <f>'Balanço Patrimonial'!P54</f>
        <v>51386.985789999999</v>
      </c>
      <c r="Q54" s="7">
        <f>'Balanço Patrimonial'!Q54</f>
        <v>51108.486109999998</v>
      </c>
      <c r="R54" s="7">
        <f>'Balanço Patrimonial'!R54</f>
        <v>1242.49127</v>
      </c>
      <c r="S54" s="7">
        <f>'Balanço Patrimonial'!S54</f>
        <v>30761.843849999997</v>
      </c>
      <c r="T54" s="7">
        <f>'Balanço Patrimonial'!T54</f>
        <v>18361.165392260471</v>
      </c>
    </row>
    <row r="55" spans="1:20" hidden="1" outlineLevel="1" x14ac:dyDescent="0.2">
      <c r="A55" s="6" t="s">
        <v>56</v>
      </c>
      <c r="B55" s="7">
        <f>'Balanço Patrimonial'!B55</f>
        <v>0</v>
      </c>
      <c r="C55" s="7">
        <f>'Balanço Patrimonial'!C55</f>
        <v>0</v>
      </c>
      <c r="D55" s="7" t="str">
        <f>'Balanço Patrimonial'!D55</f>
        <v>-</v>
      </c>
      <c r="E55" s="7" t="str">
        <f>'Balanço Patrimonial'!E55</f>
        <v>-</v>
      </c>
      <c r="F55" s="7">
        <f>'Balanço Patrimonial'!F55</f>
        <v>0</v>
      </c>
      <c r="G55" s="7">
        <f>'Balanço Patrimonial'!G55</f>
        <v>0</v>
      </c>
      <c r="H55" s="7">
        <f>'Balanço Patrimonial'!H55</f>
        <v>0</v>
      </c>
      <c r="I55" s="7">
        <f>'Balanço Patrimonial'!I55</f>
        <v>0</v>
      </c>
      <c r="J55" s="7">
        <f>'Balanço Patrimonial'!J55</f>
        <v>0</v>
      </c>
      <c r="K55" s="7">
        <f>'Balanço Patrimonial'!K55</f>
        <v>0</v>
      </c>
      <c r="L55" s="7">
        <f>'Balanço Patrimonial'!L55</f>
        <v>0</v>
      </c>
      <c r="M55" s="7">
        <f>'Balanço Patrimonial'!M55</f>
        <v>0</v>
      </c>
      <c r="N55" s="7">
        <f>'Balanço Patrimonial'!N55</f>
        <v>0</v>
      </c>
      <c r="O55" s="7">
        <f>'Balanço Patrimonial'!O55</f>
        <v>0</v>
      </c>
      <c r="P55" s="7">
        <f>'Balanço Patrimonial'!P55</f>
        <v>0</v>
      </c>
      <c r="Q55" s="7">
        <f>'Balanço Patrimonial'!Q55</f>
        <v>0</v>
      </c>
      <c r="R55" s="7">
        <f>'Balanço Patrimonial'!R55</f>
        <v>0</v>
      </c>
      <c r="S55" s="7">
        <f>'Balanço Patrimonial'!S55</f>
        <v>0</v>
      </c>
      <c r="T55" s="7">
        <f>'Balanço Patrimonial'!T55</f>
        <v>0</v>
      </c>
    </row>
    <row r="56" spans="1:20" hidden="1" outlineLevel="1" x14ac:dyDescent="0.2">
      <c r="A56" s="6" t="s">
        <v>57</v>
      </c>
      <c r="B56" s="7">
        <f>'Balanço Patrimonial'!B56</f>
        <v>0</v>
      </c>
      <c r="C56" s="7">
        <f>'Balanço Patrimonial'!C56</f>
        <v>0</v>
      </c>
      <c r="D56" s="7" t="str">
        <f>'Balanço Patrimonial'!D56</f>
        <v>-</v>
      </c>
      <c r="E56" s="7" t="str">
        <f>'Balanço Patrimonial'!E56</f>
        <v>-</v>
      </c>
      <c r="F56" s="7">
        <f>'Balanço Patrimonial'!F56</f>
        <v>0</v>
      </c>
      <c r="G56" s="7">
        <f>'Balanço Patrimonial'!G56</f>
        <v>0</v>
      </c>
      <c r="H56" s="7">
        <f>'Balanço Patrimonial'!H56</f>
        <v>0</v>
      </c>
      <c r="I56" s="7">
        <f>'Balanço Patrimonial'!I56</f>
        <v>0</v>
      </c>
      <c r="J56" s="7">
        <f>'Balanço Patrimonial'!J56</f>
        <v>0</v>
      </c>
      <c r="K56" s="7">
        <f>'Balanço Patrimonial'!K56</f>
        <v>0</v>
      </c>
      <c r="L56" s="7">
        <f>'Balanço Patrimonial'!L56</f>
        <v>0</v>
      </c>
      <c r="M56" s="7">
        <f>'Balanço Patrimonial'!M56</f>
        <v>0</v>
      </c>
      <c r="N56" s="7">
        <f>'Balanço Patrimonial'!N56</f>
        <v>0</v>
      </c>
      <c r="O56" s="7">
        <f>'Balanço Patrimonial'!O56</f>
        <v>0</v>
      </c>
      <c r="P56" s="7">
        <f>'Balanço Patrimonial'!P56</f>
        <v>0</v>
      </c>
      <c r="Q56" s="7">
        <f>'Balanço Patrimonial'!Q56</f>
        <v>0</v>
      </c>
      <c r="R56" s="7">
        <f>'Balanço Patrimonial'!R56</f>
        <v>0</v>
      </c>
      <c r="S56" s="7">
        <f>'Balanço Patrimonial'!S56</f>
        <v>0</v>
      </c>
      <c r="T56" s="7">
        <f>'Balanço Patrimonial'!T56</f>
        <v>0</v>
      </c>
    </row>
    <row r="57" spans="1:20" collapsed="1" x14ac:dyDescent="0.2">
      <c r="A57" s="6" t="s">
        <v>186</v>
      </c>
      <c r="B57" s="7">
        <f>'Balanço Patrimonial'!B57</f>
        <v>1399</v>
      </c>
      <c r="C57" s="7">
        <f>'Balanço Patrimonial'!C57</f>
        <v>1086</v>
      </c>
      <c r="D57" s="7">
        <f>'Balanço Patrimonial'!D57</f>
        <v>1287</v>
      </c>
      <c r="E57" s="7">
        <f>'Balanço Patrimonial'!E57</f>
        <v>1472</v>
      </c>
      <c r="F57" s="7">
        <f>'Balanço Patrimonial'!F57</f>
        <v>1697.3520000000001</v>
      </c>
      <c r="G57" s="7">
        <f>'Balanço Patrimonial'!G57</f>
        <v>1861.114</v>
      </c>
      <c r="H57" s="7">
        <f>'Balanço Patrimonial'!H57</f>
        <v>2018</v>
      </c>
      <c r="I57" s="7">
        <f>'Balanço Patrimonial'!I57</f>
        <v>2149</v>
      </c>
      <c r="J57" s="7">
        <f>'Balanço Patrimonial'!J57</f>
        <v>2272</v>
      </c>
      <c r="K57" s="7">
        <f>'Balanço Patrimonial'!K57</f>
        <v>2382</v>
      </c>
      <c r="L57" s="7">
        <f>'Balanço Patrimonial'!L57</f>
        <v>2382</v>
      </c>
      <c r="M57" s="7">
        <f>'Balanço Patrimonial'!M57</f>
        <v>1479</v>
      </c>
      <c r="N57" s="7">
        <f>'Balanço Patrimonial'!N57</f>
        <v>1299.6446299999998</v>
      </c>
      <c r="O57" s="7">
        <f>'Balanço Patrimonial'!O57</f>
        <v>1346.94523</v>
      </c>
      <c r="P57" s="7">
        <f>'Balanço Patrimonial'!P57</f>
        <v>0</v>
      </c>
      <c r="Q57" s="7">
        <f>'Balanço Patrimonial'!Q57</f>
        <v>0</v>
      </c>
      <c r="R57" s="7">
        <f>'Balanço Patrimonial'!R57</f>
        <v>0</v>
      </c>
      <c r="S57" s="7">
        <f>'Balanço Patrimonial'!S57</f>
        <v>0</v>
      </c>
      <c r="T57" s="7">
        <f>'Balanço Patrimonial'!T57</f>
        <v>0</v>
      </c>
    </row>
    <row r="58" spans="1:20" hidden="1" outlineLevel="1" x14ac:dyDescent="0.2">
      <c r="A58" s="6" t="s">
        <v>187</v>
      </c>
      <c r="B58" s="7">
        <f>'Balanço Patrimonial'!B58</f>
        <v>0</v>
      </c>
      <c r="C58" s="7">
        <f>'Balanço Patrimonial'!C58</f>
        <v>0</v>
      </c>
      <c r="D58" s="7" t="str">
        <f>'Balanço Patrimonial'!D58</f>
        <v>-</v>
      </c>
      <c r="E58" s="7" t="str">
        <f>'Balanço Patrimonial'!E58</f>
        <v>-</v>
      </c>
      <c r="F58" s="7">
        <f>'Balanço Patrimonial'!F58</f>
        <v>0</v>
      </c>
      <c r="G58" s="7">
        <f>'Balanço Patrimonial'!G58</f>
        <v>0</v>
      </c>
      <c r="H58" s="7">
        <f>'Balanço Patrimonial'!H58</f>
        <v>0</v>
      </c>
      <c r="I58" s="7">
        <f>'Balanço Patrimonial'!I58</f>
        <v>0</v>
      </c>
      <c r="J58" s="7">
        <f>'Balanço Patrimonial'!J58</f>
        <v>0</v>
      </c>
      <c r="K58" s="7">
        <f>'Balanço Patrimonial'!K58</f>
        <v>0</v>
      </c>
      <c r="L58" s="7">
        <f>'Balanço Patrimonial'!L58</f>
        <v>0</v>
      </c>
      <c r="M58" s="7">
        <f>'Balanço Patrimonial'!M58</f>
        <v>0</v>
      </c>
      <c r="N58" s="7">
        <f>'Balanço Patrimonial'!N58</f>
        <v>-3.7252902984619141E-12</v>
      </c>
      <c r="O58" s="7">
        <f>'Balanço Patrimonial'!O58</f>
        <v>0</v>
      </c>
      <c r="P58" s="7">
        <f>'Balanço Patrimonial'!P58</f>
        <v>0</v>
      </c>
      <c r="Q58" s="7">
        <f>'Balanço Patrimonial'!Q58</f>
        <v>-3.7252902984619141E-12</v>
      </c>
      <c r="R58" s="7">
        <f>'Balanço Patrimonial'!R58</f>
        <v>0</v>
      </c>
      <c r="S58" s="7">
        <f>'Balanço Patrimonial'!S58</f>
        <v>-3.7252902984619141E-12</v>
      </c>
      <c r="T58" s="7">
        <f>'Balanço Patrimonial'!T58</f>
        <v>-3.7252902984619141E-12</v>
      </c>
    </row>
    <row r="59" spans="1:20" collapsed="1" x14ac:dyDescent="0.2">
      <c r="A59" s="6" t="s">
        <v>188</v>
      </c>
      <c r="B59" s="7">
        <f>'Balanço Patrimonial'!B59</f>
        <v>9119</v>
      </c>
      <c r="C59" s="7">
        <f>'Balanço Patrimonial'!C59</f>
        <v>7838</v>
      </c>
      <c r="D59" s="7">
        <f>'Balanço Patrimonial'!D59</f>
        <v>6870</v>
      </c>
      <c r="E59" s="7">
        <f>'Balanço Patrimonial'!E59</f>
        <v>6235</v>
      </c>
      <c r="F59" s="7">
        <f>'Balanço Patrimonial'!F59</f>
        <v>5497.7669999999998</v>
      </c>
      <c r="G59" s="7">
        <f>'Balanço Patrimonial'!G59</f>
        <v>4731.9350000000004</v>
      </c>
      <c r="H59" s="7">
        <f>'Balanço Patrimonial'!H59</f>
        <v>4148</v>
      </c>
      <c r="I59" s="7">
        <f>'Balanço Patrimonial'!I59</f>
        <v>5499</v>
      </c>
      <c r="J59" s="7">
        <f>'Balanço Patrimonial'!J59</f>
        <v>5144</v>
      </c>
      <c r="K59" s="7">
        <f>'Balanço Patrimonial'!K59</f>
        <v>5255</v>
      </c>
      <c r="L59" s="7">
        <f>'Balanço Patrimonial'!L59</f>
        <v>3635</v>
      </c>
      <c r="M59" s="7">
        <f>'Balanço Patrimonial'!M59</f>
        <v>3191</v>
      </c>
      <c r="N59" s="7">
        <f>'Balanço Patrimonial'!N59</f>
        <v>3380.4170100000001</v>
      </c>
      <c r="O59" s="7">
        <f>'Balanço Patrimonial'!O59</f>
        <v>2775.7782700000007</v>
      </c>
      <c r="P59" s="7">
        <f>'Balanço Patrimonial'!P59</f>
        <v>2297.5998</v>
      </c>
      <c r="Q59" s="7">
        <f>'Balanço Patrimonial'!Q59</f>
        <v>1128.2353400000002</v>
      </c>
      <c r="R59" s="7">
        <f>'Balanço Patrimonial'!R59</f>
        <v>1752.0246086107879</v>
      </c>
      <c r="S59" s="7">
        <f>'Balanço Patrimonial'!S59</f>
        <v>1371.0778735673698</v>
      </c>
      <c r="T59" s="7">
        <f>'Balanço Patrimonial'!T59</f>
        <v>993.13236000000006</v>
      </c>
    </row>
    <row r="60" spans="1:20" hidden="1" outlineLevel="1" x14ac:dyDescent="0.2">
      <c r="A60" s="6" t="s">
        <v>173</v>
      </c>
      <c r="B60" s="7">
        <f>'Balanço Patrimonial'!B60</f>
        <v>0</v>
      </c>
      <c r="C60" s="7">
        <f>'Balanço Patrimonial'!C60</f>
        <v>0</v>
      </c>
      <c r="D60" s="7" t="str">
        <f>'Balanço Patrimonial'!D60</f>
        <v>-</v>
      </c>
      <c r="E60" s="7" t="str">
        <f>'Balanço Patrimonial'!E60</f>
        <v>-</v>
      </c>
      <c r="F60" s="7">
        <f>'Balanço Patrimonial'!F60</f>
        <v>0</v>
      </c>
      <c r="G60" s="7">
        <f>'Balanço Patrimonial'!G60</f>
        <v>0</v>
      </c>
      <c r="H60" s="7">
        <f>'Balanço Patrimonial'!H60</f>
        <v>0</v>
      </c>
      <c r="I60" s="7">
        <f>'Balanço Patrimonial'!I60</f>
        <v>0</v>
      </c>
      <c r="J60" s="7">
        <f>'Balanço Patrimonial'!J60</f>
        <v>0</v>
      </c>
      <c r="K60" s="7">
        <f>'Balanço Patrimonial'!K60</f>
        <v>0</v>
      </c>
      <c r="L60" s="7">
        <f>'Balanço Patrimonial'!L60</f>
        <v>0</v>
      </c>
      <c r="M60" s="7">
        <f>'Balanço Patrimonial'!M60</f>
        <v>0</v>
      </c>
      <c r="N60" s="7">
        <f>'Balanço Patrimonial'!N60</f>
        <v>0</v>
      </c>
      <c r="O60" s="7">
        <f>'Balanço Patrimonial'!O60</f>
        <v>0</v>
      </c>
      <c r="P60" s="7">
        <f>'Balanço Patrimonial'!P60</f>
        <v>0</v>
      </c>
      <c r="Q60" s="7">
        <f>'Balanço Patrimonial'!Q60</f>
        <v>0</v>
      </c>
      <c r="R60" s="7">
        <f>'Balanço Patrimonial'!R60</f>
        <v>0</v>
      </c>
      <c r="S60" s="7">
        <f>'Balanço Patrimonial'!S60</f>
        <v>0</v>
      </c>
      <c r="T60" s="7">
        <f>'Balanço Patrimonial'!T60</f>
        <v>0</v>
      </c>
    </row>
    <row r="61" spans="1:20" collapsed="1" x14ac:dyDescent="0.2">
      <c r="A61" s="6" t="s">
        <v>191</v>
      </c>
      <c r="B61" s="7">
        <f>'Balanço Patrimonial'!B61</f>
        <v>81565</v>
      </c>
      <c r="C61" s="7">
        <f>'Balanço Patrimonial'!C61</f>
        <v>92669</v>
      </c>
      <c r="D61" s="7">
        <f>'Balanço Patrimonial'!D61</f>
        <v>102312</v>
      </c>
      <c r="E61" s="7">
        <f>'Balanço Patrimonial'!E61</f>
        <v>111408</v>
      </c>
      <c r="F61" s="7">
        <f>'Balanço Patrimonial'!F61</f>
        <v>93718.547000000006</v>
      </c>
      <c r="G61" s="7">
        <f>'Balanço Patrimonial'!G61</f>
        <v>98351.451000000001</v>
      </c>
      <c r="H61" s="7">
        <f>'Balanço Patrimonial'!H61</f>
        <v>102127</v>
      </c>
      <c r="I61" s="7">
        <f>'Balanço Patrimonial'!I61</f>
        <v>104593</v>
      </c>
      <c r="J61" s="7">
        <f>'Balanço Patrimonial'!J61</f>
        <v>105745</v>
      </c>
      <c r="K61" s="7">
        <f>'Balanço Patrimonial'!K61</f>
        <v>99877</v>
      </c>
      <c r="L61" s="7">
        <f>'Balanço Patrimonial'!L61</f>
        <v>17654</v>
      </c>
      <c r="M61" s="7">
        <f>'Balanço Patrimonial'!M61</f>
        <v>16597</v>
      </c>
      <c r="N61" s="7">
        <f>'Balanço Patrimonial'!N61</f>
        <v>16261.57676</v>
      </c>
      <c r="O61" s="7">
        <f>'Balanço Patrimonial'!O61</f>
        <v>30959.297730000002</v>
      </c>
      <c r="P61" s="7">
        <f>'Balanço Patrimonial'!P61</f>
        <v>35602.20521</v>
      </c>
      <c r="Q61" s="7">
        <f>'Balanço Patrimonial'!Q61</f>
        <v>29466.111840000001</v>
      </c>
      <c r="R61" s="7">
        <f>'Balanço Patrimonial'!R61</f>
        <v>37694.23301089531</v>
      </c>
      <c r="S61" s="7">
        <f>'Balanço Patrimonial'!S61</f>
        <v>46432.259874805946</v>
      </c>
      <c r="T61" s="7">
        <f>'Balanço Patrimonial'!T61</f>
        <v>47606.847329999997</v>
      </c>
    </row>
    <row r="62" spans="1:20" x14ac:dyDescent="0.2">
      <c r="A62" s="6" t="s">
        <v>195</v>
      </c>
      <c r="B62" s="7">
        <f>'Balanço Patrimonial'!B62</f>
        <v>7062</v>
      </c>
      <c r="C62" s="7">
        <f>'Balanço Patrimonial'!C62</f>
        <v>6255</v>
      </c>
      <c r="D62" s="7">
        <f>'Balanço Patrimonial'!D62</f>
        <v>5693</v>
      </c>
      <c r="E62" s="7">
        <f>'Balanço Patrimonial'!E62</f>
        <v>5343</v>
      </c>
      <c r="F62" s="7">
        <f>'Balanço Patrimonial'!F62</f>
        <v>6891.0360000000001</v>
      </c>
      <c r="G62" s="7">
        <f>'Balanço Patrimonial'!G62</f>
        <v>6636.72</v>
      </c>
      <c r="H62" s="7">
        <f>'Balanço Patrimonial'!H62</f>
        <v>6494</v>
      </c>
      <c r="I62" s="7">
        <f>'Balanço Patrimonial'!I62</f>
        <v>6388</v>
      </c>
      <c r="J62" s="7">
        <f>'Balanço Patrimonial'!J62</f>
        <v>6297</v>
      </c>
      <c r="K62" s="7">
        <f>'Balanço Patrimonial'!K62</f>
        <v>6272</v>
      </c>
      <c r="L62" s="7">
        <f>'Balanço Patrimonial'!L62</f>
        <v>6420</v>
      </c>
      <c r="M62" s="7">
        <f>'Balanço Patrimonial'!M62</f>
        <v>6549</v>
      </c>
      <c r="N62" s="7">
        <f>'Balanço Patrimonial'!N62</f>
        <v>6021.9597199999998</v>
      </c>
      <c r="O62" s="7">
        <f>'Balanço Patrimonial'!O62</f>
        <v>4999.5879599999998</v>
      </c>
      <c r="P62" s="7">
        <f>'Balanço Patrimonial'!P62</f>
        <v>4220.2360899999994</v>
      </c>
      <c r="Q62" s="7">
        <f>'Balanço Patrimonial'!Q62</f>
        <v>3832.4119799999999</v>
      </c>
      <c r="R62" s="7">
        <f>'Balanço Patrimonial'!R62</f>
        <v>3325.3693900000003</v>
      </c>
      <c r="S62" s="7">
        <f>'Balanço Patrimonial'!S62</f>
        <v>2859.5059500000002</v>
      </c>
      <c r="T62" s="7">
        <f>'Balanço Patrimonial'!T62</f>
        <v>2338.6715199999999</v>
      </c>
    </row>
    <row r="63" spans="1:20" x14ac:dyDescent="0.2">
      <c r="A63" s="6" t="s">
        <v>190</v>
      </c>
      <c r="B63" s="7">
        <f>'Balanço Patrimonial'!B63</f>
        <v>3130</v>
      </c>
      <c r="C63" s="7">
        <f>'Balanço Patrimonial'!C63</f>
        <v>3947</v>
      </c>
      <c r="D63" s="7">
        <f>'Balanço Patrimonial'!D63</f>
        <v>2982</v>
      </c>
      <c r="E63" s="7">
        <f>'Balanço Patrimonial'!E63</f>
        <v>2251</v>
      </c>
      <c r="F63" s="7">
        <f>'Balanço Patrimonial'!F63</f>
        <v>2585.7939999999999</v>
      </c>
      <c r="G63" s="7">
        <f>'Balanço Patrimonial'!G63</f>
        <v>6348.8069999999998</v>
      </c>
      <c r="H63" s="7">
        <f>'Balanço Patrimonial'!H63</f>
        <v>5085</v>
      </c>
      <c r="I63" s="7">
        <f>'Balanço Patrimonial'!I63</f>
        <v>4450</v>
      </c>
      <c r="J63" s="7">
        <f>'Balanço Patrimonial'!J63</f>
        <v>5992</v>
      </c>
      <c r="K63" s="7">
        <f>'Balanço Patrimonial'!K63</f>
        <v>8816</v>
      </c>
      <c r="L63" s="7">
        <f>'Balanço Patrimonial'!L63</f>
        <v>5640</v>
      </c>
      <c r="M63" s="7">
        <f>'Balanço Patrimonial'!M63</f>
        <v>4912</v>
      </c>
      <c r="N63" s="7">
        <f>'Balanço Patrimonial'!N63</f>
        <v>3048.9039699999998</v>
      </c>
      <c r="O63" s="7">
        <f>'Balanço Patrimonial'!O63</f>
        <v>2166</v>
      </c>
      <c r="P63" s="7">
        <f>'Balanço Patrimonial'!P63</f>
        <v>7280.0844399999996</v>
      </c>
      <c r="Q63" s="7">
        <f>'Balanço Patrimonial'!Q63</f>
        <v>6978.8336800000016</v>
      </c>
      <c r="R63" s="7">
        <f>'Balanço Patrimonial'!R63</f>
        <v>5942.9278074193426</v>
      </c>
      <c r="S63" s="7">
        <f>'Balanço Patrimonial'!S63</f>
        <v>5829.1391800000001</v>
      </c>
      <c r="T63" s="7">
        <f>'Balanço Patrimonial'!T63</f>
        <v>4259.6383399999995</v>
      </c>
    </row>
    <row r="64" spans="1:20" x14ac:dyDescent="0.2">
      <c r="A64" s="6" t="s">
        <v>192</v>
      </c>
      <c r="B64" s="7">
        <f>'Balanço Patrimonial'!B64</f>
        <v>89270</v>
      </c>
      <c r="C64" s="7">
        <f>'Balanço Patrimonial'!C64</f>
        <v>113349</v>
      </c>
      <c r="D64" s="7">
        <f>'Balanço Patrimonial'!D64</f>
        <v>93181</v>
      </c>
      <c r="E64" s="7">
        <f>'Balanço Patrimonial'!E64</f>
        <v>91531</v>
      </c>
      <c r="F64" s="7">
        <f>'Balanço Patrimonial'!F64</f>
        <v>0</v>
      </c>
      <c r="G64" s="7">
        <f>'Balanço Patrimonial'!G64</f>
        <v>0</v>
      </c>
      <c r="H64" s="7">
        <f>'Balanço Patrimonial'!H64</f>
        <v>0</v>
      </c>
      <c r="I64" s="7">
        <f>'Balanço Patrimonial'!I64</f>
        <v>0</v>
      </c>
      <c r="J64" s="7">
        <f>'Balanço Patrimonial'!J64</f>
        <v>0</v>
      </c>
      <c r="K64" s="7">
        <f>'Balanço Patrimonial'!K64</f>
        <v>0</v>
      </c>
      <c r="L64" s="7">
        <f>'Balanço Patrimonial'!L64</f>
        <v>0</v>
      </c>
      <c r="M64" s="7">
        <f>'Balanço Patrimonial'!M64</f>
        <v>0</v>
      </c>
      <c r="N64" s="7">
        <f>'Balanço Patrimonial'!N64</f>
        <v>18528.590780000002</v>
      </c>
      <c r="O64" s="7">
        <f>'Balanço Patrimonial'!O64</f>
        <v>13897.27729</v>
      </c>
      <c r="P64" s="7">
        <f>'Balanço Patrimonial'!P64</f>
        <v>22386.520989999997</v>
      </c>
      <c r="Q64" s="7">
        <f>'Balanço Patrimonial'!Q64</f>
        <v>22515.307529999998</v>
      </c>
      <c r="R64" s="7">
        <f>'Balanço Patrimonial'!R64</f>
        <v>22515.307529999998</v>
      </c>
      <c r="S64" s="7">
        <f>'Balanço Patrimonial'!S64</f>
        <v>22515.307530000002</v>
      </c>
      <c r="T64" s="7">
        <f>'Balanço Patrimonial'!T64</f>
        <v>22515.307529999998</v>
      </c>
    </row>
    <row r="65" spans="1:20" x14ac:dyDescent="0.2">
      <c r="A65" s="6" t="s">
        <v>193</v>
      </c>
      <c r="B65" s="7">
        <f>'Balanço Patrimonial'!B65</f>
        <v>71179</v>
      </c>
      <c r="C65" s="7">
        <f>'Balanço Patrimonial'!C65</f>
        <v>69698</v>
      </c>
      <c r="D65" s="7">
        <f>'Balanço Patrimonial'!D65</f>
        <v>110339</v>
      </c>
      <c r="E65" s="7">
        <f>'Balanço Patrimonial'!E65</f>
        <v>77406</v>
      </c>
      <c r="F65" s="7">
        <f>'Balanço Patrimonial'!F65</f>
        <v>43401.623</v>
      </c>
      <c r="G65" s="7">
        <f>'Balanço Patrimonial'!G65</f>
        <v>37120.468999999997</v>
      </c>
      <c r="H65" s="7">
        <f>'Balanço Patrimonial'!H65</f>
        <v>18235</v>
      </c>
      <c r="I65" s="7">
        <f>'Balanço Patrimonial'!I65</f>
        <v>18500</v>
      </c>
      <c r="J65" s="7">
        <f>'Balanço Patrimonial'!J65</f>
        <v>24204</v>
      </c>
      <c r="K65" s="7">
        <f>'Balanço Patrimonial'!K65</f>
        <v>25880</v>
      </c>
      <c r="L65" s="7">
        <f>'Balanço Patrimonial'!L65</f>
        <v>13421</v>
      </c>
      <c r="M65" s="7">
        <f>'Balanço Patrimonial'!M65</f>
        <v>13419</v>
      </c>
      <c r="N65" s="7">
        <f>'Balanço Patrimonial'!N65</f>
        <v>13419.692930000023</v>
      </c>
      <c r="O65" s="7">
        <f>'Balanço Patrimonial'!O65</f>
        <v>9200.000059999993</v>
      </c>
      <c r="P65" s="7">
        <f>'Balanço Patrimonial'!P65</f>
        <v>9200.0000400000372</v>
      </c>
      <c r="Q65" s="7">
        <f>'Balanço Patrimonial'!Q65</f>
        <v>9200.0000300000029</v>
      </c>
      <c r="R65" s="7">
        <f>'Balanço Patrimonial'!R65</f>
        <v>1.0000012814998627E-5</v>
      </c>
      <c r="S65" s="7">
        <f>'Balanço Patrimonial'!S65</f>
        <v>3.637978807091713E-14</v>
      </c>
      <c r="T65" s="7">
        <f>'Balanço Patrimonial'!T65</f>
        <v>-1.999998651444912E-5</v>
      </c>
    </row>
    <row r="66" spans="1:20" ht="12.75" thickBot="1" x14ac:dyDescent="0.25">
      <c r="A66" s="16" t="s">
        <v>324</v>
      </c>
      <c r="B66" s="15">
        <f t="shared" ref="B66:C66" si="30">SUM(B54:B65)</f>
        <v>409725</v>
      </c>
      <c r="C66" s="15">
        <f t="shared" si="30"/>
        <v>358199</v>
      </c>
      <c r="D66" s="15">
        <f t="shared" ref="D66:E66" si="31">SUM(D54:D65)</f>
        <v>364806</v>
      </c>
      <c r="E66" s="15">
        <f t="shared" si="31"/>
        <v>337889</v>
      </c>
      <c r="F66" s="15">
        <f t="shared" ref="F66:G66" si="32">SUM(F54:F65)</f>
        <v>155317.07699999999</v>
      </c>
      <c r="G66" s="15">
        <f t="shared" si="32"/>
        <v>155565.527</v>
      </c>
      <c r="H66" s="15">
        <f t="shared" ref="H66:I66" si="33">SUM(H54:H65)</f>
        <v>138615</v>
      </c>
      <c r="I66" s="15">
        <f t="shared" si="33"/>
        <v>141992</v>
      </c>
      <c r="J66" s="15">
        <f t="shared" ref="J66:K66" si="34">SUM(J54:J65)</f>
        <v>199858</v>
      </c>
      <c r="K66" s="15">
        <f t="shared" si="34"/>
        <v>198686</v>
      </c>
      <c r="L66" s="15">
        <f t="shared" ref="L66:M66" si="35">SUM(L54:L65)</f>
        <v>99356</v>
      </c>
      <c r="M66" s="15">
        <f t="shared" si="35"/>
        <v>100347</v>
      </c>
      <c r="N66" s="15">
        <f t="shared" ref="N66:T66" si="36">SUM(N54:N65)</f>
        <v>112160.78580000001</v>
      </c>
      <c r="O66" s="15">
        <f t="shared" si="36"/>
        <v>115344.88653999999</v>
      </c>
      <c r="P66" s="15">
        <f t="shared" si="36"/>
        <v>132373.63236000005</v>
      </c>
      <c r="Q66" s="15">
        <f t="shared" si="36"/>
        <v>124229.38650999998</v>
      </c>
      <c r="R66" s="15">
        <f t="shared" si="36"/>
        <v>72472.353626925455</v>
      </c>
      <c r="S66" s="15">
        <f t="shared" si="36"/>
        <v>109769.13425837332</v>
      </c>
      <c r="T66" s="15">
        <f t="shared" si="36"/>
        <v>96074.762452260489</v>
      </c>
    </row>
    <row r="67" spans="1:20" ht="12.75" thickTop="1" x14ac:dyDescent="0.2">
      <c r="A67" s="6" t="s">
        <v>196</v>
      </c>
      <c r="B67" s="7">
        <f>'Balanço Patrimonial'!B67</f>
        <v>1133581</v>
      </c>
      <c r="C67" s="7">
        <f>'Balanço Patrimonial'!C67</f>
        <v>1133581</v>
      </c>
      <c r="D67" s="7">
        <f>'Balanço Patrimonial'!D67</f>
        <v>1133581</v>
      </c>
      <c r="E67" s="7">
        <f>'Balanço Patrimonial'!E67</f>
        <v>1133581</v>
      </c>
      <c r="F67" s="7">
        <f>'Balanço Patrimonial'!F67</f>
        <v>1133580.652</v>
      </c>
      <c r="G67" s="7">
        <f>'Balanço Patrimonial'!G67</f>
        <v>1133580.652</v>
      </c>
      <c r="H67" s="7">
        <f>'Balanço Patrimonial'!H67</f>
        <v>1133581</v>
      </c>
      <c r="I67" s="7">
        <f>'Balanço Patrimonial'!I67</f>
        <v>1133581</v>
      </c>
      <c r="J67" s="7">
        <f>'Balanço Patrimonial'!J67</f>
        <v>1133581</v>
      </c>
      <c r="K67" s="7">
        <f>'Balanço Patrimonial'!K67</f>
        <v>1133581</v>
      </c>
      <c r="L67" s="7">
        <f>'Balanço Patrimonial'!L67</f>
        <v>1133581</v>
      </c>
      <c r="M67" s="7">
        <f>'Balanço Patrimonial'!M67</f>
        <v>1133581</v>
      </c>
      <c r="N67" s="7">
        <f>'Balanço Patrimonial'!N67</f>
        <v>1133580.652</v>
      </c>
      <c r="O67" s="7">
        <f>'Balanço Patrimonial'!O67</f>
        <v>106516.652</v>
      </c>
      <c r="P67" s="7">
        <f>'Balanço Patrimonial'!P67</f>
        <v>106516.652</v>
      </c>
      <c r="Q67" s="7">
        <f>'Balanço Patrimonial'!Q67</f>
        <v>102943.764</v>
      </c>
      <c r="R67" s="7">
        <f>'Balanço Patrimonial'!R67</f>
        <v>57950.224000000009</v>
      </c>
      <c r="S67" s="7">
        <f>'Balanço Patrimonial'!S67</f>
        <v>57950.224000000017</v>
      </c>
      <c r="T67" s="7">
        <f>'Balanço Patrimonial'!T67</f>
        <v>57950.224000000009</v>
      </c>
    </row>
    <row r="68" spans="1:20" x14ac:dyDescent="0.2">
      <c r="A68" s="6" t="s">
        <v>197</v>
      </c>
      <c r="B68" s="7">
        <f>'Balanço Patrimonial'!B68</f>
        <v>-44590</v>
      </c>
      <c r="C68" s="7">
        <f>'Balanço Patrimonial'!C68</f>
        <v>-44590</v>
      </c>
      <c r="D68" s="7">
        <f>'Balanço Patrimonial'!D68</f>
        <v>-44590</v>
      </c>
      <c r="E68" s="7">
        <f>'Balanço Patrimonial'!E68</f>
        <v>-44590</v>
      </c>
      <c r="F68" s="7">
        <f>'Balanço Patrimonial'!F68</f>
        <v>-44589.642</v>
      </c>
      <c r="G68" s="7">
        <f>'Balanço Patrimonial'!G68</f>
        <v>-44589.642</v>
      </c>
      <c r="H68" s="7">
        <f>'Balanço Patrimonial'!H68</f>
        <v>-44590</v>
      </c>
      <c r="I68" s="7">
        <f>'Balanço Patrimonial'!I68</f>
        <v>-44590</v>
      </c>
      <c r="J68" s="7">
        <f>'Balanço Patrimonial'!J68</f>
        <v>-44547</v>
      </c>
      <c r="K68" s="7">
        <f>'Balanço Patrimonial'!K68</f>
        <v>-44210</v>
      </c>
      <c r="L68" s="7">
        <f>'Balanço Patrimonial'!L68</f>
        <v>-44210</v>
      </c>
      <c r="M68" s="7">
        <f>'Balanço Patrimonial'!M68</f>
        <v>-44210</v>
      </c>
      <c r="N68" s="7">
        <f>'Balanço Patrimonial'!N68</f>
        <v>-41252.815740000005</v>
      </c>
      <c r="O68" s="7">
        <f>'Balanço Patrimonial'!O68</f>
        <v>0</v>
      </c>
      <c r="P68" s="7">
        <f>'Balanço Patrimonial'!P68</f>
        <v>0</v>
      </c>
      <c r="Q68" s="7">
        <f>'Balanço Patrimonial'!Q68</f>
        <v>0</v>
      </c>
      <c r="R68" s="7">
        <f>'Balanço Patrimonial'!R68</f>
        <v>0</v>
      </c>
      <c r="S68" s="7">
        <f>'Balanço Patrimonial'!S68</f>
        <v>0</v>
      </c>
      <c r="T68" s="7">
        <f>'Balanço Patrimonial'!T68</f>
        <v>0</v>
      </c>
    </row>
    <row r="69" spans="1:20" hidden="1" outlineLevel="1" x14ac:dyDescent="0.2">
      <c r="A69" s="6" t="s">
        <v>77</v>
      </c>
      <c r="B69" s="7">
        <f>'Balanço Patrimonial'!B69</f>
        <v>0</v>
      </c>
      <c r="C69" s="7">
        <f>'Balanço Patrimonial'!C69</f>
        <v>0</v>
      </c>
      <c r="D69" s="7" t="str">
        <f>'Balanço Patrimonial'!D69</f>
        <v>-</v>
      </c>
      <c r="E69" s="7" t="str">
        <f>'Balanço Patrimonial'!E69</f>
        <v>-</v>
      </c>
      <c r="F69" s="7">
        <f>'Balanço Patrimonial'!F69</f>
        <v>0</v>
      </c>
      <c r="G69" s="7">
        <f>'Balanço Patrimonial'!G69</f>
        <v>0</v>
      </c>
      <c r="H69" s="7">
        <f>'Balanço Patrimonial'!H69</f>
        <v>0</v>
      </c>
      <c r="I69" s="7">
        <f>'Balanço Patrimonial'!I69</f>
        <v>0</v>
      </c>
      <c r="J69" s="7">
        <f>'Balanço Patrimonial'!J69</f>
        <v>0</v>
      </c>
      <c r="K69" s="7">
        <f>'Balanço Patrimonial'!K69</f>
        <v>0</v>
      </c>
      <c r="L69" s="7">
        <f>'Balanço Patrimonial'!L69</f>
        <v>0</v>
      </c>
      <c r="M69" s="7">
        <f>'Balanço Patrimonial'!M69</f>
        <v>0</v>
      </c>
      <c r="N69" s="7">
        <f>'Balanço Patrimonial'!N69</f>
        <v>0</v>
      </c>
      <c r="O69" s="7">
        <f>'Balanço Patrimonial'!O69</f>
        <v>0</v>
      </c>
      <c r="P69" s="7">
        <f>'Balanço Patrimonial'!P69</f>
        <v>0</v>
      </c>
      <c r="Q69" s="7">
        <f>'Balanço Patrimonial'!Q69</f>
        <v>0</v>
      </c>
      <c r="R69" s="7">
        <f>'Balanço Patrimonial'!R69</f>
        <v>0</v>
      </c>
      <c r="S69" s="7">
        <f>'Balanço Patrimonial'!S69</f>
        <v>0</v>
      </c>
      <c r="T69" s="7">
        <f>'Balanço Patrimonial'!T69</f>
        <v>0</v>
      </c>
    </row>
    <row r="70" spans="1:20" collapsed="1" x14ac:dyDescent="0.2">
      <c r="A70" s="6" t="s">
        <v>201</v>
      </c>
      <c r="B70" s="7">
        <f>'Balanço Patrimonial'!B70</f>
        <v>0</v>
      </c>
      <c r="C70" s="7">
        <f>'Balanço Patrimonial'!C70</f>
        <v>0</v>
      </c>
      <c r="D70" s="7" t="str">
        <f>'Balanço Patrimonial'!D70</f>
        <v>-</v>
      </c>
      <c r="E70" s="7" t="str">
        <f>'Balanço Patrimonial'!E70</f>
        <v>-</v>
      </c>
      <c r="F70" s="7">
        <f>'Balanço Patrimonial'!F70</f>
        <v>0</v>
      </c>
      <c r="G70" s="7">
        <f>'Balanço Patrimonial'!G70</f>
        <v>0</v>
      </c>
      <c r="H70" s="7">
        <f>'Balanço Patrimonial'!H70</f>
        <v>0</v>
      </c>
      <c r="I70" s="7">
        <f>'Balanço Patrimonial'!I70</f>
        <v>0</v>
      </c>
      <c r="J70" s="7">
        <f>'Balanço Patrimonial'!J70</f>
        <v>0</v>
      </c>
      <c r="K70" s="7">
        <f>'Balanço Patrimonial'!K70</f>
        <v>0</v>
      </c>
      <c r="L70" s="7">
        <f>'Balanço Patrimonial'!L70</f>
        <v>0</v>
      </c>
      <c r="M70" s="7">
        <f>'Balanço Patrimonial'!M70</f>
        <v>0</v>
      </c>
      <c r="N70" s="7">
        <f>'Balanço Patrimonial'!N70</f>
        <v>0</v>
      </c>
      <c r="O70" s="7">
        <f>'Balanço Patrimonial'!O70</f>
        <v>0</v>
      </c>
      <c r="P70" s="7">
        <f>'Balanço Patrimonial'!P70</f>
        <v>0</v>
      </c>
      <c r="Q70" s="7">
        <f>'Balanço Patrimonial'!Q70</f>
        <v>512.53312285499999</v>
      </c>
      <c r="R70" s="7">
        <f>'Balanço Patrimonial'!R70</f>
        <v>45506.084752854993</v>
      </c>
      <c r="S70" s="7">
        <f>'Balanço Patrimonial'!S70</f>
        <v>43255.346192855002</v>
      </c>
      <c r="T70" s="7">
        <f>'Balanço Patrimonial'!T70</f>
        <v>37571.378572855006</v>
      </c>
    </row>
    <row r="71" spans="1:20" x14ac:dyDescent="0.2">
      <c r="A71" s="6" t="s">
        <v>198</v>
      </c>
      <c r="B71" s="7">
        <f>'Balanço Patrimonial'!B71</f>
        <v>-3</v>
      </c>
      <c r="C71" s="7">
        <f>'Balanço Patrimonial'!C71</f>
        <v>-3</v>
      </c>
      <c r="D71" s="7">
        <f>'Balanço Patrimonial'!D71</f>
        <v>-3</v>
      </c>
      <c r="E71" s="7">
        <f>'Balanço Patrimonial'!E71</f>
        <v>-3</v>
      </c>
      <c r="F71" s="7">
        <f>'Balanço Patrimonial'!F71</f>
        <v>-3.0640000000000001</v>
      </c>
      <c r="G71" s="7">
        <f>'Balanço Patrimonial'!G71</f>
        <v>-3.0640000000000001</v>
      </c>
      <c r="H71" s="7">
        <f>'Balanço Patrimonial'!H71</f>
        <v>-3</v>
      </c>
      <c r="I71" s="7">
        <f>'Balanço Patrimonial'!I71</f>
        <v>-3</v>
      </c>
      <c r="J71" s="7">
        <f>'Balanço Patrimonial'!J71</f>
        <v>-3</v>
      </c>
      <c r="K71" s="7">
        <f>'Balanço Patrimonial'!K71</f>
        <v>-3</v>
      </c>
      <c r="L71" s="7">
        <f>'Balanço Patrimonial'!L71</f>
        <v>-3</v>
      </c>
      <c r="M71" s="7">
        <f>'Balanço Patrimonial'!M71</f>
        <v>-3</v>
      </c>
      <c r="N71" s="7">
        <f>'Balanço Patrimonial'!N71</f>
        <v>-3.0643800000000003</v>
      </c>
      <c r="O71" s="7">
        <f>'Balanço Patrimonial'!O71</f>
        <v>-3.0643800000000003</v>
      </c>
      <c r="P71" s="7">
        <f>'Balanço Patrimonial'!P71</f>
        <v>-3.0643800000000003</v>
      </c>
      <c r="Q71" s="7">
        <f>'Balanço Patrimonial'!Q71</f>
        <v>-3.0643800000000003</v>
      </c>
      <c r="R71" s="7">
        <f>'Balanço Patrimonial'!R71</f>
        <v>67.542400000000001</v>
      </c>
      <c r="S71" s="7">
        <f>'Balanço Patrimonial'!S71</f>
        <v>-3.0646000000000058</v>
      </c>
      <c r="T71" s="7">
        <f>'Balanço Patrimonial'!T71</f>
        <v>67.542400000000001</v>
      </c>
    </row>
    <row r="72" spans="1:20" hidden="1" outlineLevel="1" x14ac:dyDescent="0.2">
      <c r="A72" s="6" t="s">
        <v>202</v>
      </c>
      <c r="B72" s="7">
        <f>'Balanço Patrimonial'!B72</f>
        <v>0</v>
      </c>
      <c r="C72" s="7">
        <f>'Balanço Patrimonial'!C72</f>
        <v>0</v>
      </c>
      <c r="D72" s="7" t="str">
        <f>'Balanço Patrimonial'!D72</f>
        <v>-</v>
      </c>
      <c r="E72" s="7" t="str">
        <f>'Balanço Patrimonial'!E72</f>
        <v>-</v>
      </c>
      <c r="F72" s="7">
        <f>'Balanço Patrimonial'!F72</f>
        <v>0</v>
      </c>
      <c r="G72" s="7">
        <f>'Balanço Patrimonial'!G72</f>
        <v>0</v>
      </c>
      <c r="H72" s="7">
        <f>'Balanço Patrimonial'!H72</f>
        <v>0</v>
      </c>
      <c r="I72" s="7">
        <f>'Balanço Patrimonial'!I72</f>
        <v>0</v>
      </c>
      <c r="J72" s="7">
        <f>'Balanço Patrimonial'!J72</f>
        <v>0</v>
      </c>
      <c r="K72" s="7">
        <f>'Balanço Patrimonial'!K72</f>
        <v>0</v>
      </c>
      <c r="L72" s="7">
        <f>'Balanço Patrimonial'!L72</f>
        <v>0</v>
      </c>
      <c r="M72" s="7">
        <f>'Balanço Patrimonial'!M72</f>
        <v>0</v>
      </c>
      <c r="N72" s="7">
        <f>'Balanço Patrimonial'!N72</f>
        <v>0</v>
      </c>
      <c r="O72" s="7">
        <f>'Balanço Patrimonial'!O72</f>
        <v>0</v>
      </c>
      <c r="P72" s="7">
        <f>'Balanço Patrimonial'!P72</f>
        <v>0</v>
      </c>
      <c r="Q72" s="7">
        <f>'Balanço Patrimonial'!Q72</f>
        <v>0</v>
      </c>
      <c r="R72" s="7">
        <f>'Balanço Patrimonial'!R72</f>
        <v>0</v>
      </c>
      <c r="S72" s="7">
        <f>'Balanço Patrimonial'!S72</f>
        <v>0</v>
      </c>
      <c r="T72" s="7">
        <f>'Balanço Patrimonial'!T72</f>
        <v>0</v>
      </c>
    </row>
    <row r="73" spans="1:20" collapsed="1" x14ac:dyDescent="0.2">
      <c r="A73" s="6" t="s">
        <v>203</v>
      </c>
      <c r="B73" s="7">
        <f>'Balanço Patrimonial'!B73</f>
        <v>19307</v>
      </c>
      <c r="C73" s="7">
        <f>'Balanço Patrimonial'!C73</f>
        <v>19307</v>
      </c>
      <c r="D73" s="7">
        <f>'Balanço Patrimonial'!D73</f>
        <v>19307</v>
      </c>
      <c r="E73" s="7">
        <f>'Balanço Patrimonial'!E73</f>
        <v>19307</v>
      </c>
      <c r="F73" s="7">
        <f>'Balanço Patrimonial'!F73</f>
        <v>13562.816000000001</v>
      </c>
      <c r="G73" s="7">
        <f>'Balanço Patrimonial'!G73</f>
        <v>13562.816000000001</v>
      </c>
      <c r="H73" s="7">
        <f>'Balanço Patrimonial'!H73</f>
        <v>13563</v>
      </c>
      <c r="I73" s="7">
        <f>'Balanço Patrimonial'!I73</f>
        <v>13563</v>
      </c>
      <c r="J73" s="7">
        <f>'Balanço Patrimonial'!J73</f>
        <v>4676</v>
      </c>
      <c r="K73" s="7">
        <f>'Balanço Patrimonial'!K73</f>
        <v>4676</v>
      </c>
      <c r="L73" s="7">
        <f>'Balanço Patrimonial'!L73</f>
        <v>4676</v>
      </c>
      <c r="M73" s="7">
        <f>'Balanço Patrimonial'!M73</f>
        <v>4676</v>
      </c>
      <c r="N73" s="7">
        <f>'Balanço Patrimonial'!N73</f>
        <v>0</v>
      </c>
      <c r="O73" s="7">
        <f>'Balanço Patrimonial'!O73</f>
        <v>0</v>
      </c>
      <c r="P73" s="7">
        <f>'Balanço Patrimonial'!P73</f>
        <v>0</v>
      </c>
      <c r="Q73" s="7">
        <f>'Balanço Patrimonial'!Q73</f>
        <v>0</v>
      </c>
      <c r="R73" s="7">
        <f>'Balanço Patrimonial'!R73</f>
        <v>0</v>
      </c>
      <c r="S73" s="7">
        <f>'Balanço Patrimonial'!S73</f>
        <v>0</v>
      </c>
      <c r="T73" s="7">
        <f>'Balanço Patrimonial'!T73</f>
        <v>0</v>
      </c>
    </row>
    <row r="74" spans="1:20" x14ac:dyDescent="0.2">
      <c r="A74" s="6" t="s">
        <v>204</v>
      </c>
      <c r="B74" s="7">
        <f>'Balanço Patrimonial'!B74</f>
        <v>45070</v>
      </c>
      <c r="C74" s="7">
        <f>'Balanço Patrimonial'!C74</f>
        <v>45070</v>
      </c>
      <c r="D74" s="7">
        <f>'Balanço Patrimonial'!D74</f>
        <v>45070</v>
      </c>
      <c r="E74" s="7">
        <f>'Balanço Patrimonial'!E74</f>
        <v>45070</v>
      </c>
      <c r="F74" s="7">
        <f>'Balanço Patrimonial'!F74</f>
        <v>0</v>
      </c>
      <c r="G74" s="7">
        <f>'Balanço Patrimonial'!G74</f>
        <v>48713.091</v>
      </c>
      <c r="H74" s="7">
        <f>'Balanço Patrimonial'!H74</f>
        <v>90214</v>
      </c>
      <c r="I74" s="7">
        <f>'Balanço Patrimonial'!I74</f>
        <v>90214</v>
      </c>
      <c r="J74" s="7">
        <f>'Balanço Patrimonial'!J74</f>
        <v>122997</v>
      </c>
      <c r="K74" s="7">
        <f>'Balanço Patrimonial'!K74</f>
        <v>122997</v>
      </c>
      <c r="L74" s="7">
        <f>'Balanço Patrimonial'!L74</f>
        <v>122997</v>
      </c>
      <c r="M74" s="7">
        <f>'Balanço Patrimonial'!M74</f>
        <v>122996</v>
      </c>
      <c r="N74" s="7">
        <f>'Balanço Patrimonial'!N74</f>
        <v>56360</v>
      </c>
      <c r="O74" s="7">
        <f>'Balanço Patrimonial'!O74</f>
        <v>56361</v>
      </c>
      <c r="P74" s="7">
        <f>'Balanço Patrimonial'!P74</f>
        <v>58160.006139999998</v>
      </c>
      <c r="Q74" s="7">
        <f>'Balanço Patrimonial'!Q74</f>
        <v>16887.080995392538</v>
      </c>
      <c r="R74" s="7">
        <f>'Balanço Patrimonial'!R74</f>
        <v>13153.96549812</v>
      </c>
      <c r="S74" s="7">
        <f>'Balanço Patrimonial'!S74</f>
        <v>13153.965498120002</v>
      </c>
      <c r="T74" s="7">
        <f>'Balanço Patrimonial'!T74</f>
        <v>16810.384114892506</v>
      </c>
    </row>
    <row r="75" spans="1:20" x14ac:dyDescent="0.2">
      <c r="A75" s="6" t="s">
        <v>205</v>
      </c>
      <c r="B75" s="7">
        <f>'Balanço Patrimonial'!B75</f>
        <v>-19154</v>
      </c>
      <c r="C75" s="7">
        <f>'Balanço Patrimonial'!C75</f>
        <v>-19154</v>
      </c>
      <c r="D75" s="7">
        <f>'Balanço Patrimonial'!D75</f>
        <v>-19154</v>
      </c>
      <c r="E75" s="7">
        <f>'Balanço Patrimonial'!E75</f>
        <v>-19154</v>
      </c>
      <c r="F75" s="7">
        <f>'Balanço Patrimonial'!F75</f>
        <v>-19153.679</v>
      </c>
      <c r="G75" s="7">
        <f>'Balanço Patrimonial'!G75</f>
        <v>-19153.679</v>
      </c>
      <c r="H75" s="7">
        <f>'Balanço Patrimonial'!H75</f>
        <v>-27385</v>
      </c>
      <c r="I75" s="7">
        <f>'Balanço Patrimonial'!I75</f>
        <v>-14632</v>
      </c>
      <c r="J75" s="7">
        <f>'Balanço Patrimonial'!J75</f>
        <v>-7272</v>
      </c>
      <c r="K75" s="7">
        <f>'Balanço Patrimonial'!K75</f>
        <v>0</v>
      </c>
      <c r="L75" s="7">
        <f>'Balanço Patrimonial'!L75</f>
        <v>0</v>
      </c>
      <c r="M75" s="7">
        <f>'Balanço Patrimonial'!M75</f>
        <v>0</v>
      </c>
      <c r="N75" s="7">
        <f>'Balanço Patrimonial'!N75</f>
        <v>0</v>
      </c>
      <c r="O75" s="7">
        <f>'Balanço Patrimonial'!O75</f>
        <v>0</v>
      </c>
      <c r="P75" s="7">
        <f>'Balanço Patrimonial'!P75</f>
        <v>0</v>
      </c>
      <c r="Q75" s="7">
        <f>'Balanço Patrimonial'!Q75</f>
        <v>0</v>
      </c>
      <c r="R75" s="7">
        <f>'Balanço Patrimonial'!R75</f>
        <v>0</v>
      </c>
      <c r="S75" s="7">
        <f>'Balanço Patrimonial'!S75</f>
        <v>0</v>
      </c>
      <c r="T75" s="7">
        <f>'Balanço Patrimonial'!T75</f>
        <v>0</v>
      </c>
    </row>
    <row r="76" spans="1:20" x14ac:dyDescent="0.2">
      <c r="A76" s="6" t="s">
        <v>365</v>
      </c>
      <c r="B76" s="7">
        <f>'Balanço Patrimonial'!B76</f>
        <v>0</v>
      </c>
      <c r="C76" s="7">
        <f>'Balanço Patrimonial'!C76</f>
        <v>0</v>
      </c>
      <c r="D76" s="7">
        <f>'Balanço Patrimonial'!D76</f>
        <v>0</v>
      </c>
      <c r="E76" s="7">
        <f>'Balanço Patrimonial'!E76</f>
        <v>35000</v>
      </c>
      <c r="F76" s="7">
        <f>'Balanço Patrimonial'!F76</f>
        <v>0</v>
      </c>
      <c r="G76" s="7">
        <f>'Balanço Patrimonial'!G76</f>
        <v>0</v>
      </c>
      <c r="H76" s="7">
        <f>'Balanço Patrimonial'!H76</f>
        <v>0</v>
      </c>
      <c r="I76" s="7">
        <f>'Balanço Patrimonial'!I76</f>
        <v>0</v>
      </c>
      <c r="J76" s="7">
        <f>'Balanço Patrimonial'!J76</f>
        <v>0</v>
      </c>
      <c r="K76" s="7">
        <f>'Balanço Patrimonial'!K76</f>
        <v>0</v>
      </c>
      <c r="L76" s="7">
        <f>'Balanço Patrimonial'!L76</f>
        <v>0</v>
      </c>
      <c r="M76" s="7">
        <f>'Balanço Patrimonial'!M76</f>
        <v>0</v>
      </c>
      <c r="N76" s="7">
        <f>'Balanço Patrimonial'!N76</f>
        <v>0</v>
      </c>
      <c r="O76" s="7">
        <f>'Balanço Patrimonial'!O76</f>
        <v>0</v>
      </c>
      <c r="P76" s="7">
        <f>'Balanço Patrimonial'!P76</f>
        <v>0</v>
      </c>
      <c r="Q76" s="7">
        <f>'Balanço Patrimonial'!Q76</f>
        <v>0</v>
      </c>
      <c r="R76" s="7">
        <f>'Balanço Patrimonial'!R76</f>
        <v>0</v>
      </c>
      <c r="S76" s="7">
        <f>'Balanço Patrimonial'!S76</f>
        <v>0</v>
      </c>
      <c r="T76" s="7">
        <f>'Balanço Patrimonial'!T76</f>
        <v>0</v>
      </c>
    </row>
    <row r="77" spans="1:20" x14ac:dyDescent="0.2">
      <c r="A77" s="6" t="s">
        <v>199</v>
      </c>
      <c r="B77" s="7">
        <f>'Balanço Patrimonial'!B77</f>
        <v>120806</v>
      </c>
      <c r="C77" s="7">
        <f>'Balanço Patrimonial'!C77</f>
        <v>88660</v>
      </c>
      <c r="D77" s="7">
        <f>'Balanço Patrimonial'!D77</f>
        <v>25609</v>
      </c>
      <c r="E77" s="7">
        <f>'Balanço Patrimonial'!E77</f>
        <v>0</v>
      </c>
      <c r="F77" s="7">
        <f>'Balanço Patrimonial'!F77</f>
        <v>53344.68299999999</v>
      </c>
      <c r="G77" s="7">
        <f>'Balanço Patrimonial'!G77</f>
        <v>37012.826000000001</v>
      </c>
      <c r="H77" s="7">
        <f>'Balanço Patrimonial'!H77</f>
        <v>21080</v>
      </c>
      <c r="I77" s="7">
        <f>'Balanço Patrimonial'!I77</f>
        <v>0</v>
      </c>
      <c r="J77" s="7">
        <f>'Balanço Patrimonial'!J77</f>
        <v>153229</v>
      </c>
      <c r="K77" s="7">
        <f>'Balanço Patrimonial'!K77</f>
        <v>107595</v>
      </c>
      <c r="L77" s="7">
        <f>'Balanço Patrimonial'!L77</f>
        <v>17053</v>
      </c>
      <c r="M77" s="7">
        <f>'Balanço Patrimonial'!M77</f>
        <v>0</v>
      </c>
      <c r="N77" s="7">
        <f>'Balanço Patrimonial'!N77</f>
        <v>40096.507879999997</v>
      </c>
      <c r="O77" s="7">
        <f>'Balanço Patrimonial'!O77</f>
        <v>22456.251250000008</v>
      </c>
      <c r="P77" s="7">
        <f>'Balanço Patrimonial'!P77</f>
        <v>8999.02441</v>
      </c>
      <c r="Q77" s="7">
        <f>'Balanço Patrimonial'!Q77</f>
        <v>51186.588191914983</v>
      </c>
      <c r="R77" s="7">
        <f>'Balanço Patrimonial'!R77</f>
        <v>31532.622440402425</v>
      </c>
      <c r="S77" s="7">
        <f>'Balanço Patrimonial'!S77</f>
        <v>20932.258394716027</v>
      </c>
      <c r="T77" s="7">
        <f>'Balanço Patrimonial'!T77</f>
        <v>-2259.5159022849975</v>
      </c>
    </row>
    <row r="78" spans="1:20" x14ac:dyDescent="0.2">
      <c r="A78" s="6" t="s">
        <v>200</v>
      </c>
      <c r="B78" s="7">
        <f>'Balanço Patrimonial'!B78</f>
        <v>0</v>
      </c>
      <c r="C78" s="7">
        <f>'Balanço Patrimonial'!C78</f>
        <v>0</v>
      </c>
      <c r="D78" s="7">
        <f>'Balanço Patrimonial'!D78</f>
        <v>0</v>
      </c>
      <c r="E78" s="7">
        <f>'Balanço Patrimonial'!E78</f>
        <v>0</v>
      </c>
      <c r="F78" s="7">
        <f>'Balanço Patrimonial'!F78</f>
        <v>0</v>
      </c>
      <c r="G78" s="7">
        <f>'Balanço Patrimonial'!G78</f>
        <v>0</v>
      </c>
      <c r="H78" s="7">
        <f>'Balanço Patrimonial'!H78</f>
        <v>0</v>
      </c>
      <c r="I78" s="7">
        <f>'Balanço Patrimonial'!I78</f>
        <v>0</v>
      </c>
      <c r="J78" s="7">
        <f>'Balanço Patrimonial'!J78</f>
        <v>0</v>
      </c>
      <c r="K78" s="7">
        <f>'Balanço Patrimonial'!K78</f>
        <v>0</v>
      </c>
      <c r="L78" s="7">
        <f>'Balanço Patrimonial'!L78</f>
        <v>0</v>
      </c>
      <c r="M78" s="7">
        <f>'Balanço Patrimonial'!M78</f>
        <v>0</v>
      </c>
      <c r="N78" s="7">
        <f>'Balanço Patrimonial'!N78</f>
        <v>0</v>
      </c>
      <c r="O78" s="7">
        <f>'Balanço Patrimonial'!O78</f>
        <v>0</v>
      </c>
      <c r="P78" s="7">
        <f>'Balanço Patrimonial'!P78</f>
        <v>-1442.2384399999999</v>
      </c>
      <c r="Q78" s="7">
        <f>'Balanço Patrimonial'!Q78</f>
        <v>-6859.607006832498</v>
      </c>
      <c r="R78" s="7">
        <f>'Balanço Patrimonial'!R78</f>
        <v>-3582.085332797501</v>
      </c>
      <c r="S78" s="7">
        <f>'Balanço Patrimonial'!S78</f>
        <v>-2039.6695513825002</v>
      </c>
      <c r="T78" s="7">
        <f>'Balanço Patrimonial'!T78</f>
        <v>-4564.0707564199993</v>
      </c>
    </row>
    <row r="79" spans="1:20" x14ac:dyDescent="0.2">
      <c r="A79" s="6" t="s">
        <v>206</v>
      </c>
      <c r="B79" s="7">
        <f>'Balanço Patrimonial'!B79</f>
        <v>6216</v>
      </c>
      <c r="C79" s="7">
        <f>'Balanço Patrimonial'!C79</f>
        <v>6312</v>
      </c>
      <c r="D79" s="7">
        <f>'Balanço Patrimonial'!D79</f>
        <v>4664</v>
      </c>
      <c r="E79" s="7">
        <f>'Balanço Patrimonial'!E79</f>
        <v>2480</v>
      </c>
      <c r="F79" s="7">
        <f>'Balanço Patrimonial'!F79</f>
        <v>6383.7579999999998</v>
      </c>
      <c r="G79" s="7">
        <f>'Balanço Patrimonial'!G79</f>
        <v>2774.4110000000001</v>
      </c>
      <c r="H79" s="7">
        <f>'Balanço Patrimonial'!H79</f>
        <v>0</v>
      </c>
      <c r="I79" s="7">
        <f>'Balanço Patrimonial'!I79</f>
        <v>0</v>
      </c>
      <c r="J79" s="7">
        <f>'Balanço Patrimonial'!J79</f>
        <v>0</v>
      </c>
      <c r="K79" s="7">
        <f>'Balanço Patrimonial'!K79</f>
        <v>0</v>
      </c>
      <c r="L79" s="7">
        <f>'Balanço Patrimonial'!L79</f>
        <v>0</v>
      </c>
      <c r="M79" s="7">
        <f>'Balanço Patrimonial'!M79</f>
        <v>0</v>
      </c>
      <c r="N79" s="7">
        <f>'Balanço Patrimonial'!N79</f>
        <v>0</v>
      </c>
      <c r="O79" s="7">
        <f>'Balanço Patrimonial'!O79</f>
        <v>0</v>
      </c>
      <c r="P79" s="7">
        <f>'Balanço Patrimonial'!P79</f>
        <v>0</v>
      </c>
      <c r="Q79" s="7">
        <f>'Balanço Patrimonial'!Q79</f>
        <v>0</v>
      </c>
      <c r="R79" s="7">
        <f>'Balanço Patrimonial'!R79</f>
        <v>0</v>
      </c>
      <c r="S79" s="7">
        <f>'Balanço Patrimonial'!S79</f>
        <v>0</v>
      </c>
      <c r="T79" s="7">
        <f>'Balanço Patrimonial'!T79</f>
        <v>0</v>
      </c>
    </row>
    <row r="80" spans="1:20" ht="12.75" thickBot="1" x14ac:dyDescent="0.25">
      <c r="A80" s="16" t="s">
        <v>208</v>
      </c>
      <c r="B80" s="15">
        <f t="shared" ref="B80:C80" si="37">SUM(B67:B79)</f>
        <v>1261233</v>
      </c>
      <c r="C80" s="15">
        <f t="shared" si="37"/>
        <v>1229183</v>
      </c>
      <c r="D80" s="15">
        <f t="shared" ref="D80:E80" si="38">SUM(D67:D79)</f>
        <v>1164484</v>
      </c>
      <c r="E80" s="15">
        <f t="shared" si="38"/>
        <v>1171691</v>
      </c>
      <c r="F80" s="15">
        <f t="shared" ref="F80:G80" si="39">SUM(F67:F79)</f>
        <v>1143125.524</v>
      </c>
      <c r="G80" s="15">
        <f t="shared" si="39"/>
        <v>1171897.4110000001</v>
      </c>
      <c r="H80" s="15">
        <f t="shared" ref="H80:I80" si="40">SUM(H67:H79)</f>
        <v>1186460</v>
      </c>
      <c r="I80" s="15">
        <f t="shared" si="40"/>
        <v>1178133</v>
      </c>
      <c r="J80" s="15">
        <f t="shared" ref="J80:M80" si="41">SUM(J67:J79)</f>
        <v>1362661</v>
      </c>
      <c r="K80" s="15">
        <f t="shared" si="41"/>
        <v>1324636</v>
      </c>
      <c r="L80" s="15">
        <f t="shared" si="41"/>
        <v>1234094</v>
      </c>
      <c r="M80" s="15">
        <f t="shared" si="41"/>
        <v>1217040</v>
      </c>
      <c r="N80" s="15">
        <f>SUM(N67:N79)</f>
        <v>1188781.2797599998</v>
      </c>
      <c r="O80" s="15">
        <f t="shared" ref="O80:T80" si="42">SUM(O67:O79)</f>
        <v>185330.83887000001</v>
      </c>
      <c r="P80" s="15">
        <f t="shared" si="42"/>
        <v>172230.37973000004</v>
      </c>
      <c r="Q80" s="15">
        <f t="shared" si="42"/>
        <v>164667.29492333002</v>
      </c>
      <c r="R80" s="15">
        <f t="shared" si="42"/>
        <v>144628.35375857993</v>
      </c>
      <c r="S80" s="15">
        <f t="shared" si="42"/>
        <v>133249.05993430855</v>
      </c>
      <c r="T80" s="15">
        <f t="shared" si="42"/>
        <v>105575.94242904254</v>
      </c>
    </row>
    <row r="81" spans="1:20" ht="12.75" thickTop="1" x14ac:dyDescent="0.2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x14ac:dyDescent="0.2">
      <c r="A82" s="6" t="s">
        <v>207</v>
      </c>
      <c r="B82" s="7">
        <f>'Balanço Patrimonial'!B82</f>
        <v>70142</v>
      </c>
      <c r="C82" s="7">
        <f>'Balanço Patrimonial'!C82</f>
        <v>82495</v>
      </c>
      <c r="D82" s="7">
        <f>'Balanço Patrimonial'!D82</f>
        <v>83973</v>
      </c>
      <c r="E82" s="7">
        <f>'Balanço Patrimonial'!E82</f>
        <v>84366</v>
      </c>
      <c r="F82" s="7">
        <f>'Balanço Patrimonial'!F82</f>
        <v>84361.660999999993</v>
      </c>
      <c r="G82" s="7">
        <f>'Balanço Patrimonial'!G82</f>
        <v>79656.160000000003</v>
      </c>
      <c r="H82" s="7">
        <f>'Balanço Patrimonial'!H82</f>
        <v>80181</v>
      </c>
      <c r="I82" s="7">
        <f>'Balanço Patrimonial'!I82</f>
        <v>71829</v>
      </c>
      <c r="J82" s="7">
        <f>'Balanço Patrimonial'!J82</f>
        <v>79551</v>
      </c>
      <c r="K82" s="7">
        <f>'Balanço Patrimonial'!K82</f>
        <v>89827</v>
      </c>
      <c r="L82" s="7">
        <f>'Balanço Patrimonial'!L82</f>
        <v>82975</v>
      </c>
      <c r="M82" s="7">
        <f>'Balanço Patrimonial'!M82</f>
        <v>83300</v>
      </c>
      <c r="N82" s="7">
        <f>'Balanço Patrimonial'!N82</f>
        <v>89735.141492098905</v>
      </c>
      <c r="O82" s="7">
        <f>'Balanço Patrimonial'!O82</f>
        <v>80925</v>
      </c>
      <c r="P82" s="7">
        <f>'Balanço Patrimonial'!P82</f>
        <v>78066.878757280778</v>
      </c>
      <c r="Q82" s="7">
        <f>'Balanço Patrimonial'!Q82</f>
        <v>76220.665435810952</v>
      </c>
      <c r="R82" s="7">
        <f>'Balanço Patrimonial'!R82</f>
        <v>70696.237046137219</v>
      </c>
      <c r="S82" s="7">
        <f>'Balanço Patrimonial'!S82</f>
        <v>66696.026225808484</v>
      </c>
      <c r="T82" s="7">
        <f>'Balanço Patrimonial'!T82</f>
        <v>63329.844886111227</v>
      </c>
    </row>
    <row r="83" spans="1:20" x14ac:dyDescent="0.2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 ht="12.75" thickBot="1" x14ac:dyDescent="0.25">
      <c r="A84" s="16" t="s">
        <v>209</v>
      </c>
      <c r="B84" s="15">
        <f t="shared" ref="B84:C84" si="43">+B80+B82</f>
        <v>1331375</v>
      </c>
      <c r="C84" s="15">
        <f t="shared" si="43"/>
        <v>1311678</v>
      </c>
      <c r="D84" s="15">
        <f t="shared" ref="D84:E84" si="44">+D80+D82</f>
        <v>1248457</v>
      </c>
      <c r="E84" s="15">
        <f t="shared" si="44"/>
        <v>1256057</v>
      </c>
      <c r="F84" s="15">
        <f t="shared" ref="F84:G84" si="45">+F80+F82</f>
        <v>1227487.1850000001</v>
      </c>
      <c r="G84" s="15">
        <f t="shared" si="45"/>
        <v>1251553.571</v>
      </c>
      <c r="H84" s="15">
        <f t="shared" ref="H84:I84" si="46">+H80+H82</f>
        <v>1266641</v>
      </c>
      <c r="I84" s="15">
        <f t="shared" si="46"/>
        <v>1249962</v>
      </c>
      <c r="J84" s="15">
        <f t="shared" ref="J84:O84" si="47">+J80+J82</f>
        <v>1442212</v>
      </c>
      <c r="K84" s="15">
        <f t="shared" si="47"/>
        <v>1414463</v>
      </c>
      <c r="L84" s="15">
        <f t="shared" si="47"/>
        <v>1317069</v>
      </c>
      <c r="M84" s="15">
        <f t="shared" si="47"/>
        <v>1300340</v>
      </c>
      <c r="N84" s="15">
        <f t="shared" si="47"/>
        <v>1278516.4212520986</v>
      </c>
      <c r="O84" s="15">
        <f t="shared" si="47"/>
        <v>266255.83886999998</v>
      </c>
      <c r="P84" s="15">
        <f t="shared" ref="P84:T84" si="48">+P80+P82</f>
        <v>250297.25848728081</v>
      </c>
      <c r="Q84" s="15">
        <f t="shared" si="48"/>
        <v>240887.96035914097</v>
      </c>
      <c r="R84" s="15">
        <f t="shared" si="48"/>
        <v>215324.59080471715</v>
      </c>
      <c r="S84" s="15">
        <f t="shared" si="48"/>
        <v>199945.08616011703</v>
      </c>
      <c r="T84" s="15">
        <f t="shared" si="48"/>
        <v>168905.78731515375</v>
      </c>
    </row>
    <row r="85" spans="1:20" ht="12.75" thickTop="1" x14ac:dyDescent="0.2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 ht="12.75" thickBot="1" x14ac:dyDescent="0.25">
      <c r="A86" s="16" t="s">
        <v>210</v>
      </c>
      <c r="B86" s="15">
        <f t="shared" ref="B86:C86" si="49">+B84+B53+B66</f>
        <v>2198322</v>
      </c>
      <c r="C86" s="15">
        <f t="shared" si="49"/>
        <v>2031994</v>
      </c>
      <c r="D86" s="15">
        <f t="shared" ref="D86:E86" si="50">+D84+D53+D66</f>
        <v>1964512</v>
      </c>
      <c r="E86" s="15">
        <f t="shared" si="50"/>
        <v>1928664</v>
      </c>
      <c r="F86" s="15">
        <f t="shared" ref="F86:G86" si="51">+F84+F53+F66</f>
        <v>1790264.355</v>
      </c>
      <c r="G86" s="15">
        <f t="shared" si="51"/>
        <v>1794882.1089999999</v>
      </c>
      <c r="H86" s="15">
        <f t="shared" ref="H86:I86" si="52">+H84+H53+H66</f>
        <v>1778449</v>
      </c>
      <c r="I86" s="15">
        <f t="shared" si="52"/>
        <v>1751041</v>
      </c>
      <c r="J86" s="15">
        <f t="shared" ref="J86:O86" si="53">+J84+J53+J66</f>
        <v>1943035</v>
      </c>
      <c r="K86" s="15">
        <f t="shared" si="53"/>
        <v>1884420</v>
      </c>
      <c r="L86" s="15">
        <f t="shared" si="53"/>
        <v>1685384</v>
      </c>
      <c r="M86" s="15">
        <f t="shared" si="53"/>
        <v>1693791</v>
      </c>
      <c r="N86" s="15">
        <f t="shared" si="53"/>
        <v>1616145.2260820987</v>
      </c>
      <c r="O86" s="15">
        <f t="shared" si="53"/>
        <v>602103.79035999998</v>
      </c>
      <c r="P86" s="15">
        <f t="shared" ref="P86:T86" si="54">+P84+P53+P66</f>
        <v>607505.20251728082</v>
      </c>
      <c r="Q86" s="15">
        <f t="shared" si="54"/>
        <v>569270.84985914093</v>
      </c>
      <c r="R86" s="15">
        <f t="shared" si="54"/>
        <v>440013.23311891244</v>
      </c>
      <c r="S86" s="15">
        <f t="shared" si="54"/>
        <v>413063.15035794699</v>
      </c>
      <c r="T86" s="15">
        <f t="shared" si="54"/>
        <v>340032.99793556629</v>
      </c>
    </row>
    <row r="87" spans="1:20" ht="12.75" thickTop="1" x14ac:dyDescent="0.2">
      <c r="A87" s="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1:20" x14ac:dyDescent="0.2">
      <c r="A88" s="5" t="s">
        <v>352</v>
      </c>
      <c r="B88" s="3" t="str">
        <f>B36</f>
        <v>3Q23</v>
      </c>
      <c r="C88" s="3" t="str">
        <f>C36</f>
        <v>2Q23</v>
      </c>
      <c r="D88" s="3" t="str">
        <f>D36</f>
        <v>1Q23</v>
      </c>
      <c r="E88" s="3" t="str">
        <f>E36</f>
        <v>4Q22</v>
      </c>
      <c r="F88" s="3" t="str">
        <f>F36</f>
        <v>3Q22</v>
      </c>
      <c r="G88" s="3" t="str">
        <f t="shared" ref="G88:T88" si="55">G36</f>
        <v>2Q22</v>
      </c>
      <c r="H88" s="3" t="str">
        <f t="shared" si="55"/>
        <v>1Q22</v>
      </c>
      <c r="I88" s="3" t="str">
        <f t="shared" si="55"/>
        <v>4Q21</v>
      </c>
      <c r="J88" s="3" t="str">
        <f t="shared" si="55"/>
        <v>3Q21</v>
      </c>
      <c r="K88" s="3" t="str">
        <f t="shared" si="55"/>
        <v>2Q21</v>
      </c>
      <c r="L88" s="3" t="str">
        <f t="shared" si="55"/>
        <v>1Q21</v>
      </c>
      <c r="M88" s="3" t="str">
        <f t="shared" si="55"/>
        <v>4Q20</v>
      </c>
      <c r="N88" s="3" t="str">
        <f t="shared" si="55"/>
        <v>3Q20</v>
      </c>
      <c r="O88" s="3" t="str">
        <f t="shared" si="55"/>
        <v>2Q20</v>
      </c>
      <c r="P88" s="3" t="str">
        <f t="shared" si="55"/>
        <v>1Q20</v>
      </c>
      <c r="Q88" s="3" t="str">
        <f t="shared" si="55"/>
        <v>4Q19</v>
      </c>
      <c r="R88" s="3" t="str">
        <f t="shared" si="55"/>
        <v>3Q19</v>
      </c>
      <c r="S88" s="3" t="str">
        <f t="shared" si="55"/>
        <v>2Q19</v>
      </c>
      <c r="T88" s="3" t="str">
        <f t="shared" si="55"/>
        <v>1Q19</v>
      </c>
    </row>
    <row r="89" spans="1:20" x14ac:dyDescent="0.2">
      <c r="A89" s="6" t="s">
        <v>344</v>
      </c>
      <c r="B89" s="7">
        <f>'Balanço Patrimonial'!B89</f>
        <v>199534.35200000001</v>
      </c>
      <c r="C89" s="7">
        <f>'Balanço Patrimonial'!C89</f>
        <v>199534.35200000001</v>
      </c>
      <c r="D89" s="7">
        <f>'Balanço Patrimonial'!D89</f>
        <v>199534.35200000001</v>
      </c>
      <c r="E89" s="7">
        <f>'Balanço Patrimonial'!E89</f>
        <v>199534.35200000001</v>
      </c>
      <c r="F89" s="7">
        <f>'Balanço Patrimonial'!F89</f>
        <v>199534.35200000001</v>
      </c>
      <c r="G89" s="7">
        <f>'Balanço Patrimonial'!G89</f>
        <v>199534.35200000001</v>
      </c>
      <c r="H89" s="7">
        <f>'Balanço Patrimonial'!H89</f>
        <v>208191.25200000001</v>
      </c>
      <c r="I89" s="7">
        <f>'Balanço Patrimonial'!I89</f>
        <v>208191.25200000001</v>
      </c>
      <c r="J89" s="7">
        <f>'Balanço Patrimonial'!J89</f>
        <v>214628.652</v>
      </c>
      <c r="K89" s="7">
        <f>'Balanço Patrimonial'!K89</f>
        <v>214628.652</v>
      </c>
      <c r="L89" s="7">
        <f>'Balanço Patrimonial'!L89</f>
        <v>214628.652</v>
      </c>
      <c r="M89" s="7">
        <f>'Balanço Patrimonial'!M89</f>
        <v>214628.652</v>
      </c>
      <c r="N89" s="7">
        <f>'Balanço Patrimonial'!N89</f>
        <v>214628.652</v>
      </c>
      <c r="O89" s="7">
        <f>'Balanço Patrimonial'!O89</f>
        <v>0</v>
      </c>
      <c r="P89" s="7">
        <f>'Balanço Patrimonial'!P89</f>
        <v>0</v>
      </c>
      <c r="Q89" s="7">
        <f>'Balanço Patrimonial'!Q89</f>
        <v>0</v>
      </c>
      <c r="R89" s="7">
        <f>'Balanço Patrimonial'!R89</f>
        <v>0</v>
      </c>
      <c r="S89" s="7">
        <f>'Balanço Patrimonial'!S89</f>
        <v>0</v>
      </c>
      <c r="T89" s="7">
        <f>'Balanço Patrimonial'!T89</f>
        <v>0</v>
      </c>
    </row>
    <row r="90" spans="1:20" x14ac:dyDescent="0.2">
      <c r="A90" s="6"/>
      <c r="B90" s="6"/>
      <c r="C90" s="6"/>
      <c r="D90" s="6"/>
      <c r="E90" s="6"/>
      <c r="F90" s="6"/>
      <c r="G90" s="6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 x14ac:dyDescent="0.2">
      <c r="A91" s="6"/>
      <c r="B91" s="6"/>
      <c r="C91" s="6"/>
      <c r="D91" s="6"/>
      <c r="E91" s="6"/>
      <c r="F91" s="6"/>
      <c r="G91" s="6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 x14ac:dyDescent="0.2">
      <c r="A92" s="6"/>
      <c r="B92" s="6"/>
      <c r="C92" s="6"/>
      <c r="D92" s="6"/>
      <c r="E92" s="6"/>
      <c r="F92" s="6"/>
      <c r="G92" s="6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 x14ac:dyDescent="0.2">
      <c r="A93" s="6"/>
      <c r="B93" s="6"/>
      <c r="C93" s="6"/>
      <c r="D93" s="6"/>
      <c r="E93" s="6"/>
      <c r="F93" s="6"/>
      <c r="G93" s="6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 x14ac:dyDescent="0.2">
      <c r="A94" s="6"/>
      <c r="B94" s="6"/>
      <c r="C94" s="6"/>
      <c r="D94" s="6"/>
      <c r="E94" s="6"/>
      <c r="F94" s="6"/>
      <c r="G94" s="6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 x14ac:dyDescent="0.2">
      <c r="A95" s="6"/>
      <c r="B95" s="6"/>
      <c r="C95" s="6"/>
      <c r="D95" s="6"/>
      <c r="E95" s="6"/>
      <c r="F95" s="6"/>
      <c r="G95" s="6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 x14ac:dyDescent="0.2">
      <c r="A96" s="6"/>
      <c r="B96" s="6"/>
      <c r="C96" s="6"/>
      <c r="D96" s="6"/>
      <c r="E96" s="6"/>
      <c r="F96" s="6"/>
      <c r="G96" s="6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 x14ac:dyDescent="0.2">
      <c r="A97" s="6"/>
      <c r="B97" s="6"/>
      <c r="C97" s="6"/>
      <c r="D97" s="6"/>
      <c r="E97" s="6"/>
      <c r="F97" s="6"/>
      <c r="G97" s="6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 x14ac:dyDescent="0.2">
      <c r="A98" s="6"/>
      <c r="B98" s="6"/>
      <c r="C98" s="6"/>
      <c r="D98" s="6"/>
      <c r="E98" s="6"/>
      <c r="F98" s="6"/>
      <c r="G98" s="6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 x14ac:dyDescent="0.2">
      <c r="A99" s="6"/>
      <c r="B99" s="6"/>
      <c r="C99" s="6"/>
      <c r="D99" s="6"/>
      <c r="E99" s="6"/>
      <c r="F99" s="6"/>
      <c r="G99" s="6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x14ac:dyDescent="0.2">
      <c r="A100" s="6"/>
      <c r="B100" s="6"/>
      <c r="C100" s="6"/>
      <c r="D100" s="6"/>
      <c r="E100" s="6"/>
      <c r="F100" s="6"/>
      <c r="G100" s="6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 x14ac:dyDescent="0.2">
      <c r="A101" s="6"/>
      <c r="B101" s="6"/>
      <c r="C101" s="6"/>
      <c r="D101" s="6"/>
      <c r="E101" s="6"/>
      <c r="F101" s="6"/>
      <c r="G101" s="6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x14ac:dyDescent="0.2">
      <c r="A102" s="6"/>
      <c r="B102" s="6"/>
      <c r="C102" s="6"/>
      <c r="D102" s="6"/>
      <c r="E102" s="6"/>
      <c r="F102" s="6"/>
      <c r="G102" s="6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 x14ac:dyDescent="0.2">
      <c r="A103" s="6"/>
      <c r="B103" s="6"/>
      <c r="C103" s="6"/>
      <c r="D103" s="6"/>
      <c r="E103" s="6"/>
      <c r="F103" s="6"/>
      <c r="G103" s="6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 x14ac:dyDescent="0.2">
      <c r="A104" s="6"/>
      <c r="B104" s="6"/>
      <c r="C104" s="6"/>
      <c r="D104" s="6"/>
      <c r="E104" s="6"/>
      <c r="F104" s="6"/>
      <c r="G104" s="6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 x14ac:dyDescent="0.2">
      <c r="A105" s="6"/>
      <c r="B105" s="6"/>
      <c r="C105" s="6"/>
      <c r="D105" s="6"/>
      <c r="E105" s="6"/>
      <c r="F105" s="6"/>
      <c r="G105" s="6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 x14ac:dyDescent="0.2">
      <c r="A106" s="6"/>
      <c r="B106" s="6"/>
      <c r="C106" s="6"/>
      <c r="D106" s="6"/>
      <c r="E106" s="6"/>
      <c r="F106" s="6"/>
      <c r="G106" s="6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 x14ac:dyDescent="0.2">
      <c r="A107" s="6"/>
      <c r="B107" s="6"/>
      <c r="C107" s="6"/>
      <c r="D107" s="6"/>
      <c r="E107" s="6"/>
      <c r="F107" s="6"/>
      <c r="G107" s="6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 x14ac:dyDescent="0.2">
      <c r="A108" s="6"/>
      <c r="B108" s="6"/>
      <c r="C108" s="6"/>
      <c r="D108" s="6"/>
      <c r="E108" s="6"/>
      <c r="F108" s="6"/>
      <c r="G108" s="6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 x14ac:dyDescent="0.2">
      <c r="A109" s="6"/>
      <c r="B109" s="6"/>
      <c r="C109" s="6"/>
      <c r="D109" s="6"/>
      <c r="E109" s="6"/>
      <c r="F109" s="6"/>
      <c r="G109" s="6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 x14ac:dyDescent="0.2">
      <c r="A110" s="6"/>
      <c r="B110" s="6"/>
      <c r="C110" s="6"/>
      <c r="D110" s="6"/>
      <c r="E110" s="6"/>
      <c r="F110" s="6"/>
      <c r="G110" s="6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 x14ac:dyDescent="0.2">
      <c r="A111" s="6"/>
      <c r="B111" s="6"/>
      <c r="C111" s="6"/>
      <c r="D111" s="6"/>
      <c r="E111" s="6"/>
      <c r="F111" s="6"/>
      <c r="G111" s="6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 x14ac:dyDescent="0.2">
      <c r="A112" s="6"/>
      <c r="B112" s="6"/>
      <c r="C112" s="6"/>
      <c r="D112" s="6"/>
      <c r="E112" s="6"/>
      <c r="F112" s="6"/>
      <c r="G112" s="6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 x14ac:dyDescent="0.2">
      <c r="A113" s="6"/>
      <c r="B113" s="6"/>
      <c r="C113" s="6"/>
      <c r="D113" s="6"/>
      <c r="E113" s="6"/>
      <c r="F113" s="6"/>
      <c r="G113" s="6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x14ac:dyDescent="0.2">
      <c r="A114" s="6"/>
      <c r="B114" s="6"/>
      <c r="C114" s="6"/>
      <c r="D114" s="6"/>
      <c r="E114" s="6"/>
      <c r="F114" s="6"/>
      <c r="G114" s="6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 x14ac:dyDescent="0.2">
      <c r="A115" s="6"/>
      <c r="B115" s="6"/>
      <c r="C115" s="6"/>
      <c r="D115" s="6"/>
      <c r="E115" s="6"/>
      <c r="F115" s="6"/>
      <c r="G115" s="6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 x14ac:dyDescent="0.2">
      <c r="A116" s="6"/>
      <c r="B116" s="6"/>
      <c r="C116" s="6"/>
      <c r="D116" s="6"/>
      <c r="E116" s="6"/>
      <c r="F116" s="6"/>
      <c r="G116" s="6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 x14ac:dyDescent="0.2">
      <c r="A117" s="6"/>
      <c r="B117" s="6"/>
      <c r="C117" s="6"/>
      <c r="D117" s="6"/>
      <c r="E117" s="6"/>
      <c r="F117" s="6"/>
      <c r="G117" s="6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 x14ac:dyDescent="0.2">
      <c r="A118" s="6"/>
      <c r="B118" s="6"/>
      <c r="C118" s="6"/>
      <c r="D118" s="6"/>
      <c r="E118" s="6"/>
      <c r="F118" s="6"/>
      <c r="G118" s="6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 x14ac:dyDescent="0.2">
      <c r="A119" s="6"/>
      <c r="B119" s="6"/>
      <c r="C119" s="6"/>
      <c r="D119" s="6"/>
      <c r="E119" s="6"/>
      <c r="F119" s="6"/>
      <c r="G119" s="6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x14ac:dyDescent="0.2">
      <c r="A120" s="6"/>
      <c r="B120" s="6"/>
      <c r="C120" s="6"/>
      <c r="D120" s="6"/>
      <c r="E120" s="6"/>
      <c r="F120" s="6"/>
      <c r="G120" s="6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 x14ac:dyDescent="0.2">
      <c r="A121" s="6"/>
      <c r="B121" s="6"/>
      <c r="C121" s="6"/>
      <c r="D121" s="6"/>
      <c r="E121" s="6"/>
      <c r="F121" s="6"/>
      <c r="G121" s="6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 x14ac:dyDescent="0.2">
      <c r="A122" s="6"/>
      <c r="B122" s="6"/>
      <c r="C122" s="6"/>
      <c r="D122" s="6"/>
      <c r="E122" s="6"/>
      <c r="F122" s="6"/>
      <c r="G122" s="6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 x14ac:dyDescent="0.2">
      <c r="A123" s="6"/>
      <c r="B123" s="6"/>
      <c r="C123" s="6"/>
      <c r="D123" s="6"/>
      <c r="E123" s="6"/>
      <c r="F123" s="6"/>
      <c r="G123" s="6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 x14ac:dyDescent="0.2">
      <c r="A124" s="6"/>
      <c r="B124" s="6"/>
      <c r="C124" s="6"/>
      <c r="D124" s="6"/>
      <c r="E124" s="6"/>
      <c r="F124" s="6"/>
      <c r="G124" s="6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 x14ac:dyDescent="0.2">
      <c r="A125" s="6"/>
      <c r="B125" s="6"/>
      <c r="C125" s="6"/>
      <c r="D125" s="6"/>
      <c r="E125" s="6"/>
      <c r="F125" s="6"/>
      <c r="G125" s="6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 x14ac:dyDescent="0.2">
      <c r="A126" s="6"/>
      <c r="B126" s="6"/>
      <c r="C126" s="6"/>
      <c r="D126" s="6"/>
      <c r="E126" s="6"/>
      <c r="F126" s="6"/>
      <c r="G126" s="6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 x14ac:dyDescent="0.2">
      <c r="A127" s="6"/>
      <c r="B127" s="6"/>
      <c r="C127" s="6"/>
      <c r="D127" s="6"/>
      <c r="E127" s="6"/>
      <c r="F127" s="6"/>
      <c r="G127" s="6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 x14ac:dyDescent="0.2">
      <c r="A128" s="6"/>
      <c r="B128" s="6"/>
      <c r="C128" s="6"/>
      <c r="D128" s="6"/>
      <c r="E128" s="6"/>
      <c r="F128" s="6"/>
      <c r="G128" s="6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 x14ac:dyDescent="0.2">
      <c r="A129" s="6"/>
      <c r="B129" s="6"/>
      <c r="C129" s="6"/>
      <c r="D129" s="6"/>
      <c r="E129" s="6"/>
      <c r="F129" s="6"/>
      <c r="G129" s="6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x14ac:dyDescent="0.2">
      <c r="A130" s="6"/>
      <c r="B130" s="6"/>
      <c r="C130" s="6"/>
      <c r="D130" s="6"/>
      <c r="E130" s="6"/>
      <c r="F130" s="6"/>
      <c r="G130" s="6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0" x14ac:dyDescent="0.2">
      <c r="A131" s="6"/>
      <c r="B131" s="6"/>
      <c r="C131" s="6"/>
      <c r="D131" s="6"/>
      <c r="E131" s="6"/>
      <c r="F131" s="6"/>
      <c r="G131" s="6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 x14ac:dyDescent="0.2">
      <c r="A132" s="6"/>
      <c r="B132" s="6"/>
      <c r="C132" s="6"/>
      <c r="D132" s="6"/>
      <c r="E132" s="6"/>
      <c r="F132" s="6"/>
      <c r="G132" s="6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1:20" x14ac:dyDescent="0.2">
      <c r="A133" s="6"/>
      <c r="B133" s="6"/>
      <c r="C133" s="6"/>
      <c r="D133" s="6"/>
      <c r="E133" s="6"/>
      <c r="F133" s="6"/>
      <c r="G133" s="6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 x14ac:dyDescent="0.2">
      <c r="A134" s="6"/>
      <c r="B134" s="6"/>
      <c r="C134" s="6"/>
      <c r="D134" s="6"/>
      <c r="E134" s="6"/>
      <c r="F134" s="6"/>
      <c r="G134" s="6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 x14ac:dyDescent="0.2">
      <c r="A135" s="6"/>
      <c r="B135" s="6"/>
      <c r="C135" s="6"/>
      <c r="D135" s="6"/>
      <c r="E135" s="6"/>
      <c r="F135" s="6"/>
      <c r="G135" s="6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 x14ac:dyDescent="0.2">
      <c r="A136" s="6"/>
      <c r="B136" s="6"/>
      <c r="C136" s="6"/>
      <c r="D136" s="6"/>
      <c r="E136" s="6"/>
      <c r="F136" s="6"/>
      <c r="G136" s="6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 x14ac:dyDescent="0.2">
      <c r="A137" s="6"/>
      <c r="B137" s="6"/>
      <c r="C137" s="6"/>
      <c r="D137" s="6"/>
      <c r="E137" s="6"/>
      <c r="F137" s="6"/>
      <c r="G137" s="6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0" x14ac:dyDescent="0.2">
      <c r="A138" s="6"/>
      <c r="B138" s="6"/>
      <c r="C138" s="6"/>
      <c r="D138" s="6"/>
      <c r="E138" s="6"/>
      <c r="F138" s="6"/>
      <c r="G138" s="6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 x14ac:dyDescent="0.2">
      <c r="A139" s="6"/>
      <c r="B139" s="6"/>
      <c r="C139" s="6"/>
      <c r="D139" s="6"/>
      <c r="E139" s="6"/>
      <c r="F139" s="6"/>
      <c r="G139" s="6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 x14ac:dyDescent="0.2">
      <c r="A140" s="6"/>
      <c r="B140" s="6"/>
      <c r="C140" s="6"/>
      <c r="D140" s="6"/>
      <c r="E140" s="6"/>
      <c r="F140" s="6"/>
      <c r="G140" s="6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 x14ac:dyDescent="0.2">
      <c r="A141" s="6"/>
      <c r="B141" s="6"/>
      <c r="C141" s="6"/>
      <c r="D141" s="6"/>
      <c r="E141" s="6"/>
      <c r="F141" s="6"/>
      <c r="G141" s="6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 x14ac:dyDescent="0.2">
      <c r="A142" s="6"/>
      <c r="B142" s="6"/>
      <c r="C142" s="6"/>
      <c r="D142" s="6"/>
      <c r="E142" s="6"/>
      <c r="F142" s="6"/>
      <c r="G142" s="6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 x14ac:dyDescent="0.2">
      <c r="A143" s="6"/>
      <c r="B143" s="6"/>
      <c r="C143" s="6"/>
      <c r="D143" s="6"/>
      <c r="E143" s="6"/>
      <c r="F143" s="6"/>
      <c r="G143" s="6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 x14ac:dyDescent="0.2">
      <c r="A144" s="6"/>
      <c r="B144" s="6"/>
      <c r="C144" s="6"/>
      <c r="D144" s="6"/>
      <c r="E144" s="6"/>
      <c r="F144" s="6"/>
      <c r="G144" s="6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 x14ac:dyDescent="0.2">
      <c r="A145" s="6"/>
      <c r="B145" s="6"/>
      <c r="C145" s="6"/>
      <c r="D145" s="6"/>
      <c r="E145" s="6"/>
      <c r="F145" s="6"/>
      <c r="G145" s="6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 x14ac:dyDescent="0.2">
      <c r="A146" s="6"/>
      <c r="B146" s="6"/>
      <c r="C146" s="6"/>
      <c r="D146" s="6"/>
      <c r="E146" s="6"/>
      <c r="F146" s="6"/>
      <c r="G146" s="6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 x14ac:dyDescent="0.2">
      <c r="A147" s="6"/>
      <c r="B147" s="6"/>
      <c r="C147" s="6"/>
      <c r="D147" s="6"/>
      <c r="E147" s="6"/>
      <c r="F147" s="6"/>
      <c r="G147" s="6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x14ac:dyDescent="0.2">
      <c r="A148" s="6"/>
      <c r="B148" s="6"/>
      <c r="C148" s="6"/>
      <c r="D148" s="6"/>
      <c r="E148" s="6"/>
      <c r="F148" s="6"/>
      <c r="G148" s="6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1:20" x14ac:dyDescent="0.2">
      <c r="A149" s="6"/>
      <c r="B149" s="6"/>
      <c r="C149" s="6"/>
      <c r="D149" s="6"/>
      <c r="E149" s="6"/>
      <c r="F149" s="6"/>
      <c r="G149" s="6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FC74A-5B59-49C3-A065-08709015A8D2}">
  <sheetPr>
    <tabColor rgb="FF182842"/>
  </sheetPr>
  <dimension ref="A5:U25"/>
  <sheetViews>
    <sheetView showGridLines="0" workbookViewId="0"/>
  </sheetViews>
  <sheetFormatPr defaultColWidth="0" defaultRowHeight="15" x14ac:dyDescent="0.25"/>
  <cols>
    <col min="1" max="1" width="41" bestFit="1" customWidth="1"/>
    <col min="2" max="20" width="9.140625" customWidth="1"/>
    <col min="21" max="21" width="0" hidden="1" customWidth="1"/>
    <col min="22" max="16384" width="9.140625" hidden="1"/>
  </cols>
  <sheetData>
    <row r="5" spans="1:21" x14ac:dyDescent="0.25">
      <c r="A5" s="5" t="s">
        <v>405</v>
      </c>
      <c r="B5" s="3" t="s">
        <v>381</v>
      </c>
      <c r="C5" s="3" t="s">
        <v>371</v>
      </c>
      <c r="D5" s="3" t="s">
        <v>369</v>
      </c>
      <c r="E5" s="3" t="s">
        <v>361</v>
      </c>
      <c r="F5" s="3" t="s">
        <v>332</v>
      </c>
      <c r="G5" s="3" t="s">
        <v>329</v>
      </c>
      <c r="H5" s="3" t="s">
        <v>316</v>
      </c>
      <c r="I5" s="3" t="s">
        <v>307</v>
      </c>
      <c r="J5" s="3" t="s">
        <v>302</v>
      </c>
      <c r="K5" s="3" t="s">
        <v>292</v>
      </c>
      <c r="L5" s="3" t="s">
        <v>287</v>
      </c>
      <c r="M5" s="3" t="s">
        <v>278</v>
      </c>
      <c r="N5" s="3" t="s">
        <v>159</v>
      </c>
      <c r="O5" s="3" t="s">
        <v>160</v>
      </c>
      <c r="P5" s="3" t="s">
        <v>161</v>
      </c>
      <c r="Q5" s="3" t="s">
        <v>162</v>
      </c>
      <c r="R5" s="3" t="s">
        <v>163</v>
      </c>
      <c r="S5" s="3" t="s">
        <v>164</v>
      </c>
      <c r="T5" s="3" t="s">
        <v>165</v>
      </c>
    </row>
    <row r="6" spans="1:21" x14ac:dyDescent="0.25">
      <c r="A6" s="6" t="s">
        <v>272</v>
      </c>
      <c r="B6" s="7">
        <f>'Geração Caixa '!B6</f>
        <v>35072</v>
      </c>
      <c r="C6" s="7">
        <f>'Geração Caixa '!C6</f>
        <v>884</v>
      </c>
      <c r="D6" s="7">
        <f>'Geração Caixa '!D6</f>
        <v>653</v>
      </c>
      <c r="E6" s="7">
        <f>'Geração Caixa '!E6</f>
        <v>325</v>
      </c>
      <c r="F6" s="7">
        <f>'Geração Caixa '!F6</f>
        <v>12.159000000000001</v>
      </c>
      <c r="G6" s="7">
        <f>'Geração Caixa '!G6</f>
        <v>4.694</v>
      </c>
      <c r="H6" s="7">
        <f>'Geração Caixa '!H6</f>
        <v>0</v>
      </c>
      <c r="I6" s="7">
        <f>'Geração Caixa '!I6</f>
        <v>1</v>
      </c>
      <c r="J6" s="7">
        <f>'Geração Caixa '!J6</f>
        <v>628</v>
      </c>
      <c r="K6" s="7">
        <f>'Geração Caixa '!K6</f>
        <v>267</v>
      </c>
      <c r="L6" s="7">
        <f>'Geração Caixa '!L6</f>
        <v>543</v>
      </c>
      <c r="M6" s="7">
        <f>'Geração Caixa '!M6</f>
        <v>3004</v>
      </c>
      <c r="N6" s="7">
        <f>'Geração Caixa '!N6</f>
        <v>620.73636999999997</v>
      </c>
      <c r="O6" s="7">
        <f>'Geração Caixa '!O6</f>
        <v>137.62628999999995</v>
      </c>
      <c r="P6" s="7">
        <f>'Geração Caixa '!P6</f>
        <v>12409.1574</v>
      </c>
      <c r="Q6" s="7">
        <f>'Geração Caixa '!Q6</f>
        <v>13363.714749999999</v>
      </c>
      <c r="R6" s="7">
        <f>'Geração Caixa '!R6</f>
        <v>25361.415619999996</v>
      </c>
      <c r="S6" s="7">
        <f>'Geração Caixa '!S6</f>
        <v>328.20314000000008</v>
      </c>
      <c r="T6" s="7">
        <f>'Geração Caixa '!T6</f>
        <v>5245.5618581520366</v>
      </c>
    </row>
    <row r="7" spans="1:21" x14ac:dyDescent="0.25">
      <c r="A7" s="48" t="s">
        <v>273</v>
      </c>
      <c r="B7" s="7">
        <f>'Geração Caixa '!B7</f>
        <v>147001</v>
      </c>
      <c r="C7" s="7">
        <f>'Geração Caixa '!C7</f>
        <v>63357</v>
      </c>
      <c r="D7" s="7">
        <f>'Geração Caixa '!D7</f>
        <v>42142</v>
      </c>
      <c r="E7" s="7">
        <f>'Geração Caixa '!E7</f>
        <v>42243</v>
      </c>
      <c r="F7" s="7">
        <f>'Geração Caixa '!F7</f>
        <v>1524.9580000000001</v>
      </c>
      <c r="G7" s="7">
        <f>'Geração Caixa '!G7</f>
        <v>515.03099999999995</v>
      </c>
      <c r="H7" s="7">
        <f>'Geração Caixa '!H7</f>
        <v>508</v>
      </c>
      <c r="I7" s="7">
        <f>'Geração Caixa '!I7</f>
        <v>413</v>
      </c>
      <c r="J7" s="7">
        <f>'Geração Caixa '!J7</f>
        <v>50204</v>
      </c>
      <c r="K7" s="7">
        <f>'Geração Caixa '!K7</f>
        <v>50204</v>
      </c>
      <c r="L7" s="7">
        <f>'Geração Caixa '!L7</f>
        <v>50204</v>
      </c>
      <c r="M7" s="7">
        <f>'Geração Caixa '!M7</f>
        <v>54200</v>
      </c>
      <c r="N7" s="7">
        <f>'Geração Caixa '!N7</f>
        <v>50200</v>
      </c>
      <c r="O7" s="7">
        <f>'Geração Caixa '!O7</f>
        <v>50000</v>
      </c>
      <c r="P7" s="7">
        <f>'Geração Caixa '!P7</f>
        <v>51386.985789999999</v>
      </c>
      <c r="Q7" s="7">
        <f>'Geração Caixa '!Q7</f>
        <v>51108.486109999998</v>
      </c>
      <c r="R7" s="7">
        <f>'Geração Caixa '!R7</f>
        <v>1242.49127</v>
      </c>
      <c r="S7" s="7">
        <f>'Geração Caixa '!S7</f>
        <v>30761.843849999997</v>
      </c>
      <c r="T7" s="7">
        <f>'Geração Caixa '!T7</f>
        <v>18361.165392260471</v>
      </c>
      <c r="U7" s="7"/>
    </row>
    <row r="8" spans="1:21" x14ac:dyDescent="0.25">
      <c r="A8" s="9" t="s">
        <v>274</v>
      </c>
      <c r="B8" s="50">
        <f>SUM(B6:B7)</f>
        <v>182073</v>
      </c>
      <c r="C8" s="50">
        <f t="shared" ref="C8:T8" si="0">SUM(C6:C7)</f>
        <v>64241</v>
      </c>
      <c r="D8" s="50">
        <f t="shared" si="0"/>
        <v>42795</v>
      </c>
      <c r="E8" s="50">
        <f t="shared" si="0"/>
        <v>42568</v>
      </c>
      <c r="F8" s="50">
        <f t="shared" si="0"/>
        <v>1537.1170000000002</v>
      </c>
      <c r="G8" s="50">
        <f t="shared" si="0"/>
        <v>519.72499999999991</v>
      </c>
      <c r="H8" s="50">
        <f t="shared" si="0"/>
        <v>508</v>
      </c>
      <c r="I8" s="50">
        <f t="shared" si="0"/>
        <v>414</v>
      </c>
      <c r="J8" s="50">
        <f t="shared" si="0"/>
        <v>50832</v>
      </c>
      <c r="K8" s="50">
        <f t="shared" si="0"/>
        <v>50471</v>
      </c>
      <c r="L8" s="50">
        <f t="shared" si="0"/>
        <v>50747</v>
      </c>
      <c r="M8" s="50">
        <f t="shared" si="0"/>
        <v>57204</v>
      </c>
      <c r="N8" s="50">
        <f t="shared" si="0"/>
        <v>50820.736369999999</v>
      </c>
      <c r="O8" s="50">
        <f t="shared" si="0"/>
        <v>50137.62629</v>
      </c>
      <c r="P8" s="50">
        <f t="shared" si="0"/>
        <v>63796.143190000003</v>
      </c>
      <c r="Q8" s="50">
        <f t="shared" si="0"/>
        <v>64472.200859999997</v>
      </c>
      <c r="R8" s="50">
        <f t="shared" si="0"/>
        <v>26603.906889999995</v>
      </c>
      <c r="S8" s="50">
        <f t="shared" si="0"/>
        <v>31090.046989999999</v>
      </c>
      <c r="T8" s="50">
        <f t="shared" si="0"/>
        <v>23606.727250412507</v>
      </c>
    </row>
    <row r="9" spans="1:21" ht="8.25" customHeight="1" x14ac:dyDescent="0.25"/>
    <row r="10" spans="1:21" x14ac:dyDescent="0.25">
      <c r="A10" s="6" t="s">
        <v>406</v>
      </c>
      <c r="B10" s="7">
        <f>'Geração Caixa '!B10</f>
        <v>16204</v>
      </c>
      <c r="C10" s="7">
        <f>'Geração Caixa '!C10</f>
        <v>33473</v>
      </c>
      <c r="D10" s="7">
        <f>'Geração Caixa '!D10</f>
        <v>32215</v>
      </c>
      <c r="E10" s="7">
        <f>'Geração Caixa '!E10</f>
        <v>32685</v>
      </c>
      <c r="F10" s="7">
        <f>'Geração Caixa '!F10</f>
        <v>15916.277</v>
      </c>
      <c r="G10" s="7">
        <f>'Geração Caixa '!G10</f>
        <v>14831.493</v>
      </c>
      <c r="H10" s="7">
        <f>'Geração Caixa '!H10</f>
        <v>2257</v>
      </c>
      <c r="I10" s="7">
        <f>'Geração Caixa '!I10</f>
        <v>4620</v>
      </c>
      <c r="J10" s="7">
        <f>'Geração Caixa '!J10</f>
        <v>2686</v>
      </c>
      <c r="K10" s="7">
        <f>'Geração Caixa '!K10</f>
        <v>792431</v>
      </c>
      <c r="L10" s="7">
        <f>'Geração Caixa '!L10</f>
        <v>811605</v>
      </c>
      <c r="M10" s="7">
        <f>'Geração Caixa '!M10</f>
        <v>899712</v>
      </c>
      <c r="N10" s="7">
        <f>'Geração Caixa '!N10</f>
        <v>1012152.2677099999</v>
      </c>
      <c r="O10" s="7">
        <f>'Geração Caixa '!O10</f>
        <v>37645</v>
      </c>
      <c r="P10" s="7">
        <f>'Geração Caixa '!P10</f>
        <v>47284.666120000009</v>
      </c>
      <c r="Q10" s="7">
        <f>'Geração Caixa '!Q10</f>
        <v>76499.729099999997</v>
      </c>
      <c r="R10" s="7">
        <f>'Geração Caixa '!R10</f>
        <v>49939.039660000002</v>
      </c>
      <c r="S10" s="7">
        <f>'Geração Caixa '!S10</f>
        <v>39288.536120000004</v>
      </c>
      <c r="T10" s="7">
        <f>'Geração Caixa '!T10</f>
        <v>30567.598810000003</v>
      </c>
    </row>
    <row r="11" spans="1:21" x14ac:dyDescent="0.25">
      <c r="A11" s="48" t="s">
        <v>407</v>
      </c>
      <c r="B11" s="7">
        <f>'Geração Caixa '!B11</f>
        <v>481433</v>
      </c>
      <c r="C11" s="7">
        <f>'Geração Caixa '!C11</f>
        <v>510953</v>
      </c>
      <c r="D11" s="7">
        <f>'Geração Caixa '!D11</f>
        <v>479392</v>
      </c>
      <c r="E11" s="7">
        <f>'Geração Caixa '!E11</f>
        <v>503399</v>
      </c>
      <c r="F11" s="7">
        <f>'Geração Caixa '!F11</f>
        <v>580942.27</v>
      </c>
      <c r="G11" s="7">
        <f>'Geração Caixa '!G11</f>
        <v>614481.77799999993</v>
      </c>
      <c r="H11" s="7">
        <f>'Geração Caixa '!H11</f>
        <v>624066</v>
      </c>
      <c r="I11" s="7">
        <f>'Geração Caixa '!I11</f>
        <v>566812</v>
      </c>
      <c r="J11" s="7">
        <f>'Geração Caixa '!J11</f>
        <v>750932</v>
      </c>
      <c r="K11" s="7">
        <f>'Geração Caixa '!K11</f>
        <v>114211</v>
      </c>
      <c r="L11" s="7">
        <f>'Geração Caixa '!L11</f>
        <v>123177</v>
      </c>
      <c r="M11" s="7">
        <f>'Geração Caixa '!M11</f>
        <v>122723</v>
      </c>
      <c r="N11" s="7">
        <f>'Geração Caixa '!N11</f>
        <v>0</v>
      </c>
      <c r="O11" s="7">
        <f>'Geração Caixa '!O11</f>
        <v>0</v>
      </c>
      <c r="P11" s="7">
        <f>'Geração Caixa '!P11</f>
        <v>1436.9810199999999</v>
      </c>
      <c r="Q11" s="7">
        <f>'Geração Caixa '!Q11</f>
        <v>0</v>
      </c>
      <c r="R11" s="7">
        <f>'Geração Caixa '!R11</f>
        <v>1784.5393200000001</v>
      </c>
      <c r="S11" s="7">
        <f>'Geração Caixa '!S11</f>
        <v>3587.1229299999995</v>
      </c>
      <c r="T11" s="7">
        <f>'Geração Caixa '!T11</f>
        <v>3946.9974500000003</v>
      </c>
    </row>
    <row r="12" spans="1:21" x14ac:dyDescent="0.25">
      <c r="A12" s="9" t="s">
        <v>408</v>
      </c>
      <c r="B12" s="50">
        <f>SUM(B10:B11)</f>
        <v>497637</v>
      </c>
      <c r="C12" s="50">
        <f t="shared" ref="C12:T12" si="1">SUM(C10:C11)</f>
        <v>544426</v>
      </c>
      <c r="D12" s="50">
        <f t="shared" si="1"/>
        <v>511607</v>
      </c>
      <c r="E12" s="50">
        <f t="shared" si="1"/>
        <v>536084</v>
      </c>
      <c r="F12" s="50">
        <f t="shared" si="1"/>
        <v>596858.54700000002</v>
      </c>
      <c r="G12" s="50">
        <f t="shared" si="1"/>
        <v>629313.27099999995</v>
      </c>
      <c r="H12" s="50">
        <f t="shared" si="1"/>
        <v>626323</v>
      </c>
      <c r="I12" s="50">
        <f t="shared" si="1"/>
        <v>571432</v>
      </c>
      <c r="J12" s="50">
        <f t="shared" si="1"/>
        <v>753618</v>
      </c>
      <c r="K12" s="50">
        <f t="shared" si="1"/>
        <v>906642</v>
      </c>
      <c r="L12" s="50">
        <f t="shared" si="1"/>
        <v>934782</v>
      </c>
      <c r="M12" s="50">
        <f t="shared" si="1"/>
        <v>1022435</v>
      </c>
      <c r="N12" s="50">
        <f t="shared" si="1"/>
        <v>1012152.2677099999</v>
      </c>
      <c r="O12" s="50">
        <f t="shared" si="1"/>
        <v>37645</v>
      </c>
      <c r="P12" s="50">
        <f t="shared" si="1"/>
        <v>48721.647140000008</v>
      </c>
      <c r="Q12" s="50">
        <f t="shared" si="1"/>
        <v>76499.729099999997</v>
      </c>
      <c r="R12" s="50">
        <f t="shared" si="1"/>
        <v>51723.578980000006</v>
      </c>
      <c r="S12" s="50">
        <f t="shared" si="1"/>
        <v>42875.659050000002</v>
      </c>
      <c r="T12" s="50">
        <f t="shared" si="1"/>
        <v>34514.596260000006</v>
      </c>
    </row>
    <row r="14" spans="1:21" x14ac:dyDescent="0.25">
      <c r="A14" s="46" t="s">
        <v>405</v>
      </c>
      <c r="B14" s="39">
        <f>+B8-B12</f>
        <v>-315564</v>
      </c>
      <c r="C14" s="39">
        <f t="shared" ref="C14:T14" si="2">+C8-C12</f>
        <v>-480185</v>
      </c>
      <c r="D14" s="39">
        <f t="shared" si="2"/>
        <v>-468812</v>
      </c>
      <c r="E14" s="39">
        <f t="shared" si="2"/>
        <v>-493516</v>
      </c>
      <c r="F14" s="39">
        <f t="shared" si="2"/>
        <v>-595321.43000000005</v>
      </c>
      <c r="G14" s="39">
        <f t="shared" si="2"/>
        <v>-628793.54599999997</v>
      </c>
      <c r="H14" s="39">
        <f t="shared" si="2"/>
        <v>-625815</v>
      </c>
      <c r="I14" s="39">
        <f t="shared" si="2"/>
        <v>-571018</v>
      </c>
      <c r="J14" s="39">
        <f t="shared" si="2"/>
        <v>-702786</v>
      </c>
      <c r="K14" s="39">
        <f t="shared" si="2"/>
        <v>-856171</v>
      </c>
      <c r="L14" s="39">
        <f t="shared" si="2"/>
        <v>-884035</v>
      </c>
      <c r="M14" s="39">
        <f t="shared" si="2"/>
        <v>-965231</v>
      </c>
      <c r="N14" s="39">
        <f t="shared" si="2"/>
        <v>-961331.53133999999</v>
      </c>
      <c r="O14" s="39">
        <f t="shared" si="2"/>
        <v>12492.62629</v>
      </c>
      <c r="P14" s="39">
        <f t="shared" si="2"/>
        <v>15074.496049999994</v>
      </c>
      <c r="Q14" s="39">
        <f t="shared" si="2"/>
        <v>-12027.52824</v>
      </c>
      <c r="R14" s="39">
        <f t="shared" si="2"/>
        <v>-25119.672090000011</v>
      </c>
      <c r="S14" s="39">
        <f t="shared" si="2"/>
        <v>-11785.612060000003</v>
      </c>
      <c r="T14" s="39">
        <f t="shared" si="2"/>
        <v>-10907.869009587499</v>
      </c>
    </row>
    <row r="15" spans="1:21" ht="15.75" thickBot="1" x14ac:dyDescent="0.3">
      <c r="A15" s="16" t="s">
        <v>409</v>
      </c>
      <c r="B15" s="20">
        <f>'Geração Caixa '!B15</f>
        <v>-164621</v>
      </c>
      <c r="C15" s="20">
        <f>'Geração Caixa '!C15</f>
        <v>11373</v>
      </c>
      <c r="D15" s="20">
        <f>'Geração Caixa '!D15</f>
        <v>-24704</v>
      </c>
      <c r="E15" s="20">
        <f>'Geração Caixa '!E15</f>
        <v>-101805.43000000005</v>
      </c>
      <c r="F15" s="20">
        <f>'Geração Caixa '!F15</f>
        <v>-33472.115999999922</v>
      </c>
      <c r="G15" s="20">
        <f>'Geração Caixa '!G15</f>
        <v>2978.545999999973</v>
      </c>
      <c r="H15" s="20">
        <f>'Geração Caixa '!H15</f>
        <v>54797</v>
      </c>
      <c r="I15" s="20">
        <f>'Geração Caixa '!I15</f>
        <v>-131768</v>
      </c>
      <c r="J15" s="20">
        <f>'Geração Caixa '!J15</f>
        <v>-153385</v>
      </c>
      <c r="K15" s="20">
        <f>'Geração Caixa '!K15</f>
        <v>-27864</v>
      </c>
      <c r="L15" s="20">
        <f>'Geração Caixa '!L15</f>
        <v>-81196</v>
      </c>
      <c r="M15" s="20">
        <f>'Geração Caixa '!M15</f>
        <v>3899.4686600000132</v>
      </c>
      <c r="N15" s="20">
        <f>'Geração Caixa '!N15</f>
        <v>-2175.8423699999694</v>
      </c>
      <c r="O15" s="20">
        <f>'Geração Caixa '!O15</f>
        <v>2581.8697599999941</v>
      </c>
      <c r="P15" s="20">
        <f>'Geração Caixa '!P15</f>
        <v>-27102.024289999994</v>
      </c>
      <c r="Q15" s="20">
        <f>'Geração Caixa '!Q15</f>
        <v>-13092.143850000011</v>
      </c>
      <c r="R15" s="20">
        <f>'Geração Caixa '!R15</f>
        <v>13334.060030000008</v>
      </c>
      <c r="S15" s="20">
        <f>'Geração Caixa '!S15</f>
        <v>877.74305041250409</v>
      </c>
      <c r="T15" s="20">
        <f>'Geração Caixa '!T15</f>
        <v>-11541.130990412501</v>
      </c>
    </row>
    <row r="16" spans="1:21" ht="15.75" thickTop="1" x14ac:dyDescent="0.25"/>
    <row r="17" spans="1:20" x14ac:dyDescent="0.25">
      <c r="A17" s="6" t="s">
        <v>194</v>
      </c>
      <c r="B17" s="7">
        <f>'Geração Caixa '!B17</f>
        <v>16420</v>
      </c>
      <c r="C17" s="7">
        <f>'Geração Caixa '!C17</f>
        <v>6082</v>
      </c>
      <c r="D17" s="7">
        <f>'Geração Caixa '!D17</f>
        <v>35000</v>
      </c>
      <c r="E17" s="7">
        <f>'Geração Caixa '!E17</f>
        <v>0</v>
      </c>
      <c r="F17" s="7">
        <f>'Geração Caixa '!F17</f>
        <v>60000</v>
      </c>
      <c r="G17" s="7">
        <f>'Geração Caixa '!G17</f>
        <v>60000</v>
      </c>
      <c r="H17" s="7">
        <f>'Geração Caixa '!H17</f>
        <v>0</v>
      </c>
      <c r="I17" s="7">
        <f>'Geração Caixa '!I17</f>
        <v>120000</v>
      </c>
      <c r="J17" s="7">
        <f>'Geração Caixa '!J17</f>
        <v>0</v>
      </c>
      <c r="K17" s="7">
        <f>'Geração Caixa '!K17</f>
        <v>22212</v>
      </c>
      <c r="L17" s="7">
        <f>'Geração Caixa '!L17</f>
        <v>0</v>
      </c>
      <c r="M17" s="7">
        <f>'Geração Caixa '!M17</f>
        <v>0</v>
      </c>
      <c r="N17" s="7">
        <f>'Geração Caixa '!N17</f>
        <v>0</v>
      </c>
      <c r="O17" s="7">
        <f>'Geração Caixa '!O17</f>
        <v>0</v>
      </c>
      <c r="P17" s="7">
        <f>'Geração Caixa '!P17</f>
        <v>0</v>
      </c>
      <c r="Q17" s="7">
        <f>'Geração Caixa '!Q17</f>
        <v>0</v>
      </c>
      <c r="R17" s="7">
        <f>'Geração Caixa '!R17</f>
        <v>0</v>
      </c>
      <c r="S17" s="7">
        <f>'Geração Caixa '!S17</f>
        <v>0</v>
      </c>
      <c r="T17" s="7">
        <f>'Geração Caixa '!T17</f>
        <v>0</v>
      </c>
    </row>
    <row r="18" spans="1:20" x14ac:dyDescent="0.25">
      <c r="A18" s="6" t="s">
        <v>410</v>
      </c>
      <c r="B18" s="7">
        <f>'Geração Caixa '!B18</f>
        <v>0</v>
      </c>
      <c r="C18" s="7">
        <f>'Geração Caixa '!C18</f>
        <v>0</v>
      </c>
      <c r="D18" s="7">
        <f>'Geração Caixa '!D18</f>
        <v>0</v>
      </c>
      <c r="E18" s="7">
        <f>'Geração Caixa '!E18</f>
        <v>0</v>
      </c>
      <c r="F18" s="7">
        <f>'Geração Caixa '!F18</f>
        <v>0</v>
      </c>
      <c r="G18" s="7">
        <f>'Geração Caixa '!G18</f>
        <v>33270</v>
      </c>
      <c r="H18" s="7">
        <f>'Geração Caixa '!H18</f>
        <v>12753</v>
      </c>
      <c r="I18" s="7">
        <f>'Geração Caixa '!I18</f>
        <v>46776</v>
      </c>
      <c r="J18" s="7">
        <f>'Geração Caixa '!J18</f>
        <v>7272</v>
      </c>
      <c r="K18" s="7">
        <f>'Geração Caixa '!K18</f>
        <v>0</v>
      </c>
      <c r="L18" s="7">
        <f>'Geração Caixa '!L18</f>
        <v>0</v>
      </c>
      <c r="M18" s="7">
        <f>'Geração Caixa '!M18</f>
        <v>0</v>
      </c>
      <c r="N18" s="7">
        <f>'Geração Caixa '!N18</f>
        <v>0</v>
      </c>
      <c r="O18" s="7">
        <f>'Geração Caixa '!O18</f>
        <v>0</v>
      </c>
      <c r="P18" s="7">
        <f>'Geração Caixa '!P18</f>
        <v>0</v>
      </c>
      <c r="Q18" s="7">
        <f>'Geração Caixa '!Q18</f>
        <v>0</v>
      </c>
      <c r="R18" s="7">
        <f>'Geração Caixa '!R18</f>
        <v>0</v>
      </c>
      <c r="S18" s="7">
        <f>'Geração Caixa '!S18</f>
        <v>0</v>
      </c>
      <c r="T18" s="7">
        <f>'Geração Caixa '!T18</f>
        <v>0</v>
      </c>
    </row>
    <row r="19" spans="1:20" x14ac:dyDescent="0.25">
      <c r="A19" s="49" t="s">
        <v>411</v>
      </c>
      <c r="B19" s="50">
        <f>B15+B17+B18</f>
        <v>-148201</v>
      </c>
      <c r="C19" s="50">
        <f t="shared" ref="C19:T19" si="3">C15+C17+C18</f>
        <v>17455</v>
      </c>
      <c r="D19" s="50">
        <f t="shared" si="3"/>
        <v>10296</v>
      </c>
      <c r="E19" s="50">
        <f t="shared" si="3"/>
        <v>-101805.43000000005</v>
      </c>
      <c r="F19" s="50">
        <f t="shared" si="3"/>
        <v>26527.884000000078</v>
      </c>
      <c r="G19" s="50">
        <f t="shared" si="3"/>
        <v>96248.545999999973</v>
      </c>
      <c r="H19" s="50">
        <f t="shared" si="3"/>
        <v>67550</v>
      </c>
      <c r="I19" s="50">
        <f t="shared" si="3"/>
        <v>35008</v>
      </c>
      <c r="J19" s="50">
        <f t="shared" si="3"/>
        <v>-146113</v>
      </c>
      <c r="K19" s="50">
        <f t="shared" si="3"/>
        <v>-5652</v>
      </c>
      <c r="L19" s="50">
        <f t="shared" si="3"/>
        <v>-81196</v>
      </c>
      <c r="M19" s="50">
        <f t="shared" si="3"/>
        <v>3899.4686600000132</v>
      </c>
      <c r="N19" s="50">
        <f t="shared" si="3"/>
        <v>-2175.8423699999694</v>
      </c>
      <c r="O19" s="50">
        <f t="shared" si="3"/>
        <v>2581.8697599999941</v>
      </c>
      <c r="P19" s="50">
        <f t="shared" si="3"/>
        <v>-27102.024289999994</v>
      </c>
      <c r="Q19" s="50">
        <f t="shared" si="3"/>
        <v>-13092.143850000011</v>
      </c>
      <c r="R19" s="50">
        <f t="shared" si="3"/>
        <v>13334.060030000008</v>
      </c>
      <c r="S19" s="50">
        <f t="shared" si="3"/>
        <v>877.74305041250409</v>
      </c>
      <c r="T19" s="50">
        <f t="shared" si="3"/>
        <v>-11541.130990412501</v>
      </c>
    </row>
    <row r="20" spans="1:20" s="41" customFormat="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s="41" customFormat="1" x14ac:dyDescent="0.25">
      <c r="A21" s="48" t="s">
        <v>413</v>
      </c>
      <c r="B21" s="7">
        <f>'Geração Caixa '!B21</f>
        <v>-166063.69879999998</v>
      </c>
      <c r="C21" s="7">
        <f>'Geração Caixa '!C21</f>
        <v>-38915.303060329999</v>
      </c>
      <c r="D21" s="7">
        <f>'Geração Caixa '!D21</f>
        <v>-27726.044600659363</v>
      </c>
      <c r="E21" s="7">
        <f>'Geração Caixa '!E21</f>
        <v>-167244.01999999999</v>
      </c>
      <c r="F21" s="7">
        <f>'Geração Caixa '!F21</f>
        <v>-8827.6795500000007</v>
      </c>
      <c r="G21" s="7">
        <f>'Geração Caixa '!G21</f>
        <v>-12839.43147</v>
      </c>
      <c r="H21" s="7">
        <f>'Geração Caixa '!H21</f>
        <v>-16221.444690000002</v>
      </c>
      <c r="I21" s="7">
        <f>'Geração Caixa '!I21</f>
        <v>-35326.273419999998</v>
      </c>
      <c r="J21" s="7" t="str">
        <f>'Geração Caixa '!J21</f>
        <v>n/a</v>
      </c>
      <c r="K21" s="7" t="str">
        <f>'Geração Caixa '!K21</f>
        <v>n/a</v>
      </c>
      <c r="L21" s="7" t="str">
        <f>'Geração Caixa '!L21</f>
        <v>n/a</v>
      </c>
      <c r="M21" s="7" t="str">
        <f>'Geração Caixa '!M21</f>
        <v>n/a</v>
      </c>
      <c r="N21" s="7" t="str">
        <f>'Geração Caixa '!N21</f>
        <v>n/a</v>
      </c>
      <c r="O21" s="7" t="str">
        <f>'Geração Caixa '!O21</f>
        <v>n/a</v>
      </c>
      <c r="P21" s="7" t="str">
        <f>'Geração Caixa '!P21</f>
        <v>n/a</v>
      </c>
      <c r="Q21" s="7" t="str">
        <f>'Geração Caixa '!Q21</f>
        <v>n/a</v>
      </c>
      <c r="R21" s="7" t="str">
        <f>'Geração Caixa '!R21</f>
        <v>n/a</v>
      </c>
      <c r="S21" s="7" t="str">
        <f>'Geração Caixa '!S21</f>
        <v>n/a</v>
      </c>
      <c r="T21" s="7" t="str">
        <f>'Geração Caixa '!T21</f>
        <v>n/a</v>
      </c>
    </row>
    <row r="22" spans="1:20" s="41" customFormat="1" x14ac:dyDescent="0.25">
      <c r="A22" s="9" t="s">
        <v>412</v>
      </c>
      <c r="B22" s="50">
        <f>B19-B21</f>
        <v>17862.698799999984</v>
      </c>
      <c r="C22" s="50">
        <f t="shared" ref="C22:H22" si="4">C19-C21</f>
        <v>56370.303060329999</v>
      </c>
      <c r="D22" s="50">
        <f t="shared" si="4"/>
        <v>38022.044600659363</v>
      </c>
      <c r="E22" s="50">
        <f t="shared" si="4"/>
        <v>65438.589999999938</v>
      </c>
      <c r="F22" s="50">
        <f t="shared" si="4"/>
        <v>35355.563550000079</v>
      </c>
      <c r="G22" s="50">
        <f t="shared" si="4"/>
        <v>109087.97746999997</v>
      </c>
      <c r="H22" s="50">
        <f t="shared" si="4"/>
        <v>83771.444690000004</v>
      </c>
      <c r="I22" s="56">
        <f>'Geração Caixa '!I22</f>
        <v>70334.273419999998</v>
      </c>
      <c r="J22" s="56" t="str">
        <f>'Geração Caixa '!J22</f>
        <v>n/a</v>
      </c>
      <c r="K22" s="56" t="str">
        <f>'Geração Caixa '!K22</f>
        <v>n/a</v>
      </c>
      <c r="L22" s="56" t="str">
        <f>'Geração Caixa '!L22</f>
        <v>n/a</v>
      </c>
      <c r="M22" s="56" t="str">
        <f>'Geração Caixa '!M22</f>
        <v>n/a</v>
      </c>
      <c r="N22" s="56" t="str">
        <f>'Geração Caixa '!N22</f>
        <v>n/a</v>
      </c>
      <c r="O22" s="56" t="str">
        <f>'Geração Caixa '!O22</f>
        <v>n/a</v>
      </c>
      <c r="P22" s="56" t="str">
        <f>'Geração Caixa '!P22</f>
        <v>n/a</v>
      </c>
      <c r="Q22" s="56" t="str">
        <f>'Geração Caixa '!Q22</f>
        <v>n/a</v>
      </c>
      <c r="R22" s="56" t="str">
        <f>'Geração Caixa '!R22</f>
        <v>n/a</v>
      </c>
      <c r="S22" s="56" t="str">
        <f>'Geração Caixa '!S22</f>
        <v>n/a</v>
      </c>
      <c r="T22" s="56" t="str">
        <f>'Geração Caixa '!T22</f>
        <v>n/a</v>
      </c>
    </row>
    <row r="23" spans="1:20" s="41" customForma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x14ac:dyDescent="0.25">
      <c r="A24" s="9" t="s">
        <v>208</v>
      </c>
      <c r="B24" s="14">
        <f>'Geração Caixa '!B24</f>
        <v>1331375</v>
      </c>
      <c r="C24" s="14">
        <f>'Geração Caixa '!C24</f>
        <v>1311678</v>
      </c>
      <c r="D24" s="14">
        <f>'Geração Caixa '!D24</f>
        <v>1248457</v>
      </c>
      <c r="E24" s="14">
        <f>'Geração Caixa '!E24</f>
        <v>1256057</v>
      </c>
      <c r="F24" s="14">
        <f>'Geração Caixa '!F24</f>
        <v>1227487.1850000001</v>
      </c>
      <c r="G24" s="14">
        <f>'Geração Caixa '!G24</f>
        <v>1251553.571</v>
      </c>
      <c r="H24" s="14">
        <f>'Geração Caixa '!H24</f>
        <v>1266641</v>
      </c>
      <c r="I24" s="14">
        <f>'Geração Caixa '!I24</f>
        <v>1249962</v>
      </c>
      <c r="J24" s="14">
        <f>'Geração Caixa '!J24</f>
        <v>1442212</v>
      </c>
      <c r="K24" s="14">
        <f>'Geração Caixa '!K24</f>
        <v>1414463</v>
      </c>
      <c r="L24" s="14">
        <f>'Geração Caixa '!L24</f>
        <v>1317069</v>
      </c>
      <c r="M24" s="14">
        <f>'Geração Caixa '!M24</f>
        <v>1300340</v>
      </c>
      <c r="N24" s="14">
        <f>'Geração Caixa '!N24</f>
        <v>1278516.4212520986</v>
      </c>
      <c r="O24" s="14">
        <f>'Geração Caixa '!O24</f>
        <v>266255.83886999998</v>
      </c>
      <c r="P24" s="14">
        <f>'Geração Caixa '!P24</f>
        <v>250297.25848728081</v>
      </c>
      <c r="Q24" s="14">
        <f>'Geração Caixa '!Q24</f>
        <v>240887.96035914097</v>
      </c>
      <c r="R24" s="14">
        <f>'Geração Caixa '!R24</f>
        <v>215324.59080471715</v>
      </c>
      <c r="S24" s="14">
        <f>'Geração Caixa '!S24</f>
        <v>199945.08616011703</v>
      </c>
      <c r="T24" s="14">
        <f>'Geração Caixa '!T24</f>
        <v>168905.78731515375</v>
      </c>
    </row>
    <row r="25" spans="1:20" x14ac:dyDescent="0.25">
      <c r="A25" s="9" t="s">
        <v>276</v>
      </c>
      <c r="B25" s="38">
        <f>B14/B24</f>
        <v>-0.23702112477701623</v>
      </c>
      <c r="C25" s="38">
        <f t="shared" ref="C25:T25" si="5">C14/C24</f>
        <v>-0.36608451159507133</v>
      </c>
      <c r="D25" s="38">
        <f t="shared" si="5"/>
        <v>-0.37551313341188364</v>
      </c>
      <c r="E25" s="38">
        <f t="shared" si="5"/>
        <v>-0.39290892053465726</v>
      </c>
      <c r="F25" s="38">
        <f t="shared" si="5"/>
        <v>-0.48499197162697877</v>
      </c>
      <c r="G25" s="38">
        <f t="shared" si="5"/>
        <v>-0.50241041260230634</v>
      </c>
      <c r="H25" s="38">
        <f t="shared" si="5"/>
        <v>-0.49407448519351577</v>
      </c>
      <c r="I25" s="38">
        <f t="shared" si="5"/>
        <v>-0.45682828757994243</v>
      </c>
      <c r="J25" s="38">
        <f t="shared" si="5"/>
        <v>-0.48729729055090376</v>
      </c>
      <c r="K25" s="38">
        <f t="shared" si="5"/>
        <v>-0.60529755815457875</v>
      </c>
      <c r="L25" s="38">
        <f t="shared" si="5"/>
        <v>-0.67121388476989441</v>
      </c>
      <c r="M25" s="38">
        <f t="shared" si="5"/>
        <v>-0.74229124690465575</v>
      </c>
      <c r="N25" s="38">
        <f t="shared" si="5"/>
        <v>-0.75191175909851227</v>
      </c>
      <c r="O25" s="38">
        <f t="shared" si="5"/>
        <v>4.6919633173188563E-2</v>
      </c>
      <c r="P25" s="38">
        <f t="shared" si="5"/>
        <v>6.0226372997872944E-2</v>
      </c>
      <c r="Q25" s="38">
        <f t="shared" si="5"/>
        <v>-4.9929968363998357E-2</v>
      </c>
      <c r="R25" s="38">
        <f t="shared" si="5"/>
        <v>-0.116659560322962</v>
      </c>
      <c r="S25" s="38">
        <f t="shared" si="5"/>
        <v>-5.894424457404282E-2</v>
      </c>
      <c r="T25" s="38">
        <f t="shared" si="5"/>
        <v>-6.4579604896752255E-2</v>
      </c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FDE8F-60B4-49D5-81C9-CF7C2C8C542A}">
  <sheetPr>
    <tabColor rgb="FF182842"/>
  </sheetPr>
  <dimension ref="A2:AJ33"/>
  <sheetViews>
    <sheetView showGridLines="0" zoomScaleNormal="100" workbookViewId="0"/>
  </sheetViews>
  <sheetFormatPr defaultColWidth="0" defaultRowHeight="12" x14ac:dyDescent="0.2"/>
  <cols>
    <col min="1" max="1" width="33" style="1" bestFit="1" customWidth="1"/>
    <col min="2" max="7" width="8.85546875" style="1" customWidth="1"/>
    <col min="8" max="28" width="8.85546875" style="2" customWidth="1"/>
    <col min="29" max="29" width="8.85546875" style="1" hidden="1" customWidth="1"/>
    <col min="30" max="36" width="0" style="1" hidden="1" customWidth="1"/>
    <col min="37" max="16384" width="8.85546875" style="1" hidden="1"/>
  </cols>
  <sheetData>
    <row r="2" spans="1:28" ht="15" x14ac:dyDescent="0.25">
      <c r="A2"/>
      <c r="B2"/>
      <c r="C2"/>
      <c r="D2"/>
      <c r="E2"/>
      <c r="F2"/>
      <c r="G2"/>
    </row>
    <row r="5" spans="1:28" x14ac:dyDescent="0.2">
      <c r="A5" s="5" t="s">
        <v>219</v>
      </c>
      <c r="B5" s="3" t="s">
        <v>381</v>
      </c>
      <c r="C5" s="3" t="s">
        <v>371</v>
      </c>
      <c r="D5" s="3" t="s">
        <v>369</v>
      </c>
      <c r="E5" s="3" t="s">
        <v>361</v>
      </c>
      <c r="F5" s="3" t="s">
        <v>332</v>
      </c>
      <c r="G5" s="3" t="s">
        <v>329</v>
      </c>
      <c r="H5" s="3" t="s">
        <v>316</v>
      </c>
      <c r="I5" s="3" t="s">
        <v>307</v>
      </c>
      <c r="J5" s="3" t="s">
        <v>302</v>
      </c>
      <c r="K5" s="3" t="s">
        <v>292</v>
      </c>
      <c r="L5" s="3" t="s">
        <v>287</v>
      </c>
      <c r="M5" s="3" t="s">
        <v>278</v>
      </c>
      <c r="N5" s="3" t="str">
        <f>'Balance Sheet'!N5</f>
        <v>3Q20</v>
      </c>
      <c r="O5" s="3" t="str">
        <f>'Balance Sheet'!O5</f>
        <v>2Q20</v>
      </c>
      <c r="P5" s="3" t="str">
        <f>'Balance Sheet'!P5</f>
        <v>1Q20</v>
      </c>
      <c r="Q5" s="3" t="str">
        <f>'Balance Sheet'!Q5</f>
        <v>4Q19</v>
      </c>
      <c r="R5" s="3" t="str">
        <f>'Balance Sheet'!R5</f>
        <v>3Q19</v>
      </c>
      <c r="S5" s="3" t="str">
        <f>'Balance Sheet'!S5</f>
        <v>2Q19</v>
      </c>
      <c r="T5" s="3" t="str">
        <f>'Balance Sheet'!T5</f>
        <v>1Q19</v>
      </c>
      <c r="U5" s="3" t="s">
        <v>211</v>
      </c>
      <c r="V5" s="3" t="s">
        <v>212</v>
      </c>
      <c r="W5" s="3" t="s">
        <v>213</v>
      </c>
      <c r="X5" s="3" t="s">
        <v>214</v>
      </c>
      <c r="Y5" s="3" t="s">
        <v>215</v>
      </c>
      <c r="Z5" s="3" t="s">
        <v>216</v>
      </c>
      <c r="AA5" s="3" t="s">
        <v>217</v>
      </c>
      <c r="AB5" s="3" t="s">
        <v>218</v>
      </c>
    </row>
    <row r="6" spans="1:28" x14ac:dyDescent="0.2">
      <c r="A6" s="6" t="s">
        <v>220</v>
      </c>
      <c r="B6" s="7">
        <f>'Dados Operacionais'!B6</f>
        <v>0</v>
      </c>
      <c r="C6" s="7">
        <f>'Dados Operacionais'!C6</f>
        <v>1</v>
      </c>
      <c r="D6" s="7">
        <f>'Dados Operacionais'!D6</f>
        <v>1</v>
      </c>
      <c r="E6" s="7">
        <f>'Dados Operacionais'!E6</f>
        <v>2</v>
      </c>
      <c r="F6" s="7">
        <f>'Dados Operacionais'!F6</f>
        <v>1</v>
      </c>
      <c r="G6" s="7">
        <f>'Dados Operacionais'!G6</f>
        <v>2</v>
      </c>
      <c r="H6" s="7">
        <f>'Dados Operacionais'!H6</f>
        <v>1</v>
      </c>
      <c r="I6" s="7">
        <f>'Dados Operacionais'!I6</f>
        <v>1</v>
      </c>
      <c r="J6" s="7">
        <f>'Dados Operacionais'!J6</f>
        <v>1</v>
      </c>
      <c r="K6" s="7">
        <f>'Dados Operacionais'!K6</f>
        <v>1</v>
      </c>
      <c r="L6" s="7">
        <f>'Dados Operacionais'!L6</f>
        <v>0</v>
      </c>
      <c r="M6" s="7">
        <f>'Dados Operacionais'!M6</f>
        <v>2</v>
      </c>
      <c r="N6" s="7">
        <f>'Dados Operacionais'!N6</f>
        <v>0</v>
      </c>
      <c r="O6" s="7">
        <f>'Dados Operacionais'!O6</f>
        <v>0</v>
      </c>
      <c r="P6" s="7">
        <f>'Dados Operacionais'!P6</f>
        <v>0</v>
      </c>
      <c r="Q6" s="7">
        <f>'Dados Operacionais'!Q6</f>
        <v>1</v>
      </c>
      <c r="R6" s="7">
        <f>'Dados Operacionais'!R6</f>
        <v>0</v>
      </c>
      <c r="S6" s="7">
        <f>'Dados Operacionais'!S6</f>
        <v>2</v>
      </c>
      <c r="T6" s="7">
        <f>'Dados Operacionais'!T6</f>
        <v>0</v>
      </c>
      <c r="U6" s="7">
        <f>'Dados Operacionais'!U6</f>
        <v>1</v>
      </c>
      <c r="V6" s="7">
        <f>'Dados Operacionais'!V6</f>
        <v>0</v>
      </c>
      <c r="W6" s="7">
        <f>'Dados Operacionais'!W6</f>
        <v>1</v>
      </c>
      <c r="X6" s="7">
        <f>'Dados Operacionais'!X6</f>
        <v>0</v>
      </c>
      <c r="Y6" s="7">
        <f>'Dados Operacionais'!Y6</f>
        <v>0</v>
      </c>
      <c r="Z6" s="7">
        <f>'Dados Operacionais'!Z6</f>
        <v>1</v>
      </c>
      <c r="AA6" s="7">
        <f>'Dados Operacionais'!AA6</f>
        <v>1</v>
      </c>
      <c r="AB6" s="7">
        <f>'Dados Operacionais'!AB6</f>
        <v>0</v>
      </c>
    </row>
    <row r="7" spans="1:28" x14ac:dyDescent="0.2">
      <c r="A7" s="1" t="s">
        <v>221</v>
      </c>
      <c r="B7" s="7">
        <f>'Dados Operacionais'!B7</f>
        <v>0</v>
      </c>
      <c r="C7" s="7">
        <f>'Dados Operacionais'!C7</f>
        <v>29548.82</v>
      </c>
      <c r="D7" s="7">
        <f>'Dados Operacionais'!D7</f>
        <v>27406.9</v>
      </c>
      <c r="E7" s="7">
        <f>'Dados Operacionais'!E7</f>
        <v>113461</v>
      </c>
      <c r="F7" s="7">
        <f>'Dados Operacionais'!F7</f>
        <v>20954.400000000001</v>
      </c>
      <c r="G7" s="7">
        <f>'Dados Operacionais'!G7</f>
        <v>54916</v>
      </c>
      <c r="H7" s="7">
        <f>'Dados Operacionais'!H7</f>
        <v>28115.98</v>
      </c>
      <c r="I7" s="7">
        <f>'Dados Operacionais'!I7</f>
        <v>13502</v>
      </c>
      <c r="J7" s="7">
        <f>'Dados Operacionais'!J7</f>
        <v>36786</v>
      </c>
      <c r="K7" s="7">
        <f>'Dados Operacionais'!K7</f>
        <v>31961</v>
      </c>
      <c r="L7" s="7">
        <f>'Dados Operacionais'!L7</f>
        <v>0</v>
      </c>
      <c r="M7" s="7">
        <f>'Dados Operacionais'!M7</f>
        <v>51993.82</v>
      </c>
      <c r="N7" s="7">
        <f>'Dados Operacionais'!N7</f>
        <v>0</v>
      </c>
      <c r="O7" s="7">
        <f>'Dados Operacionais'!O7</f>
        <v>0</v>
      </c>
      <c r="P7" s="7">
        <f>'Dados Operacionais'!P7</f>
        <v>0</v>
      </c>
      <c r="Q7" s="7">
        <f>'Dados Operacionais'!Q7</f>
        <v>15633.25</v>
      </c>
      <c r="R7" s="7">
        <f>'Dados Operacionais'!R7</f>
        <v>0</v>
      </c>
      <c r="S7" s="7">
        <f>'Dados Operacionais'!S7</f>
        <v>41739.040000000001</v>
      </c>
      <c r="T7" s="7">
        <f>'Dados Operacionais'!T7</f>
        <v>0</v>
      </c>
      <c r="U7" s="7">
        <f>'Dados Operacionais'!U7</f>
        <v>7737.52</v>
      </c>
      <c r="V7" s="7">
        <f>'Dados Operacionais'!V7</f>
        <v>0</v>
      </c>
      <c r="W7" s="7">
        <f>'Dados Operacionais'!W7</f>
        <v>14308.27</v>
      </c>
      <c r="X7" s="7">
        <f>'Dados Operacionais'!X7</f>
        <v>0</v>
      </c>
      <c r="Y7" s="7">
        <f>'Dados Operacionais'!Y7</f>
        <v>0</v>
      </c>
      <c r="Z7" s="7">
        <f>'Dados Operacionais'!Z7</f>
        <v>6675.03</v>
      </c>
      <c r="AA7" s="7">
        <f>'Dados Operacionais'!AA7</f>
        <v>28127.45</v>
      </c>
      <c r="AB7" s="7">
        <f>'Dados Operacionais'!AB7</f>
        <v>0</v>
      </c>
    </row>
    <row r="8" spans="1:28" x14ac:dyDescent="0.2">
      <c r="A8" s="1" t="s">
        <v>285</v>
      </c>
      <c r="B8" s="7">
        <f>'Dados Operacionais'!B8</f>
        <v>0</v>
      </c>
      <c r="C8" s="7">
        <f>'Dados Operacionais'!C8</f>
        <v>887209.84690160002</v>
      </c>
      <c r="D8" s="7">
        <f>'Dados Operacionais'!D8</f>
        <v>436092.85416000005</v>
      </c>
      <c r="E8" s="7">
        <f>'Dados Operacionais'!E8</f>
        <v>1458668.55724</v>
      </c>
      <c r="F8" s="7">
        <f>'Dados Operacionais'!F8</f>
        <v>239927.88000000003</v>
      </c>
      <c r="G8" s="7">
        <f>'Dados Operacionais'!G8</f>
        <v>628354</v>
      </c>
      <c r="H8" s="7">
        <f>'Dados Operacionais'!H8</f>
        <v>230269</v>
      </c>
      <c r="I8" s="7">
        <f>'Dados Operacionais'!I8</f>
        <v>210840.96600000001</v>
      </c>
      <c r="J8" s="7">
        <f>'Dados Operacionais'!J8</f>
        <v>331072</v>
      </c>
      <c r="K8" s="7">
        <f>'Dados Operacionais'!K8</f>
        <v>704768</v>
      </c>
      <c r="L8" s="7">
        <f>'Dados Operacionais'!L8</f>
        <v>0</v>
      </c>
      <c r="M8" s="7">
        <f>'Dados Operacionais'!M8</f>
        <v>497542</v>
      </c>
      <c r="N8" s="7">
        <f>'Dados Operacionais'!N8</f>
        <v>0</v>
      </c>
      <c r="O8" s="7">
        <f>'Dados Operacionais'!O8</f>
        <v>0</v>
      </c>
      <c r="P8" s="7">
        <f>'Dados Operacionais'!P8</f>
        <v>0</v>
      </c>
      <c r="Q8" s="7">
        <f>'Dados Operacionais'!Q8</f>
        <v>189700</v>
      </c>
      <c r="R8" s="7">
        <f>'Dados Operacionais'!R8</f>
        <v>0</v>
      </c>
      <c r="S8" s="7">
        <f>'Dados Operacionais'!S8</f>
        <v>359200</v>
      </c>
      <c r="T8" s="7">
        <f>'Dados Operacionais'!T8</f>
        <v>0</v>
      </c>
      <c r="U8" s="7">
        <f>'Dados Operacionais'!U8</f>
        <v>100904</v>
      </c>
      <c r="V8" s="7">
        <f>'Dados Operacionais'!V8</f>
        <v>0</v>
      </c>
      <c r="W8" s="7">
        <f>'Dados Operacionais'!W8</f>
        <v>157705</v>
      </c>
      <c r="X8" s="7">
        <f>'Dados Operacionais'!X8</f>
        <v>0</v>
      </c>
      <c r="Y8" s="7">
        <f>'Dados Operacionais'!Y8</f>
        <v>0</v>
      </c>
      <c r="Z8" s="7">
        <f>'Dados Operacionais'!Z8</f>
        <v>47807</v>
      </c>
      <c r="AA8" s="7">
        <f>'Dados Operacionais'!AA8</f>
        <v>169036</v>
      </c>
      <c r="AB8" s="7">
        <f>'Dados Operacionais'!AB8</f>
        <v>0</v>
      </c>
    </row>
    <row r="9" spans="1:28" x14ac:dyDescent="0.2">
      <c r="A9" s="1" t="s">
        <v>222</v>
      </c>
      <c r="B9" s="7">
        <f>'Dados Operacionais'!B9</f>
        <v>0</v>
      </c>
      <c r="C9" s="7">
        <f>'Dados Operacionais'!C9</f>
        <v>812513.80910983705</v>
      </c>
      <c r="D9" s="7">
        <f>'Dados Operacionais'!D9</f>
        <v>185997.96322778158</v>
      </c>
      <c r="E9" s="7">
        <f>'Dados Operacionais'!E9</f>
        <v>806870.9984131424</v>
      </c>
      <c r="F9" s="7">
        <f>'Dados Operacionais'!F9</f>
        <v>171769.584</v>
      </c>
      <c r="G9" s="7">
        <f>'Dados Operacionais'!G9</f>
        <v>555810.72</v>
      </c>
      <c r="H9" s="7">
        <f>'Dados Operacionais'!H9</f>
        <v>110390.9586</v>
      </c>
      <c r="I9" s="7">
        <f>'Dados Operacionais'!I9</f>
        <v>144161.10000000009</v>
      </c>
      <c r="J9" s="7">
        <f>'Dados Operacionais'!J9</f>
        <v>255451.58</v>
      </c>
      <c r="K9" s="7">
        <f>'Dados Operacionais'!K9</f>
        <v>603420.31999999995</v>
      </c>
      <c r="L9" s="7">
        <f>'Dados Operacionais'!L9</f>
        <v>0</v>
      </c>
      <c r="M9" s="7">
        <f>'Dados Operacionais'!M9</f>
        <v>329687</v>
      </c>
      <c r="N9" s="7">
        <f>'Dados Operacionais'!N9</f>
        <v>0</v>
      </c>
      <c r="O9" s="7">
        <f>'Dados Operacionais'!O9</f>
        <v>0</v>
      </c>
      <c r="P9" s="7">
        <f>'Dados Operacionais'!P9</f>
        <v>0</v>
      </c>
      <c r="Q9" s="7">
        <f>'Dados Operacionais'!Q9</f>
        <v>135158.16076</v>
      </c>
      <c r="R9" s="7">
        <f>'Dados Operacionais'!R9</f>
        <v>0</v>
      </c>
      <c r="S9" s="7">
        <f>'Dados Operacionais'!S9</f>
        <v>223010</v>
      </c>
      <c r="T9" s="7">
        <f>'Dados Operacionais'!T9</f>
        <v>0</v>
      </c>
      <c r="U9" s="7">
        <f>'Dados Operacionais'!U9</f>
        <v>63227</v>
      </c>
      <c r="V9" s="7">
        <f>'Dados Operacionais'!V9</f>
        <v>0</v>
      </c>
      <c r="W9" s="7">
        <f>'Dados Operacionais'!W9</f>
        <v>119287</v>
      </c>
      <c r="X9" s="7">
        <f>'Dados Operacionais'!X9</f>
        <v>0</v>
      </c>
      <c r="Y9" s="7">
        <f>'Dados Operacionais'!Y9</f>
        <v>0</v>
      </c>
      <c r="Z9" s="7">
        <f>'Dados Operacionais'!Z9</f>
        <v>47807</v>
      </c>
      <c r="AA9" s="7">
        <f>'Dados Operacionais'!AA9</f>
        <v>81251</v>
      </c>
      <c r="AB9" s="7">
        <f>'Dados Operacionais'!AB9</f>
        <v>0</v>
      </c>
    </row>
    <row r="10" spans="1:28" x14ac:dyDescent="0.2">
      <c r="A10" s="1" t="s">
        <v>223</v>
      </c>
      <c r="B10" s="7" t="str">
        <f>'Dados Operacionais'!B10</f>
        <v>-</v>
      </c>
      <c r="C10" s="7">
        <f>'Dados Operacionais'!C10</f>
        <v>1</v>
      </c>
      <c r="D10" s="7">
        <f>'Dados Operacionais'!D10</f>
        <v>0.45</v>
      </c>
      <c r="E10" s="7">
        <f>'Dados Operacionais'!E10</f>
        <v>0.69375597406851164</v>
      </c>
      <c r="F10" s="7">
        <f>'Dados Operacionais'!F10</f>
        <v>0.8</v>
      </c>
      <c r="G10" s="7">
        <f>'Dados Operacionais'!G10</f>
        <v>1</v>
      </c>
      <c r="H10" s="7">
        <f>'Dados Operacionais'!H10</f>
        <v>0.47939999999999999</v>
      </c>
      <c r="I10" s="7">
        <f>'Dados Operacionais'!I10</f>
        <v>0.68374331011175538</v>
      </c>
      <c r="J10" s="7">
        <f>'Dados Operacionais'!J10</f>
        <v>0.77158920114053742</v>
      </c>
      <c r="K10" s="7">
        <f>'Dados Operacionais'!K10</f>
        <v>0.85619710316018882</v>
      </c>
      <c r="L10" s="7">
        <f>'Dados Operacionais'!L10</f>
        <v>0</v>
      </c>
      <c r="M10" s="21">
        <f>'Dados Operacionais'!M10</f>
        <v>0.66263149643648178</v>
      </c>
      <c r="N10" s="7">
        <f>'Dados Operacionais'!N10</f>
        <v>0</v>
      </c>
      <c r="O10" s="7">
        <f>'Dados Operacionais'!O10</f>
        <v>0</v>
      </c>
      <c r="P10" s="7">
        <f>'Dados Operacionais'!P10</f>
        <v>0</v>
      </c>
      <c r="Q10" s="21">
        <f>'Dados Operacionais'!Q10</f>
        <v>0.71248371512915132</v>
      </c>
      <c r="R10" s="7">
        <f>'Dados Operacionais'!R10</f>
        <v>0</v>
      </c>
      <c r="S10" s="21">
        <f>'Dados Operacionais'!S10</f>
        <v>0.62085189309576838</v>
      </c>
      <c r="T10" s="7">
        <f>'Dados Operacionais'!T10</f>
        <v>0</v>
      </c>
      <c r="U10" s="21">
        <f>'Dados Operacionais'!U10</f>
        <v>0.62660548640291758</v>
      </c>
      <c r="V10" s="7">
        <f>'Dados Operacionais'!V10</f>
        <v>0</v>
      </c>
      <c r="W10" s="21">
        <f>'Dados Operacionais'!W10</f>
        <v>0.75639326590786593</v>
      </c>
      <c r="X10" s="7">
        <f>'Dados Operacionais'!X10</f>
        <v>0</v>
      </c>
      <c r="Y10" s="7">
        <f>'Dados Operacionais'!Y10</f>
        <v>0</v>
      </c>
      <c r="Z10" s="21">
        <f>'Dados Operacionais'!Z10</f>
        <v>1</v>
      </c>
      <c r="AA10" s="21">
        <f>'Dados Operacionais'!AA10</f>
        <v>0.48067275609929244</v>
      </c>
      <c r="AB10" s="7">
        <f>'Dados Operacionais'!AB10</f>
        <v>0</v>
      </c>
    </row>
    <row r="11" spans="1:28" x14ac:dyDescent="0.2">
      <c r="A11" s="1" t="s">
        <v>224</v>
      </c>
      <c r="B11" s="7">
        <f>'Dados Operacionais'!B11</f>
        <v>0</v>
      </c>
      <c r="C11" s="7">
        <f>'Dados Operacionais'!C11</f>
        <v>153</v>
      </c>
      <c r="D11" s="7">
        <f>'Dados Operacionais'!D11</f>
        <v>268</v>
      </c>
      <c r="E11" s="7">
        <f>'Dados Operacionais'!E11</f>
        <v>1341</v>
      </c>
      <c r="F11" s="7">
        <f>'Dados Operacionais'!F11</f>
        <v>343</v>
      </c>
      <c r="G11" s="7">
        <f>'Dados Operacionais'!G11</f>
        <v>582</v>
      </c>
      <c r="H11" s="7">
        <f>'Dados Operacionais'!H11</f>
        <v>258</v>
      </c>
      <c r="I11" s="7">
        <f>'Dados Operacionais'!I11</f>
        <v>408</v>
      </c>
      <c r="J11" s="7">
        <f>'Dados Operacionais'!J11</f>
        <v>576</v>
      </c>
      <c r="K11" s="7">
        <f>'Dados Operacionais'!K11</f>
        <v>409</v>
      </c>
      <c r="L11" s="7">
        <f>'Dados Operacionais'!L11</f>
        <v>0</v>
      </c>
      <c r="M11" s="7">
        <f>'Dados Operacionais'!M11</f>
        <v>642</v>
      </c>
      <c r="N11" s="7">
        <f>'Dados Operacionais'!N11</f>
        <v>0</v>
      </c>
      <c r="O11" s="7">
        <f>'Dados Operacionais'!O11</f>
        <v>0</v>
      </c>
      <c r="P11" s="7">
        <f>'Dados Operacionais'!P11</f>
        <v>0</v>
      </c>
      <c r="Q11" s="7">
        <f>'Dados Operacionais'!Q11</f>
        <v>120</v>
      </c>
      <c r="R11" s="7">
        <f>'Dados Operacionais'!R11</f>
        <v>0</v>
      </c>
      <c r="S11" s="7">
        <f>'Dados Operacionais'!S11</f>
        <v>417</v>
      </c>
      <c r="T11" s="7">
        <f>'Dados Operacionais'!T11</f>
        <v>0</v>
      </c>
      <c r="U11" s="7">
        <f>'Dados Operacionais'!U11</f>
        <v>273</v>
      </c>
      <c r="V11" s="7">
        <f>'Dados Operacionais'!V11</f>
        <v>0</v>
      </c>
      <c r="W11" s="7">
        <f>'Dados Operacionais'!W11</f>
        <v>99</v>
      </c>
      <c r="X11" s="7">
        <f>'Dados Operacionais'!X11</f>
        <v>0</v>
      </c>
      <c r="Y11" s="7">
        <f>'Dados Operacionais'!Y11</f>
        <v>0</v>
      </c>
      <c r="Z11" s="7">
        <f>'Dados Operacionais'!Z11</f>
        <v>258</v>
      </c>
      <c r="AA11" s="7">
        <f>'Dados Operacionais'!AA11</f>
        <v>400</v>
      </c>
      <c r="AB11" s="7">
        <f>'Dados Operacionais'!AB11</f>
        <v>0</v>
      </c>
    </row>
    <row r="12" spans="1:28" x14ac:dyDescent="0.2">
      <c r="A12" s="1" t="s">
        <v>226</v>
      </c>
      <c r="B12" s="7">
        <f>'Dados Operacionais'!B12</f>
        <v>0</v>
      </c>
      <c r="C12" s="7">
        <f>'Dados Operacionais'!C12</f>
        <v>30025.220868434004</v>
      </c>
      <c r="D12" s="7">
        <f>'Dados Operacionais'!D12</f>
        <v>15911.790613312705</v>
      </c>
      <c r="E12" s="7">
        <f>'Dados Operacionais'!E12</f>
        <v>12856.122872528887</v>
      </c>
      <c r="F12" s="7">
        <f>'Dados Operacionais'!F12</f>
        <v>11450</v>
      </c>
      <c r="G12" s="7">
        <f>'Dados Operacionais'!G12</f>
        <v>11442.093378978803</v>
      </c>
      <c r="H12" s="7">
        <f>'Dados Operacionais'!H12</f>
        <v>8189.9688362276547</v>
      </c>
      <c r="I12" s="7">
        <f>'Dados Operacionais'!I12</f>
        <v>15615.535920604354</v>
      </c>
      <c r="J12" s="7">
        <f>'Dados Operacionais'!J12</f>
        <v>8999.94563149024</v>
      </c>
      <c r="K12" s="7">
        <f>'Dados Operacionais'!K12</f>
        <v>22050.874503300896</v>
      </c>
      <c r="L12" s="7">
        <f>'Dados Operacionais'!L12</f>
        <v>0</v>
      </c>
      <c r="M12" s="7">
        <f>'Dados Operacionais'!M12</f>
        <v>9569.2526534884346</v>
      </c>
      <c r="N12" s="7">
        <f>'Dados Operacionais'!N12</f>
        <v>0</v>
      </c>
      <c r="O12" s="7">
        <f>'Dados Operacionais'!O12</f>
        <v>0</v>
      </c>
      <c r="P12" s="7">
        <f>'Dados Operacionais'!P12</f>
        <v>0</v>
      </c>
      <c r="Q12" s="7">
        <f>'Dados Operacionais'!Q12</f>
        <v>12134.39304047463</v>
      </c>
      <c r="R12" s="7">
        <f>'Dados Operacionais'!R12</f>
        <v>0</v>
      </c>
      <c r="S12" s="7">
        <f>'Dados Operacionais'!S12</f>
        <v>8605.8519793459545</v>
      </c>
      <c r="T12" s="7">
        <f>'Dados Operacionais'!T12</f>
        <v>0</v>
      </c>
      <c r="U12" s="7">
        <f>'Dados Operacionais'!U12</f>
        <v>13040.87097674707</v>
      </c>
      <c r="V12" s="7">
        <f>'Dados Operacionais'!V12</f>
        <v>0</v>
      </c>
      <c r="W12" s="7">
        <f>'Dados Operacionais'!W12</f>
        <v>11021.947447175655</v>
      </c>
      <c r="X12" s="7">
        <f>'Dados Operacionais'!X12</f>
        <v>0</v>
      </c>
      <c r="Y12" s="7">
        <f>'Dados Operacionais'!Y12</f>
        <v>0</v>
      </c>
      <c r="Z12" s="7">
        <f>'Dados Operacionais'!Z12</f>
        <v>7162.065189220124</v>
      </c>
      <c r="AA12" s="7">
        <f>'Dados Operacionais'!AA12</f>
        <v>6009.6453820022789</v>
      </c>
      <c r="AB12" s="7">
        <f>'Dados Operacionais'!AB12</f>
        <v>0</v>
      </c>
    </row>
    <row r="13" spans="1:28" x14ac:dyDescent="0.2">
      <c r="A13" s="1" t="s">
        <v>225</v>
      </c>
      <c r="B13" s="7">
        <f>'Dados Operacionais'!B13</f>
        <v>0</v>
      </c>
      <c r="C13" s="7">
        <f>'Dados Operacionais'!C13</f>
        <v>5798757.1692915037</v>
      </c>
      <c r="D13" s="7">
        <f>'Dados Operacionais'!D13</f>
        <v>1627212.1423880598</v>
      </c>
      <c r="E13" s="7">
        <f>'Dados Operacionais'!E13</f>
        <v>1087746.8734079045</v>
      </c>
      <c r="F13" s="7">
        <f>'Dados Operacionais'!F13</f>
        <v>699498.19241982512</v>
      </c>
      <c r="G13" s="7">
        <f>'Dados Operacionais'!G13</f>
        <v>1079646.0481099656</v>
      </c>
      <c r="H13" s="7">
        <f>'Dados Operacionais'!H13</f>
        <v>892515.50387596898</v>
      </c>
      <c r="I13" s="7">
        <f>'Dados Operacionais'!I13</f>
        <v>516767.07352941175</v>
      </c>
      <c r="J13" s="7">
        <f>'Dados Operacionais'!J13</f>
        <v>574777.77777777775</v>
      </c>
      <c r="K13" s="7">
        <f>'Dados Operacionais'!K13</f>
        <v>1723149.1442542786</v>
      </c>
      <c r="L13" s="7">
        <f>'Dados Operacionais'!L13</f>
        <v>0</v>
      </c>
      <c r="M13" s="7">
        <f>'Dados Operacionais'!M13</f>
        <v>774987.53894081002</v>
      </c>
      <c r="N13" s="7">
        <f>'Dados Operacionais'!N13</f>
        <v>0</v>
      </c>
      <c r="O13" s="7">
        <f>'Dados Operacionais'!O13</f>
        <v>0</v>
      </c>
      <c r="P13" s="7">
        <f>'Dados Operacionais'!P13</f>
        <v>0</v>
      </c>
      <c r="Q13" s="7">
        <f>'Dados Operacionais'!Q13</f>
        <v>1580833.3333333333</v>
      </c>
      <c r="R13" s="7">
        <f>'Dados Operacionais'!R13</f>
        <v>0</v>
      </c>
      <c r="S13" s="7">
        <f>'Dados Operacionais'!S13</f>
        <v>861390.88729016786</v>
      </c>
      <c r="T13" s="7">
        <f>'Dados Operacionais'!T13</f>
        <v>0</v>
      </c>
      <c r="U13" s="7">
        <f>'Dados Operacionais'!U13</f>
        <v>369611.72161172162</v>
      </c>
      <c r="V13" s="7">
        <f>'Dados Operacionais'!V13</f>
        <v>0</v>
      </c>
      <c r="W13" s="7">
        <f>'Dados Operacionais'!W13</f>
        <v>1592979.7979797979</v>
      </c>
      <c r="X13" s="7">
        <f>'Dados Operacionais'!X13</f>
        <v>0</v>
      </c>
      <c r="Y13" s="7">
        <f>'Dados Operacionais'!Y13</f>
        <v>0</v>
      </c>
      <c r="Z13" s="7">
        <f>'Dados Operacionais'!Z13</f>
        <v>185298.44961240311</v>
      </c>
      <c r="AA13" s="7">
        <f>'Dados Operacionais'!AA13</f>
        <v>422590</v>
      </c>
      <c r="AB13" s="7">
        <f>'Dados Operacionais'!AB13</f>
        <v>0</v>
      </c>
    </row>
    <row r="14" spans="1:28" x14ac:dyDescent="0.2">
      <c r="B14" s="2"/>
      <c r="C14" s="2"/>
      <c r="D14" s="2"/>
      <c r="E14" s="2"/>
      <c r="F14" s="2"/>
      <c r="G14" s="2"/>
    </row>
    <row r="15" spans="1:28" x14ac:dyDescent="0.2">
      <c r="A15" s="5" t="s">
        <v>227</v>
      </c>
      <c r="B15" s="3" t="str">
        <f t="shared" ref="B15:C15" si="0">+B5</f>
        <v>3Q23</v>
      </c>
      <c r="C15" s="3" t="str">
        <f t="shared" si="0"/>
        <v>2Q23</v>
      </c>
      <c r="D15" s="3" t="str">
        <f t="shared" ref="D15:E15" si="1">+D5</f>
        <v>1Q23</v>
      </c>
      <c r="E15" s="3" t="str">
        <f t="shared" si="1"/>
        <v>4Q22</v>
      </c>
      <c r="F15" s="3" t="str">
        <f t="shared" ref="F15:G15" si="2">+F5</f>
        <v>3Q22</v>
      </c>
      <c r="G15" s="3" t="str">
        <f t="shared" si="2"/>
        <v>2Q22</v>
      </c>
      <c r="H15" s="3" t="str">
        <f t="shared" ref="H15:I15" si="3">+H5</f>
        <v>1Q22</v>
      </c>
      <c r="I15" s="3" t="str">
        <f t="shared" si="3"/>
        <v>4Q21</v>
      </c>
      <c r="J15" s="3" t="str">
        <f t="shared" ref="J15:K15" si="4">+J5</f>
        <v>3Q21</v>
      </c>
      <c r="K15" s="3" t="str">
        <f t="shared" si="4"/>
        <v>2Q21</v>
      </c>
      <c r="L15" s="3" t="str">
        <f t="shared" ref="L15:AB15" si="5">+L5</f>
        <v>1Q21</v>
      </c>
      <c r="M15" s="3" t="str">
        <f t="shared" si="5"/>
        <v>4Q20</v>
      </c>
      <c r="N15" s="3" t="str">
        <f t="shared" si="5"/>
        <v>3Q20</v>
      </c>
      <c r="O15" s="3" t="str">
        <f t="shared" si="5"/>
        <v>2Q20</v>
      </c>
      <c r="P15" s="3" t="str">
        <f t="shared" si="5"/>
        <v>1Q20</v>
      </c>
      <c r="Q15" s="3" t="str">
        <f t="shared" si="5"/>
        <v>4Q19</v>
      </c>
      <c r="R15" s="3" t="str">
        <f t="shared" si="5"/>
        <v>3Q19</v>
      </c>
      <c r="S15" s="3" t="str">
        <f t="shared" si="5"/>
        <v>2Q19</v>
      </c>
      <c r="T15" s="3" t="str">
        <f t="shared" si="5"/>
        <v>1Q19</v>
      </c>
      <c r="U15" s="3" t="str">
        <f t="shared" si="5"/>
        <v>4Q18</v>
      </c>
      <c r="V15" s="3" t="str">
        <f t="shared" si="5"/>
        <v>3Q18</v>
      </c>
      <c r="W15" s="3" t="str">
        <f t="shared" si="5"/>
        <v>2Q18</v>
      </c>
      <c r="X15" s="3" t="str">
        <f t="shared" si="5"/>
        <v>1Q18</v>
      </c>
      <c r="Y15" s="3" t="str">
        <f t="shared" si="5"/>
        <v>4Q17</v>
      </c>
      <c r="Z15" s="3" t="str">
        <f t="shared" si="5"/>
        <v>3Q17</v>
      </c>
      <c r="AA15" s="3" t="str">
        <f t="shared" si="5"/>
        <v>2Q17</v>
      </c>
      <c r="AB15" s="3" t="str">
        <f t="shared" si="5"/>
        <v>1Q17</v>
      </c>
    </row>
    <row r="16" spans="1:28" x14ac:dyDescent="0.2">
      <c r="A16" s="1" t="s">
        <v>228</v>
      </c>
      <c r="B16" s="7">
        <f>'Dados Operacionais'!B16</f>
        <v>280929.44673625007</v>
      </c>
      <c r="C16" s="7">
        <f>'Dados Operacionais'!C16</f>
        <v>485885.77679416665</v>
      </c>
      <c r="D16" s="7">
        <f>'Dados Operacionais'!D16</f>
        <v>233128.27793749998</v>
      </c>
      <c r="E16" s="7">
        <f>'Dados Operacionais'!E16</f>
        <v>1022321.8078742643</v>
      </c>
      <c r="F16" s="7">
        <f>'Dados Operacionais'!F16</f>
        <v>117342.82354449932</v>
      </c>
      <c r="G16" s="7">
        <f>'Dados Operacionais'!G16</f>
        <v>450328.80644728482</v>
      </c>
      <c r="H16" s="7">
        <f>'Dados Operacionais'!H16</f>
        <v>162472.72159991018</v>
      </c>
      <c r="I16" s="7">
        <f>'Dados Operacionais'!I16</f>
        <v>155354.00634399123</v>
      </c>
      <c r="J16" s="7">
        <f>'Dados Operacionais'!J16</f>
        <v>191881.37458130298</v>
      </c>
      <c r="K16" s="7">
        <f>'Dados Operacionais'!K16</f>
        <v>507455.80112676823</v>
      </c>
      <c r="L16" s="7">
        <f>'Dados Operacionais'!L16</f>
        <v>86107.022446865652</v>
      </c>
      <c r="M16" s="7">
        <f>'Dados Operacionais'!M16</f>
        <v>353886</v>
      </c>
      <c r="N16" s="7">
        <f>'Dados Operacionais'!N16</f>
        <v>33752</v>
      </c>
      <c r="O16" s="7">
        <f>'Dados Operacionais'!O16</f>
        <v>12920</v>
      </c>
      <c r="P16" s="7">
        <f>'Dados Operacionais'!P16</f>
        <v>27085</v>
      </c>
      <c r="Q16" s="7">
        <f>'Dados Operacionais'!Q16</f>
        <v>97043</v>
      </c>
      <c r="R16" s="7">
        <f>'Dados Operacionais'!R16</f>
        <v>175007</v>
      </c>
      <c r="S16" s="7">
        <f>'Dados Operacionais'!S16</f>
        <v>215303</v>
      </c>
      <c r="T16" s="7">
        <f>'Dados Operacionais'!T16</f>
        <v>-1815</v>
      </c>
      <c r="U16" s="7">
        <f>'Dados Operacionais'!U16</f>
        <v>105704.11139000003</v>
      </c>
      <c r="V16" s="7">
        <f>'Dados Operacionais'!V16</f>
        <v>9084.9324100000013</v>
      </c>
      <c r="W16" s="7">
        <f>'Dados Operacionais'!W16</f>
        <v>153927.14700000003</v>
      </c>
      <c r="X16" s="7">
        <f>'Dados Operacionais'!X16</f>
        <v>7005.9240399999999</v>
      </c>
      <c r="Y16" s="7">
        <f>'Dados Operacionais'!Y16</f>
        <v>38271.825529999987</v>
      </c>
      <c r="Z16" s="7">
        <f>'Dados Operacionais'!Z16</f>
        <v>63091</v>
      </c>
      <c r="AA16" s="7">
        <f>'Dados Operacionais'!AA16</f>
        <v>2350</v>
      </c>
      <c r="AB16" s="7">
        <f>'Dados Operacionais'!AB16</f>
        <v>24260</v>
      </c>
    </row>
    <row r="17" spans="1:29" x14ac:dyDescent="0.2">
      <c r="A17" s="1" t="s">
        <v>229</v>
      </c>
      <c r="B17" s="7">
        <f>'Dados Operacionais'!B17</f>
        <v>192859.05322749802</v>
      </c>
      <c r="C17" s="7">
        <f>'Dados Operacionais'!C17</f>
        <v>389662.1805737</v>
      </c>
      <c r="D17" s="7">
        <f>'Dados Operacionais'!D17</f>
        <v>145874.08209210803</v>
      </c>
      <c r="E17" s="7">
        <f>'Dados Operacionais'!E17</f>
        <v>526417.39100498403</v>
      </c>
      <c r="F17" s="7">
        <f>'Dados Operacionais'!F17</f>
        <v>83470.803476811998</v>
      </c>
      <c r="G17" s="7">
        <f>'Dados Operacionais'!G17</f>
        <v>358718.50847335596</v>
      </c>
      <c r="H17" s="7">
        <f>'Dados Operacionais'!H17</f>
        <v>91108.569163412001</v>
      </c>
      <c r="I17" s="7">
        <f>'Dados Operacionais'!I17</f>
        <v>109591.38953983397</v>
      </c>
      <c r="J17" s="7">
        <f>'Dados Operacionais'!J17</f>
        <v>119478.52703695805</v>
      </c>
      <c r="K17" s="7">
        <f>'Dados Operacionais'!K17</f>
        <v>399872.49987139809</v>
      </c>
      <c r="L17" s="7">
        <f>'Dados Operacionais'!L17</f>
        <v>61270.670880241989</v>
      </c>
      <c r="M17" s="7">
        <f>'Dados Operacionais'!M17</f>
        <v>221708.45397343801</v>
      </c>
      <c r="N17" s="7">
        <f>'Dados Operacionais'!N17</f>
        <v>18521.025977937999</v>
      </c>
      <c r="O17" s="7">
        <f>'Dados Operacionais'!O17</f>
        <v>5064.245259446001</v>
      </c>
      <c r="P17" s="7">
        <f>'Dados Operacionais'!P17</f>
        <v>19044.267056122</v>
      </c>
      <c r="Q17" s="7">
        <f>'Dados Operacionais'!Q17</f>
        <v>70290.809643950022</v>
      </c>
      <c r="R17" s="7">
        <f>'Dados Operacionais'!R17</f>
        <v>98923.917626384005</v>
      </c>
      <c r="S17" s="7">
        <f>'Dados Operacionais'!S17</f>
        <v>188754.48327184602</v>
      </c>
      <c r="T17" s="7">
        <f>'Dados Operacionais'!T17</f>
        <v>-1372.3322828600003</v>
      </c>
      <c r="U17" s="7">
        <f>'Dados Operacionais'!U17</f>
        <v>73795.388404678015</v>
      </c>
      <c r="V17" s="7">
        <f>'Dados Operacionais'!V17</f>
        <v>5476.4544037560008</v>
      </c>
      <c r="W17" s="7">
        <f>'Dados Operacionais'!W17</f>
        <v>122712.31932942002</v>
      </c>
      <c r="X17" s="7">
        <f>'Dados Operacionais'!X17</f>
        <v>6247.2084801279998</v>
      </c>
      <c r="Y17" s="7">
        <f>'Dados Operacionais'!Y17</f>
        <v>35277.982099051995</v>
      </c>
      <c r="Z17" s="7">
        <f>'Dados Operacionais'!Z17</f>
        <v>32621.723925208003</v>
      </c>
      <c r="AA17" s="7">
        <f>'Dados Operacionais'!AA17</f>
        <v>1197.8461763160001</v>
      </c>
      <c r="AB17" s="7">
        <f>'Dados Operacionais'!AB17</f>
        <v>12367.596324304001</v>
      </c>
    </row>
    <row r="18" spans="1:29" x14ac:dyDescent="0.2">
      <c r="A18" s="1" t="s">
        <v>230</v>
      </c>
      <c r="B18" s="7">
        <f>'Dados Operacionais'!B18</f>
        <v>135</v>
      </c>
      <c r="C18" s="7">
        <f>'Dados Operacionais'!C18</f>
        <v>246</v>
      </c>
      <c r="D18" s="7">
        <f>'Dados Operacionais'!D18</f>
        <v>165</v>
      </c>
      <c r="E18" s="7">
        <f>'Dados Operacionais'!E18</f>
        <v>1166</v>
      </c>
      <c r="F18" s="7">
        <f>'Dados Operacionais'!F18</f>
        <v>183</v>
      </c>
      <c r="G18" s="7">
        <f>'Dados Operacionais'!G18</f>
        <v>420</v>
      </c>
      <c r="H18" s="7">
        <f>'Dados Operacionais'!H18</f>
        <v>208</v>
      </c>
      <c r="I18" s="7">
        <f>'Dados Operacionais'!I18</f>
        <v>262</v>
      </c>
      <c r="J18" s="7">
        <f>'Dados Operacionais'!J18</f>
        <v>212</v>
      </c>
      <c r="K18" s="7">
        <f>'Dados Operacionais'!K18</f>
        <v>354</v>
      </c>
      <c r="L18" s="7">
        <f>'Dados Operacionais'!L18</f>
        <v>107</v>
      </c>
      <c r="M18" s="7">
        <f>'Dados Operacionais'!M18</f>
        <v>338</v>
      </c>
      <c r="N18" s="7">
        <f>'Dados Operacionais'!N18</f>
        <v>59</v>
      </c>
      <c r="O18" s="7">
        <f>'Dados Operacionais'!O18</f>
        <v>27</v>
      </c>
      <c r="P18" s="7">
        <f>'Dados Operacionais'!P18</f>
        <v>36</v>
      </c>
      <c r="Q18" s="7">
        <f>'Dados Operacionais'!Q18</f>
        <v>98</v>
      </c>
      <c r="R18" s="7">
        <f>'Dados Operacionais'!R18</f>
        <v>130</v>
      </c>
      <c r="S18" s="7">
        <f>'Dados Operacionais'!S18</f>
        <v>298</v>
      </c>
      <c r="T18" s="7">
        <f>'Dados Operacionais'!T18</f>
        <v>-2</v>
      </c>
      <c r="U18" s="7">
        <f>'Dados Operacionais'!U18</f>
        <v>305</v>
      </c>
      <c r="V18" s="7">
        <f>'Dados Operacionais'!V18</f>
        <v>23</v>
      </c>
      <c r="W18" s="7">
        <f>'Dados Operacionais'!W18</f>
        <v>125</v>
      </c>
      <c r="X18" s="7">
        <f>'Dados Operacionais'!X18</f>
        <v>34</v>
      </c>
      <c r="Y18" s="7">
        <f>'Dados Operacionais'!Y18</f>
        <v>183</v>
      </c>
      <c r="Z18" s="7">
        <f>'Dados Operacionais'!Z18</f>
        <v>46</v>
      </c>
      <c r="AA18" s="7">
        <f>'Dados Operacionais'!AA18</f>
        <v>128</v>
      </c>
      <c r="AB18" s="7">
        <f>'Dados Operacionais'!AB18</f>
        <v>39</v>
      </c>
    </row>
    <row r="19" spans="1:29" x14ac:dyDescent="0.2">
      <c r="B19" s="2"/>
      <c r="C19" s="2"/>
      <c r="D19" s="2"/>
      <c r="E19" s="2"/>
      <c r="F19" s="2"/>
      <c r="G19" s="2"/>
    </row>
    <row r="20" spans="1:29" x14ac:dyDescent="0.2">
      <c r="A20" s="5" t="s">
        <v>251</v>
      </c>
      <c r="B20" s="3" t="str">
        <f t="shared" ref="B20:C20" si="6">B15</f>
        <v>3Q23</v>
      </c>
      <c r="C20" s="3" t="str">
        <f t="shared" si="6"/>
        <v>2Q23</v>
      </c>
      <c r="D20" s="3" t="str">
        <f t="shared" ref="D20:E20" si="7">D15</f>
        <v>1Q23</v>
      </c>
      <c r="E20" s="3" t="str">
        <f t="shared" si="7"/>
        <v>4Q22</v>
      </c>
      <c r="F20" s="3" t="str">
        <f t="shared" ref="F20:AB20" si="8">F15</f>
        <v>3Q22</v>
      </c>
      <c r="G20" s="3" t="str">
        <f t="shared" si="8"/>
        <v>2Q22</v>
      </c>
      <c r="H20" s="3" t="str">
        <f t="shared" si="8"/>
        <v>1Q22</v>
      </c>
      <c r="I20" s="3" t="str">
        <f t="shared" si="8"/>
        <v>4Q21</v>
      </c>
      <c r="J20" s="3" t="str">
        <f t="shared" si="8"/>
        <v>3Q21</v>
      </c>
      <c r="K20" s="3" t="str">
        <f t="shared" si="8"/>
        <v>2Q21</v>
      </c>
      <c r="L20" s="3" t="str">
        <f t="shared" si="8"/>
        <v>1Q21</v>
      </c>
      <c r="M20" s="3" t="str">
        <f t="shared" si="8"/>
        <v>4Q20</v>
      </c>
      <c r="N20" s="3" t="str">
        <f t="shared" si="8"/>
        <v>3Q20</v>
      </c>
      <c r="O20" s="3" t="str">
        <f t="shared" si="8"/>
        <v>2Q20</v>
      </c>
      <c r="P20" s="3" t="str">
        <f t="shared" si="8"/>
        <v>1Q20</v>
      </c>
      <c r="Q20" s="3" t="str">
        <f t="shared" si="8"/>
        <v>4Q19</v>
      </c>
      <c r="R20" s="3" t="str">
        <f t="shared" si="8"/>
        <v>3Q19</v>
      </c>
      <c r="S20" s="3" t="str">
        <f t="shared" si="8"/>
        <v>2Q19</v>
      </c>
      <c r="T20" s="3" t="str">
        <f t="shared" si="8"/>
        <v>1Q19</v>
      </c>
      <c r="U20" s="3" t="str">
        <f t="shared" si="8"/>
        <v>4Q18</v>
      </c>
      <c r="V20" s="3" t="str">
        <f t="shared" si="8"/>
        <v>3Q18</v>
      </c>
      <c r="W20" s="3" t="str">
        <f t="shared" si="8"/>
        <v>2Q18</v>
      </c>
      <c r="X20" s="3" t="str">
        <f t="shared" si="8"/>
        <v>1Q18</v>
      </c>
      <c r="Y20" s="3" t="str">
        <f t="shared" si="8"/>
        <v>4Q17</v>
      </c>
      <c r="Z20" s="3" t="str">
        <f t="shared" si="8"/>
        <v>3Q17</v>
      </c>
      <c r="AA20" s="3" t="str">
        <f t="shared" si="8"/>
        <v>2Q17</v>
      </c>
      <c r="AB20" s="3" t="str">
        <f t="shared" si="8"/>
        <v>1Q17</v>
      </c>
    </row>
    <row r="21" spans="1:29" x14ac:dyDescent="0.2">
      <c r="A21" s="1" t="s">
        <v>253</v>
      </c>
      <c r="B21" s="7">
        <f>'Dados Operacionais'!B21</f>
        <v>0</v>
      </c>
      <c r="C21" s="7">
        <f>'Dados Operacionais'!C21</f>
        <v>0</v>
      </c>
      <c r="D21" s="7">
        <f>'Dados Operacionais'!D21</f>
        <v>189935.62830000001</v>
      </c>
      <c r="E21" s="7">
        <f>'Dados Operacionais'!E21</f>
        <v>0</v>
      </c>
      <c r="F21" s="7">
        <f>'Dados Operacionais'!F21</f>
        <v>0</v>
      </c>
      <c r="G21" s="7">
        <f>'Dados Operacionais'!G21</f>
        <v>0</v>
      </c>
      <c r="H21" s="7">
        <f>'Dados Operacionais'!H21</f>
        <v>241527.37700000001</v>
      </c>
      <c r="I21" s="7">
        <f>'Dados Operacionais'!I21</f>
        <v>0</v>
      </c>
      <c r="J21" s="7">
        <f>'Dados Operacionais'!J21</f>
        <v>258608.72244999997</v>
      </c>
      <c r="K21" s="7">
        <f>'Dados Operacionais'!K21</f>
        <v>0</v>
      </c>
      <c r="L21" s="7">
        <f>'Dados Operacionais'!L21</f>
        <v>0</v>
      </c>
      <c r="M21" s="7">
        <f>'Dados Operacionais'!M21</f>
        <v>0</v>
      </c>
      <c r="N21" s="7">
        <f>'Dados Operacionais'!N21</f>
        <v>169036.4944</v>
      </c>
      <c r="O21" s="7">
        <f>'Dados Operacionais'!O21</f>
        <v>47806.564859999999</v>
      </c>
      <c r="P21" s="7">
        <f>'Dados Operacionais'!P21</f>
        <v>0</v>
      </c>
      <c r="Q21" s="7">
        <f>'Dados Operacionais'!Q21</f>
        <v>0</v>
      </c>
      <c r="R21" s="7">
        <f>'Dados Operacionais'!R21</f>
        <v>0</v>
      </c>
      <c r="S21" s="7">
        <f>'Dados Operacionais'!S21</f>
        <v>0</v>
      </c>
      <c r="T21" s="7">
        <f>'Dados Operacionais'!T21</f>
        <v>0</v>
      </c>
      <c r="U21" s="7">
        <f>'Dados Operacionais'!U21</f>
        <v>0</v>
      </c>
      <c r="V21" s="7">
        <f>'Dados Operacionais'!V21</f>
        <v>0</v>
      </c>
      <c r="W21" s="7">
        <f>'Dados Operacionais'!W21</f>
        <v>0</v>
      </c>
      <c r="X21" s="7">
        <f>'Dados Operacionais'!X21</f>
        <v>0</v>
      </c>
      <c r="Y21" s="7">
        <f>'Dados Operacionais'!Y21</f>
        <v>0</v>
      </c>
      <c r="Z21" s="7">
        <f>'Dados Operacionais'!Z21</f>
        <v>0</v>
      </c>
      <c r="AA21" s="7">
        <f>'Dados Operacionais'!AA21</f>
        <v>0</v>
      </c>
      <c r="AB21" s="7">
        <f>'Dados Operacionais'!AB21</f>
        <v>0</v>
      </c>
    </row>
    <row r="22" spans="1:29" x14ac:dyDescent="0.2">
      <c r="A22" s="1" t="s">
        <v>254</v>
      </c>
      <c r="B22" s="7">
        <f>'Dados Operacionais'!B22</f>
        <v>0</v>
      </c>
      <c r="C22" s="7">
        <f>'Dados Operacionais'!C22</f>
        <v>0</v>
      </c>
      <c r="D22" s="7">
        <f>'Dados Operacionais'!D22</f>
        <v>151948.50263999999</v>
      </c>
      <c r="E22" s="7">
        <f>'Dados Operacionais'!E22</f>
        <v>0</v>
      </c>
      <c r="F22" s="7">
        <f>'Dados Operacionais'!F22</f>
        <v>0</v>
      </c>
      <c r="G22" s="7">
        <f>'Dados Operacionais'!G22</f>
        <v>0</v>
      </c>
      <c r="H22" s="7">
        <f>'Dados Operacionais'!H22</f>
        <v>227035.73438000001</v>
      </c>
      <c r="I22" s="7">
        <f>'Dados Operacionais'!I22</f>
        <v>0</v>
      </c>
      <c r="J22" s="7">
        <f>'Dados Operacionais'!J22</f>
        <v>196796.58926000001</v>
      </c>
      <c r="K22" s="7">
        <f>'Dados Operacionais'!K22</f>
        <v>0</v>
      </c>
      <c r="L22" s="7">
        <f>'Dados Operacionais'!L22</f>
        <v>0</v>
      </c>
      <c r="M22" s="7">
        <f>'Dados Operacionais'!M22</f>
        <v>0</v>
      </c>
      <c r="N22" s="7">
        <f>'Dados Operacionais'!N22</f>
        <v>86174.804845120001</v>
      </c>
      <c r="O22" s="7">
        <f>'Dados Operacionais'!O22</f>
        <v>47806.564859999999</v>
      </c>
      <c r="P22" s="7">
        <f>'Dados Operacionais'!P22</f>
        <v>0</v>
      </c>
      <c r="Q22" s="7">
        <f>'Dados Operacionais'!Q22</f>
        <v>0</v>
      </c>
      <c r="R22" s="7">
        <f>'Dados Operacionais'!R22</f>
        <v>0</v>
      </c>
      <c r="S22" s="7">
        <f>'Dados Operacionais'!S22</f>
        <v>0</v>
      </c>
      <c r="T22" s="7">
        <f>'Dados Operacionais'!T22</f>
        <v>0</v>
      </c>
      <c r="U22" s="7">
        <f>'Dados Operacionais'!U22</f>
        <v>0</v>
      </c>
      <c r="V22" s="7">
        <f>'Dados Operacionais'!V22</f>
        <v>0</v>
      </c>
      <c r="W22" s="7">
        <f>'Dados Operacionais'!W22</f>
        <v>0</v>
      </c>
      <c r="X22" s="7">
        <f>'Dados Operacionais'!X22</f>
        <v>0</v>
      </c>
      <c r="Y22" s="7">
        <f>'Dados Operacionais'!Y22</f>
        <v>0</v>
      </c>
      <c r="Z22" s="7">
        <f>'Dados Operacionais'!Z22</f>
        <v>0</v>
      </c>
      <c r="AA22" s="7">
        <f>'Dados Operacionais'!AA22</f>
        <v>0</v>
      </c>
      <c r="AB22" s="7">
        <f>'Dados Operacionais'!AB22</f>
        <v>0</v>
      </c>
    </row>
    <row r="23" spans="1:29" x14ac:dyDescent="0.2">
      <c r="A23" s="1" t="s">
        <v>255</v>
      </c>
      <c r="B23" s="7">
        <f>'Dados Operacionais'!B23</f>
        <v>0</v>
      </c>
      <c r="C23" s="7">
        <f>'Dados Operacionais'!C23</f>
        <v>0</v>
      </c>
      <c r="D23" s="7">
        <f>'Dados Operacionais'!D23</f>
        <v>120</v>
      </c>
      <c r="E23" s="7">
        <f>'Dados Operacionais'!E23</f>
        <v>0</v>
      </c>
      <c r="F23" s="7">
        <f>'Dados Operacionais'!F23</f>
        <v>0</v>
      </c>
      <c r="G23" s="7">
        <f>'Dados Operacionais'!G23</f>
        <v>0</v>
      </c>
      <c r="H23" s="7">
        <f>'Dados Operacionais'!H23</f>
        <v>352</v>
      </c>
      <c r="I23" s="7">
        <f>'Dados Operacionais'!I23</f>
        <v>0</v>
      </c>
      <c r="J23" s="7">
        <f>'Dados Operacionais'!J23</f>
        <v>372</v>
      </c>
      <c r="K23" s="7">
        <f>'Dados Operacionais'!K23</f>
        <v>0</v>
      </c>
      <c r="L23" s="7">
        <f>'Dados Operacionais'!L23</f>
        <v>0</v>
      </c>
      <c r="M23" s="7">
        <f>'Dados Operacionais'!M23</f>
        <v>0</v>
      </c>
      <c r="N23" s="7">
        <f>'Dados Operacionais'!N23</f>
        <v>400</v>
      </c>
      <c r="O23" s="7">
        <f>'Dados Operacionais'!O23</f>
        <v>258</v>
      </c>
      <c r="P23" s="7">
        <f>'Dados Operacionais'!P23</f>
        <v>0</v>
      </c>
      <c r="Q23" s="7">
        <f>'Dados Operacionais'!Q23</f>
        <v>0</v>
      </c>
      <c r="R23" s="7">
        <f>'Dados Operacionais'!R23</f>
        <v>0</v>
      </c>
      <c r="S23" s="7">
        <f>'Dados Operacionais'!S23</f>
        <v>0</v>
      </c>
      <c r="T23" s="7">
        <f>'Dados Operacionais'!T23</f>
        <v>0</v>
      </c>
      <c r="U23" s="7">
        <f>'Dados Operacionais'!U23</f>
        <v>0</v>
      </c>
      <c r="V23" s="7">
        <f>'Dados Operacionais'!V23</f>
        <v>0</v>
      </c>
      <c r="W23" s="7">
        <f>'Dados Operacionais'!W23</f>
        <v>0</v>
      </c>
      <c r="X23" s="7">
        <f>'Dados Operacionais'!X23</f>
        <v>0</v>
      </c>
      <c r="Y23" s="7">
        <f>'Dados Operacionais'!Y23</f>
        <v>0</v>
      </c>
      <c r="Z23" s="7">
        <f>'Dados Operacionais'!Z23</f>
        <v>0</v>
      </c>
      <c r="AA23" s="7">
        <f>'Dados Operacionais'!AA23</f>
        <v>0</v>
      </c>
      <c r="AB23" s="7">
        <f>'Dados Operacionais'!AB23</f>
        <v>0</v>
      </c>
    </row>
    <row r="24" spans="1:29" x14ac:dyDescent="0.2">
      <c r="A24" s="1" t="s">
        <v>252</v>
      </c>
      <c r="B24" s="7">
        <f>'Dados Operacionais'!B24</f>
        <v>0</v>
      </c>
      <c r="C24" s="7">
        <f>'Dados Operacionais'!C24</f>
        <v>0</v>
      </c>
      <c r="D24" s="7">
        <f>'Dados Operacionais'!D24</f>
        <v>15633.25</v>
      </c>
      <c r="E24" s="7">
        <f>'Dados Operacionais'!E24</f>
        <v>0</v>
      </c>
      <c r="F24" s="7">
        <f>'Dados Operacionais'!F24</f>
        <v>0</v>
      </c>
      <c r="G24" s="7">
        <f>'Dados Operacionais'!G24</f>
        <v>0</v>
      </c>
      <c r="H24" s="7">
        <f>'Dados Operacionais'!H24</f>
        <v>33127.29</v>
      </c>
      <c r="I24" s="7">
        <f>'Dados Operacionais'!I24</f>
        <v>0</v>
      </c>
      <c r="J24" s="7">
        <f>'Dados Operacionais'!J24</f>
        <v>22046</v>
      </c>
      <c r="K24" s="7">
        <f>'Dados Operacionais'!K24</f>
        <v>0</v>
      </c>
      <c r="L24" s="7">
        <f>'Dados Operacionais'!L24</f>
        <v>0</v>
      </c>
      <c r="M24" s="7">
        <f>'Dados Operacionais'!M24</f>
        <v>0</v>
      </c>
      <c r="N24" s="7">
        <f>'Dados Operacionais'!N24</f>
        <v>26166.639999999996</v>
      </c>
      <c r="O24" s="7">
        <f>'Dados Operacionais'!O24</f>
        <v>6675.03</v>
      </c>
      <c r="P24" s="7">
        <f>'Dados Operacionais'!P24</f>
        <v>0</v>
      </c>
      <c r="Q24" s="7">
        <f>'Dados Operacionais'!Q24</f>
        <v>0</v>
      </c>
      <c r="R24" s="7">
        <f>'Dados Operacionais'!R24</f>
        <v>0</v>
      </c>
      <c r="S24" s="7">
        <f>'Dados Operacionais'!S24</f>
        <v>0</v>
      </c>
      <c r="T24" s="7">
        <f>'Dados Operacionais'!T24</f>
        <v>0</v>
      </c>
      <c r="U24" s="7">
        <f>'Dados Operacionais'!U24</f>
        <v>0</v>
      </c>
      <c r="V24" s="7">
        <f>'Dados Operacionais'!V24</f>
        <v>0</v>
      </c>
      <c r="W24" s="7">
        <f>'Dados Operacionais'!W24</f>
        <v>0</v>
      </c>
      <c r="X24" s="7">
        <f>'Dados Operacionais'!X24</f>
        <v>0</v>
      </c>
      <c r="Y24" s="7">
        <f>'Dados Operacionais'!Y24</f>
        <v>0</v>
      </c>
      <c r="Z24" s="7">
        <f>'Dados Operacionais'!Z24</f>
        <v>0</v>
      </c>
      <c r="AA24" s="7">
        <f>'Dados Operacionais'!AA24</f>
        <v>0</v>
      </c>
      <c r="AB24" s="7">
        <f>'Dados Operacionais'!AB24</f>
        <v>0</v>
      </c>
      <c r="AC24" s="7"/>
    </row>
    <row r="25" spans="1:29" x14ac:dyDescent="0.2">
      <c r="B25" s="2"/>
      <c r="C25" s="2"/>
      <c r="D25" s="2"/>
      <c r="E25" s="2"/>
      <c r="F25" s="2"/>
      <c r="G25" s="2"/>
    </row>
    <row r="26" spans="1:29" x14ac:dyDescent="0.2">
      <c r="A26" s="5" t="s">
        <v>261</v>
      </c>
      <c r="B26" s="3" t="str">
        <f t="shared" ref="B26" si="9">B20</f>
        <v>3Q23</v>
      </c>
      <c r="C26" s="3" t="str">
        <f t="shared" ref="C26:D26" si="10">C20</f>
        <v>2Q23</v>
      </c>
      <c r="D26" s="3" t="str">
        <f t="shared" si="10"/>
        <v>1Q23</v>
      </c>
      <c r="E26" s="3" t="str">
        <f t="shared" ref="E26:F26" si="11">E20</f>
        <v>4Q22</v>
      </c>
      <c r="F26" s="3" t="str">
        <f t="shared" si="11"/>
        <v>3Q22</v>
      </c>
      <c r="G26" s="3" t="str">
        <f t="shared" ref="G26:H26" si="12">G20</f>
        <v>2Q22</v>
      </c>
      <c r="H26" s="3" t="str">
        <f t="shared" si="12"/>
        <v>1Q22</v>
      </c>
      <c r="I26" s="3" t="str">
        <f t="shared" ref="I26:N26" si="13">I20</f>
        <v>4Q21</v>
      </c>
      <c r="J26" s="3" t="str">
        <f t="shared" si="13"/>
        <v>3Q21</v>
      </c>
      <c r="K26" s="3" t="str">
        <f t="shared" si="13"/>
        <v>2Q21</v>
      </c>
      <c r="L26" s="3" t="str">
        <f t="shared" si="13"/>
        <v>1Q21</v>
      </c>
      <c r="M26" s="3" t="str">
        <f t="shared" si="13"/>
        <v>4Q20</v>
      </c>
      <c r="N26" s="3" t="str">
        <f t="shared" si="13"/>
        <v>3Q20</v>
      </c>
      <c r="O26" s="3" t="str">
        <f t="shared" ref="O26:AB26" si="14">O20</f>
        <v>2Q20</v>
      </c>
      <c r="P26" s="3" t="str">
        <f t="shared" si="14"/>
        <v>1Q20</v>
      </c>
      <c r="Q26" s="3" t="str">
        <f t="shared" si="14"/>
        <v>4Q19</v>
      </c>
      <c r="R26" s="3" t="str">
        <f t="shared" si="14"/>
        <v>3Q19</v>
      </c>
      <c r="S26" s="3" t="str">
        <f t="shared" si="14"/>
        <v>2Q19</v>
      </c>
      <c r="T26" s="3" t="str">
        <f t="shared" si="14"/>
        <v>1Q19</v>
      </c>
      <c r="U26" s="3" t="str">
        <f t="shared" si="14"/>
        <v>4Q18</v>
      </c>
      <c r="V26" s="3" t="str">
        <f t="shared" si="14"/>
        <v>3Q18</v>
      </c>
      <c r="W26" s="3" t="str">
        <f t="shared" si="14"/>
        <v>2Q18</v>
      </c>
      <c r="X26" s="3" t="str">
        <f t="shared" si="14"/>
        <v>1Q18</v>
      </c>
      <c r="Y26" s="3" t="str">
        <f t="shared" si="14"/>
        <v>4Q17</v>
      </c>
      <c r="Z26" s="3" t="str">
        <f t="shared" si="14"/>
        <v>3Q17</v>
      </c>
      <c r="AA26" s="3" t="str">
        <f t="shared" si="14"/>
        <v>2Q17</v>
      </c>
      <c r="AB26" s="3" t="str">
        <f t="shared" si="14"/>
        <v>1Q17</v>
      </c>
    </row>
    <row r="27" spans="1:29" x14ac:dyDescent="0.2">
      <c r="A27" s="1" t="s">
        <v>259</v>
      </c>
      <c r="B27" s="7">
        <f>'Dados Operacionais'!B27</f>
        <v>4230.3030189900001</v>
      </c>
      <c r="C27" s="7">
        <f>'Dados Operacionais'!C27</f>
        <v>3105.1487359900002</v>
      </c>
      <c r="D27" s="7">
        <f>'Dados Operacionais'!D27</f>
        <v>3995</v>
      </c>
      <c r="E27" s="7">
        <f>'Dados Operacionais'!E27</f>
        <v>4377.0002483999997</v>
      </c>
      <c r="F27" s="7">
        <f>'Dados Operacionais'!F27</f>
        <v>3288</v>
      </c>
      <c r="G27" s="7">
        <f>'Dados Operacionais'!G27</f>
        <v>3014</v>
      </c>
      <c r="H27" s="7">
        <f>'Dados Operacionais'!H27</f>
        <v>3642</v>
      </c>
      <c r="I27" s="7">
        <f>'Dados Operacionais'!I27</f>
        <v>4143</v>
      </c>
      <c r="J27" s="7">
        <f>'Dados Operacionais'!J27</f>
        <v>4351</v>
      </c>
      <c r="K27" s="7">
        <f>'Dados Operacionais'!K27</f>
        <v>3631</v>
      </c>
      <c r="L27" s="7">
        <f>'Dados Operacionais'!L27</f>
        <v>3673</v>
      </c>
      <c r="M27" s="7">
        <f>'Dados Operacionais'!M27</f>
        <v>3313</v>
      </c>
      <c r="N27" s="7">
        <f>'Dados Operacionais'!N27</f>
        <v>2693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9" x14ac:dyDescent="0.2">
      <c r="A28" s="1" t="s">
        <v>257</v>
      </c>
      <c r="B28" s="7">
        <f>'Dados Operacionais'!B28</f>
        <v>3059.3191585455002</v>
      </c>
      <c r="C28" s="7">
        <f>'Dados Operacionais'!C28</f>
        <v>2350.0786755455001</v>
      </c>
      <c r="D28" s="7">
        <f>'Dados Operacionais'!D28</f>
        <v>3239.3025734470998</v>
      </c>
      <c r="E28" s="7">
        <f>'Dados Operacionais'!E28</f>
        <v>3387.5241292255</v>
      </c>
      <c r="F28" s="7">
        <f>'Dados Operacionais'!F28</f>
        <v>3019.9789999999998</v>
      </c>
      <c r="G28" s="7">
        <f>'Dados Operacionais'!G28</f>
        <v>2780</v>
      </c>
      <c r="H28" s="7">
        <f>'Dados Operacionais'!H28</f>
        <v>3407</v>
      </c>
      <c r="I28" s="7">
        <f>'Dados Operacionais'!I28</f>
        <v>3820</v>
      </c>
      <c r="J28" s="7">
        <f>'Dados Operacionais'!J28</f>
        <v>3986</v>
      </c>
      <c r="K28" s="7">
        <f>'Dados Operacionais'!K28</f>
        <v>3271</v>
      </c>
      <c r="L28" s="7">
        <f>'Dados Operacionais'!L28</f>
        <v>3396</v>
      </c>
      <c r="M28" s="7">
        <f>'Dados Operacionais'!M28</f>
        <v>3083</v>
      </c>
      <c r="N28" s="7">
        <f>'Dados Operacionais'!N28</f>
        <v>2370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9" x14ac:dyDescent="0.2">
      <c r="A29" s="1" t="s">
        <v>258</v>
      </c>
      <c r="B29" s="21">
        <f>'Dados Operacionais'!B29</f>
        <v>0.72319149356726775</v>
      </c>
      <c r="C29" s="21">
        <f>'Dados Operacionais'!C29</f>
        <v>0.75683288478490074</v>
      </c>
      <c r="D29" s="21">
        <f>'Dados Operacionais'!D29</f>
        <v>0.81083919235221524</v>
      </c>
      <c r="E29" s="21">
        <f>'Dados Operacionais'!E29</f>
        <v>0.77393738564757908</v>
      </c>
      <c r="F29" s="21">
        <f>'Dados Operacionais'!F29</f>
        <v>0.91848509732360095</v>
      </c>
      <c r="G29" s="21">
        <f>'Dados Operacionais'!G29</f>
        <v>0.92236230922362306</v>
      </c>
      <c r="H29" s="21">
        <f>'Dados Operacionais'!H29</f>
        <v>0.93547501372872044</v>
      </c>
      <c r="I29" s="21">
        <f>'Dados Operacionais'!I29</f>
        <v>0.92203717113202988</v>
      </c>
      <c r="J29" s="21">
        <f>'Dados Operacionais'!J29</f>
        <v>0.91611123879567913</v>
      </c>
      <c r="K29" s="21">
        <f>'Dados Operacionais'!K29</f>
        <v>0.90085375929496003</v>
      </c>
      <c r="L29" s="21">
        <f>'Dados Operacionais'!L29</f>
        <v>0.92458480805880749</v>
      </c>
      <c r="M29" s="21">
        <f>'Dados Operacionais'!M29</f>
        <v>0.93057651675218833</v>
      </c>
      <c r="N29" s="21">
        <f>'Dados Operacionais'!N29</f>
        <v>0.8800594132937245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1" spans="1:29" x14ac:dyDescent="0.2">
      <c r="A31" s="5" t="s">
        <v>366</v>
      </c>
      <c r="B31" s="3" t="str">
        <f>B26</f>
        <v>3Q23</v>
      </c>
      <c r="C31" s="3" t="str">
        <f>C26</f>
        <v>2Q23</v>
      </c>
      <c r="D31" s="3" t="str">
        <f>D26</f>
        <v>1Q23</v>
      </c>
      <c r="E31" s="3" t="str">
        <f>E26</f>
        <v>4Q22</v>
      </c>
      <c r="F31" s="3" t="str">
        <f>F26</f>
        <v>3Q22</v>
      </c>
      <c r="G31" s="3" t="str">
        <f t="shared" ref="G31:AB31" si="15">G26</f>
        <v>2Q22</v>
      </c>
      <c r="H31" s="3" t="str">
        <f t="shared" si="15"/>
        <v>1Q22</v>
      </c>
      <c r="I31" s="3" t="str">
        <f t="shared" si="15"/>
        <v>4Q21</v>
      </c>
      <c r="J31" s="3" t="str">
        <f t="shared" si="15"/>
        <v>3Q21</v>
      </c>
      <c r="K31" s="3" t="str">
        <f t="shared" si="15"/>
        <v>2Q21</v>
      </c>
      <c r="L31" s="3" t="str">
        <f t="shared" si="15"/>
        <v>1Q21</v>
      </c>
      <c r="M31" s="3" t="str">
        <f t="shared" si="15"/>
        <v>4Q20</v>
      </c>
      <c r="N31" s="3" t="str">
        <f t="shared" si="15"/>
        <v>3Q20</v>
      </c>
      <c r="O31" s="3" t="str">
        <f t="shared" si="15"/>
        <v>2Q20</v>
      </c>
      <c r="P31" s="3" t="str">
        <f t="shared" si="15"/>
        <v>1Q20</v>
      </c>
      <c r="Q31" s="3" t="str">
        <f t="shared" si="15"/>
        <v>4Q19</v>
      </c>
      <c r="R31" s="3" t="str">
        <f t="shared" si="15"/>
        <v>3Q19</v>
      </c>
      <c r="S31" s="3" t="str">
        <f t="shared" si="15"/>
        <v>2Q19</v>
      </c>
      <c r="T31" s="3" t="str">
        <f t="shared" si="15"/>
        <v>1Q19</v>
      </c>
      <c r="U31" s="3" t="str">
        <f t="shared" si="15"/>
        <v>4Q18</v>
      </c>
      <c r="V31" s="3" t="str">
        <f t="shared" si="15"/>
        <v>3Q18</v>
      </c>
      <c r="W31" s="3" t="str">
        <f t="shared" si="15"/>
        <v>2Q18</v>
      </c>
      <c r="X31" s="3" t="str">
        <f t="shared" si="15"/>
        <v>1Q18</v>
      </c>
      <c r="Y31" s="3" t="str">
        <f t="shared" si="15"/>
        <v>4Q17</v>
      </c>
      <c r="Z31" s="3" t="str">
        <f t="shared" si="15"/>
        <v>3Q17</v>
      </c>
      <c r="AA31" s="3" t="str">
        <f t="shared" si="15"/>
        <v>2Q17</v>
      </c>
      <c r="AB31" s="3" t="str">
        <f t="shared" si="15"/>
        <v>1Q17</v>
      </c>
    </row>
    <row r="32" spans="1:29" x14ac:dyDescent="0.2">
      <c r="A32" s="1" t="s">
        <v>346</v>
      </c>
      <c r="B32" s="32">
        <f>'Dados Operacionais'!B32</f>
        <v>1625159.3444876119</v>
      </c>
      <c r="C32" s="32">
        <f>'Dados Operacionais'!C32</f>
        <v>1877268.3761783387</v>
      </c>
      <c r="D32" s="32">
        <f>'Dados Operacionais'!D32</f>
        <v>1526407.2212265469</v>
      </c>
      <c r="E32" s="32">
        <f>'Dados Operacionais'!E32</f>
        <v>1325692.7590222969</v>
      </c>
      <c r="F32" s="32">
        <f>'Dados Operacionais'!F32</f>
        <v>893314.75572869729</v>
      </c>
      <c r="G32" s="32">
        <f>'Dados Operacionais'!G32</f>
        <v>816838.33136734343</v>
      </c>
      <c r="H32" s="32">
        <f>'Dados Operacionais'!H32</f>
        <v>626500</v>
      </c>
      <c r="I32" s="32">
        <f>'Dados Operacionais'!I32</f>
        <v>567114</v>
      </c>
      <c r="J32" s="32">
        <f>'Dados Operacionais'!J32</f>
        <v>504235</v>
      </c>
      <c r="K32" s="32">
        <f>'Dados Operacionais'!K32</f>
        <v>366681</v>
      </c>
      <c r="L32" s="32">
        <f>'Dados Operacionais'!L32</f>
        <v>161171</v>
      </c>
      <c r="M32" s="32">
        <f>'Dados Operacionais'!M32</f>
        <v>241622</v>
      </c>
      <c r="N32" s="32">
        <f>'Dados Operacionais'!N32</f>
        <v>0</v>
      </c>
      <c r="O32" s="32">
        <f>'Dados Operacionais'!O32</f>
        <v>0</v>
      </c>
      <c r="P32" s="32">
        <f>'Dados Operacionais'!P32</f>
        <v>0</v>
      </c>
      <c r="Q32" s="32">
        <f>'Dados Operacionais'!Q32</f>
        <v>0</v>
      </c>
      <c r="R32" s="32">
        <f>'Dados Operacionais'!R32</f>
        <v>0</v>
      </c>
      <c r="S32" s="32">
        <f>'Dados Operacionais'!S32</f>
        <v>0</v>
      </c>
      <c r="T32" s="32">
        <f>'Dados Operacionais'!T32</f>
        <v>0</v>
      </c>
      <c r="U32" s="32">
        <f>'Dados Operacionais'!U32</f>
        <v>0</v>
      </c>
      <c r="V32" s="32">
        <f>'Dados Operacionais'!V32</f>
        <v>0</v>
      </c>
      <c r="W32" s="32">
        <f>'Dados Operacionais'!W32</f>
        <v>0</v>
      </c>
      <c r="X32" s="32">
        <f>'Dados Operacionais'!X32</f>
        <v>0</v>
      </c>
      <c r="Y32" s="32">
        <f>'Dados Operacionais'!Y32</f>
        <v>0</v>
      </c>
      <c r="Z32" s="32">
        <f>'Dados Operacionais'!Z32</f>
        <v>0</v>
      </c>
      <c r="AA32" s="32">
        <f>'Dados Operacionais'!AA32</f>
        <v>0</v>
      </c>
      <c r="AB32" s="32">
        <f>'Dados Operacionais'!AB32</f>
        <v>0</v>
      </c>
    </row>
    <row r="33" spans="1:28" x14ac:dyDescent="0.2">
      <c r="A33" s="1" t="s">
        <v>348</v>
      </c>
      <c r="B33" s="32">
        <f>'Dados Operacionais'!B33</f>
        <v>1364488.688177892</v>
      </c>
      <c r="C33" s="32">
        <f>'Dados Operacionais'!C33</f>
        <v>1566587.0005902569</v>
      </c>
      <c r="D33" s="32">
        <f>'Dados Operacionais'!D33</f>
        <v>1156488.2495778662</v>
      </c>
      <c r="E33" s="32">
        <f>'Dados Operacionais'!E33</f>
        <v>1112620.1887113692</v>
      </c>
      <c r="F33" s="32">
        <f>'Dados Operacionais'!F33</f>
        <v>808349.75905892323</v>
      </c>
      <c r="G33" s="32">
        <f>'Dados Operacionais'!G33</f>
        <v>759071.08763181488</v>
      </c>
      <c r="H33" s="32">
        <f>'Dados Operacionais'!H33</f>
        <v>542191</v>
      </c>
      <c r="I33" s="32">
        <f>'Dados Operacionais'!I33</f>
        <v>524805</v>
      </c>
      <c r="J33" s="32">
        <f>'Dados Operacionais'!J33</f>
        <v>481600</v>
      </c>
      <c r="K33" s="32">
        <f>'Dados Operacionais'!K33</f>
        <v>340947</v>
      </c>
      <c r="L33" s="32">
        <f>'Dados Operacionais'!L33</f>
        <v>119117</v>
      </c>
      <c r="M33" s="32">
        <f>'Dados Operacionais'!M33</f>
        <v>180230</v>
      </c>
      <c r="N33" s="32">
        <f>'Dados Operacionais'!N33</f>
        <v>0</v>
      </c>
      <c r="O33" s="32">
        <f>'Dados Operacionais'!O33</f>
        <v>0</v>
      </c>
      <c r="P33" s="32">
        <f>'Dados Operacionais'!P33</f>
        <v>0</v>
      </c>
      <c r="Q33" s="32">
        <f>'Dados Operacionais'!Q33</f>
        <v>0</v>
      </c>
      <c r="R33" s="32">
        <f>'Dados Operacionais'!R33</f>
        <v>0</v>
      </c>
      <c r="S33" s="32">
        <f>'Dados Operacionais'!S33</f>
        <v>0</v>
      </c>
      <c r="T33" s="32">
        <f>'Dados Operacionais'!T33</f>
        <v>0</v>
      </c>
      <c r="U33" s="32">
        <f>'Dados Operacionais'!U33</f>
        <v>0</v>
      </c>
      <c r="V33" s="32">
        <f>'Dados Operacionais'!V33</f>
        <v>0</v>
      </c>
      <c r="W33" s="32">
        <f>'Dados Operacionais'!W33</f>
        <v>0</v>
      </c>
      <c r="X33" s="32">
        <f>'Dados Operacionais'!X33</f>
        <v>0</v>
      </c>
      <c r="Y33" s="32">
        <f>'Dados Operacionais'!Y33</f>
        <v>0</v>
      </c>
      <c r="Z33" s="32">
        <f>'Dados Operacionais'!Z33</f>
        <v>0</v>
      </c>
      <c r="AA33" s="32">
        <f>'Dados Operacionais'!AA33</f>
        <v>0</v>
      </c>
      <c r="AB33" s="32">
        <f>'Dados Operacionais'!AB33</f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6438-0DC0-425E-B739-D0B217C26548}">
  <sheetPr>
    <tabColor rgb="FF182842"/>
  </sheetPr>
  <dimension ref="A2:AI17"/>
  <sheetViews>
    <sheetView showGridLines="0" zoomScaleNormal="100" workbookViewId="0"/>
  </sheetViews>
  <sheetFormatPr defaultColWidth="0" defaultRowHeight="12" x14ac:dyDescent="0.2"/>
  <cols>
    <col min="1" max="1" width="33" style="1" bestFit="1" customWidth="1"/>
    <col min="2" max="7" width="8.85546875" style="1" customWidth="1"/>
    <col min="8" max="20" width="8.85546875" style="2" customWidth="1"/>
    <col min="21" max="21" width="8.85546875" style="1" hidden="1" customWidth="1"/>
    <col min="22" max="35" width="0" style="1" hidden="1" customWidth="1"/>
    <col min="36" max="16384" width="8.85546875" style="1" hidden="1"/>
  </cols>
  <sheetData>
    <row r="2" spans="1:20" ht="15" x14ac:dyDescent="0.25">
      <c r="A2"/>
      <c r="B2"/>
      <c r="C2"/>
      <c r="D2"/>
      <c r="E2"/>
      <c r="F2"/>
      <c r="G2"/>
    </row>
    <row r="5" spans="1:20" x14ac:dyDescent="0.2">
      <c r="A5" s="5" t="s">
        <v>271</v>
      </c>
      <c r="B5" s="3" t="s">
        <v>381</v>
      </c>
      <c r="C5" s="3" t="s">
        <v>371</v>
      </c>
      <c r="D5" s="3" t="s">
        <v>369</v>
      </c>
      <c r="E5" s="3" t="s">
        <v>361</v>
      </c>
      <c r="F5" s="3" t="s">
        <v>332</v>
      </c>
      <c r="G5" s="3" t="s">
        <v>329</v>
      </c>
      <c r="H5" s="3" t="s">
        <v>316</v>
      </c>
      <c r="I5" s="3" t="s">
        <v>307</v>
      </c>
      <c r="J5" s="3" t="s">
        <v>302</v>
      </c>
      <c r="K5" s="3" t="s">
        <v>292</v>
      </c>
      <c r="L5" s="3" t="s">
        <v>287</v>
      </c>
      <c r="M5" s="3" t="s">
        <v>278</v>
      </c>
      <c r="N5" s="3" t="str">
        <f>'Operating Data'!N5</f>
        <v>3Q20</v>
      </c>
      <c r="O5" s="3" t="str">
        <f>'Operating Data'!O5</f>
        <v>2Q20</v>
      </c>
      <c r="P5" s="3" t="str">
        <f>'Operating Data'!P5</f>
        <v>1Q20</v>
      </c>
      <c r="Q5" s="3" t="str">
        <f>'Operating Data'!Q5</f>
        <v>4Q19</v>
      </c>
      <c r="R5" s="3" t="str">
        <f>'Operating Data'!R5</f>
        <v>3Q19</v>
      </c>
      <c r="S5" s="3" t="str">
        <f>'Operating Data'!S5</f>
        <v>2Q19</v>
      </c>
      <c r="T5" s="3" t="str">
        <f>'Operating Data'!T5</f>
        <v>1Q19</v>
      </c>
    </row>
    <row r="6" spans="1:20" x14ac:dyDescent="0.2">
      <c r="A6" s="6" t="s">
        <v>272</v>
      </c>
      <c r="B6" s="7">
        <f>Dívida!B6</f>
        <v>35072</v>
      </c>
      <c r="C6" s="7">
        <f>Dívida!C6</f>
        <v>884</v>
      </c>
      <c r="D6" s="7">
        <f>Dívida!D6</f>
        <v>653</v>
      </c>
      <c r="E6" s="7">
        <f>Dívida!E6</f>
        <v>325</v>
      </c>
      <c r="F6" s="7">
        <f>Dívida!F6</f>
        <v>12.159000000000001</v>
      </c>
      <c r="G6" s="7">
        <f>Dívida!G6</f>
        <v>4.694</v>
      </c>
      <c r="H6" s="7">
        <f>Dívida!H6</f>
        <v>5.1999999999999998E-2</v>
      </c>
      <c r="I6" s="7">
        <f>Dívida!I6</f>
        <v>1</v>
      </c>
      <c r="J6" s="7">
        <f>Dívida!J6</f>
        <v>628</v>
      </c>
      <c r="K6" s="7">
        <f>Dívida!K6</f>
        <v>267</v>
      </c>
      <c r="L6" s="7">
        <f>Dívida!L6</f>
        <v>543</v>
      </c>
      <c r="M6" s="7">
        <f>Dívida!M6</f>
        <v>3004</v>
      </c>
      <c r="N6" s="7">
        <f>Dívida!N6</f>
        <v>620.73636999999997</v>
      </c>
      <c r="O6" s="7">
        <f>Dívida!O6</f>
        <v>137.62628999999995</v>
      </c>
      <c r="P6" s="7">
        <f>Dívida!P6</f>
        <v>12409.1574</v>
      </c>
      <c r="Q6" s="7">
        <f>Dívida!Q6</f>
        <v>13363.714749999999</v>
      </c>
      <c r="R6" s="7">
        <f>Dívida!R6</f>
        <v>25361.415619999996</v>
      </c>
      <c r="S6" s="7">
        <f>Dívida!S6</f>
        <v>328.20314000000008</v>
      </c>
      <c r="T6" s="7">
        <f>Dívida!T6</f>
        <v>5245.5618581520366</v>
      </c>
    </row>
    <row r="7" spans="1:20" x14ac:dyDescent="0.2">
      <c r="A7" s="6" t="s">
        <v>273</v>
      </c>
      <c r="B7" s="7">
        <f>Dívida!B7</f>
        <v>147001</v>
      </c>
      <c r="C7" s="7">
        <f>Dívida!C7</f>
        <v>63357</v>
      </c>
      <c r="D7" s="7">
        <f>Dívida!D7</f>
        <v>42142</v>
      </c>
      <c r="E7" s="7">
        <f>Dívida!E7</f>
        <v>42243</v>
      </c>
      <c r="F7" s="7">
        <f>Dívida!F7</f>
        <v>1524.9580000000001</v>
      </c>
      <c r="G7" s="7">
        <f>Dívida!G7</f>
        <v>515.03099999999995</v>
      </c>
      <c r="H7" s="7">
        <f>Dívida!H7</f>
        <v>508</v>
      </c>
      <c r="I7" s="7">
        <f>Dívida!I7</f>
        <v>413</v>
      </c>
      <c r="J7" s="7">
        <f>Dívida!J7</f>
        <v>50204</v>
      </c>
      <c r="K7" s="7">
        <f>Dívida!K7</f>
        <v>50204</v>
      </c>
      <c r="L7" s="7">
        <f>Dívida!L7</f>
        <v>50204</v>
      </c>
      <c r="M7" s="7">
        <f>Dívida!M7</f>
        <v>54200</v>
      </c>
      <c r="N7" s="7">
        <f>Dívida!N7</f>
        <v>50200</v>
      </c>
      <c r="O7" s="7">
        <f>Dívida!O7</f>
        <v>50000</v>
      </c>
      <c r="P7" s="7">
        <f>Dívida!P7</f>
        <v>51386.985789999999</v>
      </c>
      <c r="Q7" s="7">
        <f>Dívida!Q7</f>
        <v>51108.486109999998</v>
      </c>
      <c r="R7" s="7">
        <f>Dívida!R7</f>
        <v>1242.49127</v>
      </c>
      <c r="S7" s="7">
        <f>Dívida!S7</f>
        <v>30761.843849999997</v>
      </c>
      <c r="T7" s="7">
        <f>Dívida!T7</f>
        <v>18361.165392260471</v>
      </c>
    </row>
    <row r="8" spans="1:20" x14ac:dyDescent="0.2">
      <c r="A8" s="27" t="s">
        <v>274</v>
      </c>
      <c r="B8" s="28">
        <f t="shared" ref="B8" si="0">+B6+B7</f>
        <v>182073</v>
      </c>
      <c r="C8" s="28">
        <f t="shared" ref="C8:D8" si="1">+C6+C7</f>
        <v>64241</v>
      </c>
      <c r="D8" s="28">
        <f t="shared" si="1"/>
        <v>42795</v>
      </c>
      <c r="E8" s="28">
        <f t="shared" ref="E8:F8" si="2">+E6+E7</f>
        <v>42568</v>
      </c>
      <c r="F8" s="28">
        <f t="shared" si="2"/>
        <v>1537.1170000000002</v>
      </c>
      <c r="G8" s="28">
        <f t="shared" ref="G8:H8" si="3">+G6+G7</f>
        <v>519.72499999999991</v>
      </c>
      <c r="H8" s="28">
        <f t="shared" si="3"/>
        <v>508.05200000000002</v>
      </c>
      <c r="I8" s="28">
        <f t="shared" ref="I8:N8" si="4">+I6+I7</f>
        <v>414</v>
      </c>
      <c r="J8" s="28">
        <f t="shared" si="4"/>
        <v>50832</v>
      </c>
      <c r="K8" s="28">
        <f t="shared" si="4"/>
        <v>50471</v>
      </c>
      <c r="L8" s="28">
        <f t="shared" si="4"/>
        <v>50747</v>
      </c>
      <c r="M8" s="28">
        <f t="shared" si="4"/>
        <v>57204</v>
      </c>
      <c r="N8" s="28">
        <f t="shared" si="4"/>
        <v>50820.736369999999</v>
      </c>
      <c r="O8" s="28">
        <f t="shared" ref="O8:T8" si="5">+O6+O7</f>
        <v>50137.62629</v>
      </c>
      <c r="P8" s="28">
        <f t="shared" si="5"/>
        <v>63796.143190000003</v>
      </c>
      <c r="Q8" s="28">
        <f t="shared" si="5"/>
        <v>64472.200859999997</v>
      </c>
      <c r="R8" s="28">
        <f t="shared" si="5"/>
        <v>26603.906889999995</v>
      </c>
      <c r="S8" s="28">
        <f t="shared" si="5"/>
        <v>31090.046989999999</v>
      </c>
      <c r="T8" s="28">
        <f t="shared" si="5"/>
        <v>23606.727250412507</v>
      </c>
    </row>
    <row r="9" spans="1:20" ht="6" customHeigh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">
      <c r="A10" s="1" t="s">
        <v>168</v>
      </c>
      <c r="B10" s="7">
        <f>Dívida!B10</f>
        <v>497637</v>
      </c>
      <c r="C10" s="7">
        <f>Dívida!C10</f>
        <v>544426</v>
      </c>
      <c r="D10" s="7">
        <f>Dívida!D10</f>
        <v>511607</v>
      </c>
      <c r="E10" s="7">
        <f>Dívida!E10</f>
        <v>536084</v>
      </c>
      <c r="F10" s="7">
        <f>Dívida!F10</f>
        <v>596858.54700000002</v>
      </c>
      <c r="G10" s="7">
        <f>Dívida!G10</f>
        <v>629313.27099999995</v>
      </c>
      <c r="H10" s="7">
        <f>Dívida!H10</f>
        <v>626323</v>
      </c>
      <c r="I10" s="7">
        <f>Dívida!I10</f>
        <v>571432</v>
      </c>
      <c r="J10" s="7">
        <f>Dívida!J10</f>
        <v>753618</v>
      </c>
      <c r="K10" s="7">
        <f>Dívida!K10</f>
        <v>906642</v>
      </c>
      <c r="L10" s="7">
        <f>Dívida!L10</f>
        <v>934782</v>
      </c>
      <c r="M10" s="7">
        <f>Dívida!M10</f>
        <v>1022435</v>
      </c>
      <c r="N10" s="7">
        <f>Dívida!N10</f>
        <v>1012152.2677099999</v>
      </c>
      <c r="O10" s="7">
        <f>Dívida!O10</f>
        <v>37645</v>
      </c>
      <c r="P10" s="7">
        <f>Dívida!P10</f>
        <v>48721.647140000008</v>
      </c>
      <c r="Q10" s="7">
        <f>Dívida!Q10</f>
        <v>76499.729099999997</v>
      </c>
      <c r="R10" s="7">
        <f>Dívida!R10</f>
        <v>51723.578980000006</v>
      </c>
      <c r="S10" s="7">
        <f>Dívida!S10</f>
        <v>42875.659050000002</v>
      </c>
      <c r="T10" s="7">
        <f>Dívida!T10</f>
        <v>34514.596260000006</v>
      </c>
    </row>
    <row r="11" spans="1:20" ht="6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12.75" thickBot="1" x14ac:dyDescent="0.25">
      <c r="A12" s="29" t="s">
        <v>275</v>
      </c>
      <c r="B12" s="15">
        <f t="shared" ref="B12" si="6">+B8-B10</f>
        <v>-315564</v>
      </c>
      <c r="C12" s="15">
        <f t="shared" ref="C12:D12" si="7">+C8-C10</f>
        <v>-480185</v>
      </c>
      <c r="D12" s="15">
        <f t="shared" si="7"/>
        <v>-468812</v>
      </c>
      <c r="E12" s="15">
        <f t="shared" ref="E12:F12" si="8">+E8-E10</f>
        <v>-493516</v>
      </c>
      <c r="F12" s="15">
        <f t="shared" si="8"/>
        <v>-595321.43000000005</v>
      </c>
      <c r="G12" s="15">
        <f t="shared" ref="G12:H12" si="9">+G8-G10</f>
        <v>-628793.54599999997</v>
      </c>
      <c r="H12" s="15">
        <f t="shared" si="9"/>
        <v>-625814.94799999997</v>
      </c>
      <c r="I12" s="15">
        <f t="shared" ref="I12:N12" si="10">+I8-I10</f>
        <v>-571018</v>
      </c>
      <c r="J12" s="15">
        <f t="shared" si="10"/>
        <v>-702786</v>
      </c>
      <c r="K12" s="15">
        <f t="shared" si="10"/>
        <v>-856171</v>
      </c>
      <c r="L12" s="15">
        <f t="shared" si="10"/>
        <v>-884035</v>
      </c>
      <c r="M12" s="15">
        <f t="shared" si="10"/>
        <v>-965231</v>
      </c>
      <c r="N12" s="15">
        <f t="shared" si="10"/>
        <v>-961331.53133999999</v>
      </c>
      <c r="O12" s="15">
        <f t="shared" ref="O12:T12" si="11">+O8-O10</f>
        <v>12492.62629</v>
      </c>
      <c r="P12" s="15">
        <f t="shared" si="11"/>
        <v>15074.496049999994</v>
      </c>
      <c r="Q12" s="15">
        <f t="shared" si="11"/>
        <v>-12027.52824</v>
      </c>
      <c r="R12" s="15">
        <f t="shared" si="11"/>
        <v>-25119.672090000011</v>
      </c>
      <c r="S12" s="15">
        <f t="shared" si="11"/>
        <v>-11785.612060000003</v>
      </c>
      <c r="T12" s="15">
        <f t="shared" si="11"/>
        <v>-10907.869009587499</v>
      </c>
    </row>
    <row r="13" spans="1:20" ht="12.75" thickTop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">
      <c r="A14" s="1" t="s">
        <v>208</v>
      </c>
      <c r="B14" s="7">
        <f>Dívida!B14</f>
        <v>1331375</v>
      </c>
      <c r="C14" s="7">
        <f>Dívida!C14</f>
        <v>1311678</v>
      </c>
      <c r="D14" s="7">
        <f>Dívida!D14</f>
        <v>1248457</v>
      </c>
      <c r="E14" s="7">
        <f>Dívida!E14</f>
        <v>1256057</v>
      </c>
      <c r="F14" s="7">
        <f>Dívida!F14</f>
        <v>1227487.1850000001</v>
      </c>
      <c r="G14" s="7">
        <f>Dívida!G14</f>
        <v>1251553.571</v>
      </c>
      <c r="H14" s="7">
        <f>Dívida!H14</f>
        <v>1266641</v>
      </c>
      <c r="I14" s="7">
        <f>Dívida!I14</f>
        <v>1249962</v>
      </c>
      <c r="J14" s="7">
        <f>Dívida!J14</f>
        <v>1442212</v>
      </c>
      <c r="K14" s="7">
        <f>Dívida!K14</f>
        <v>1414463</v>
      </c>
      <c r="L14" s="7">
        <f>Dívida!L14</f>
        <v>1317069</v>
      </c>
      <c r="M14" s="7">
        <f>Dívida!M14</f>
        <v>1300340</v>
      </c>
      <c r="N14" s="7">
        <f>Dívida!N14</f>
        <v>1278516.4212520986</v>
      </c>
      <c r="O14" s="7">
        <f>Dívida!O14</f>
        <v>266255.83886999998</v>
      </c>
      <c r="P14" s="7">
        <f>Dívida!P14</f>
        <v>250297.25848728081</v>
      </c>
      <c r="Q14" s="7">
        <f>Dívida!Q14</f>
        <v>240887.96035914097</v>
      </c>
      <c r="R14" s="7">
        <f>Dívida!R14</f>
        <v>215324.59080471715</v>
      </c>
      <c r="S14" s="7">
        <f>Dívida!S14</f>
        <v>199945.08616011703</v>
      </c>
      <c r="T14" s="7">
        <f>Dívida!T14</f>
        <v>168905.78731515375</v>
      </c>
    </row>
    <row r="15" spans="1:20" x14ac:dyDescent="0.2">
      <c r="B15" s="2"/>
      <c r="C15" s="2"/>
      <c r="D15" s="2"/>
      <c r="E15" s="2"/>
      <c r="F15" s="2"/>
      <c r="G15" s="2"/>
    </row>
    <row r="16" spans="1:20" ht="12.75" thickBot="1" x14ac:dyDescent="0.25">
      <c r="A16" s="29" t="s">
        <v>276</v>
      </c>
      <c r="B16" s="30">
        <f t="shared" ref="B16" si="12">+B12/B14</f>
        <v>-0.23702112477701623</v>
      </c>
      <c r="C16" s="30">
        <f t="shared" ref="C16:D16" si="13">+C12/C14</f>
        <v>-0.36608451159507133</v>
      </c>
      <c r="D16" s="30">
        <f t="shared" si="13"/>
        <v>-0.37551313341188364</v>
      </c>
      <c r="E16" s="30">
        <f t="shared" ref="E16:F16" si="14">+E12/E14</f>
        <v>-0.39290892053465726</v>
      </c>
      <c r="F16" s="30">
        <f t="shared" si="14"/>
        <v>-0.48499197162697877</v>
      </c>
      <c r="G16" s="30">
        <f t="shared" ref="G16:H16" si="15">+G12/G14</f>
        <v>-0.50241041260230634</v>
      </c>
      <c r="H16" s="30">
        <f t="shared" si="15"/>
        <v>-0.4940744441400523</v>
      </c>
      <c r="I16" s="30">
        <f t="shared" ref="I16:N16" si="16">+I12/I14</f>
        <v>-0.45682828757994243</v>
      </c>
      <c r="J16" s="30">
        <f t="shared" si="16"/>
        <v>-0.48729729055090376</v>
      </c>
      <c r="K16" s="30">
        <f t="shared" si="16"/>
        <v>-0.60529755815457875</v>
      </c>
      <c r="L16" s="30">
        <f t="shared" si="16"/>
        <v>-0.67121388476989441</v>
      </c>
      <c r="M16" s="30">
        <f t="shared" si="16"/>
        <v>-0.74229124690465575</v>
      </c>
      <c r="N16" s="30">
        <f t="shared" si="16"/>
        <v>-0.75191175909851227</v>
      </c>
      <c r="O16" s="30">
        <f t="shared" ref="O16:T16" si="17">+O12/O14</f>
        <v>4.6919633173188563E-2</v>
      </c>
      <c r="P16" s="30">
        <f t="shared" si="17"/>
        <v>6.0226372997872944E-2</v>
      </c>
      <c r="Q16" s="30">
        <f t="shared" si="17"/>
        <v>-4.9929968363998357E-2</v>
      </c>
      <c r="R16" s="30">
        <f t="shared" si="17"/>
        <v>-0.116659560322962</v>
      </c>
      <c r="S16" s="30">
        <f t="shared" si="17"/>
        <v>-5.894424457404282E-2</v>
      </c>
      <c r="T16" s="30">
        <f t="shared" si="17"/>
        <v>-6.4579604896752255E-2</v>
      </c>
    </row>
    <row r="17" ht="12.75" thickTop="1" x14ac:dyDescent="0.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805B6-2DB2-4C43-96C6-74D090B6E3D0}">
  <sheetPr>
    <tabColor rgb="FF182842"/>
  </sheetPr>
  <dimension ref="A2:Y43"/>
  <sheetViews>
    <sheetView showGridLines="0" zoomScaleNormal="100" workbookViewId="0"/>
  </sheetViews>
  <sheetFormatPr defaultColWidth="0" defaultRowHeight="12" x14ac:dyDescent="0.2"/>
  <cols>
    <col min="1" max="1" width="33" style="1" bestFit="1" customWidth="1"/>
    <col min="2" max="2" width="13" style="23" customWidth="1"/>
    <col min="3" max="3" width="14.7109375" style="23" bestFit="1" customWidth="1"/>
    <col min="4" max="4" width="11.42578125" style="23" customWidth="1"/>
    <col min="5" max="5" width="11.7109375" style="23" customWidth="1"/>
    <col min="6" max="6" width="43.28515625" style="23" customWidth="1"/>
    <col min="7" max="7" width="20.140625" style="23" customWidth="1"/>
    <col min="8" max="8" width="9.5703125" style="23" customWidth="1"/>
    <col min="9" max="9" width="15" style="23" customWidth="1"/>
    <col min="10" max="10" width="8.85546875" style="1" hidden="1" customWidth="1"/>
    <col min="11" max="25" width="0" style="1" hidden="1" customWidth="1"/>
    <col min="26" max="16384" width="8.85546875" style="1" hidden="1"/>
  </cols>
  <sheetData>
    <row r="2" spans="1:9" ht="15" x14ac:dyDescent="0.25">
      <c r="A2"/>
    </row>
    <row r="5" spans="1:9" x14ac:dyDescent="0.2">
      <c r="A5" s="22">
        <v>2016</v>
      </c>
      <c r="B5" s="3" t="s">
        <v>232</v>
      </c>
      <c r="C5" s="3" t="s">
        <v>233</v>
      </c>
      <c r="D5" s="3" t="s">
        <v>234</v>
      </c>
      <c r="E5" s="3" t="s">
        <v>235</v>
      </c>
      <c r="F5" s="3" t="s">
        <v>236</v>
      </c>
      <c r="G5" s="3" t="s">
        <v>237</v>
      </c>
      <c r="H5" s="3" t="s">
        <v>113</v>
      </c>
      <c r="I5" s="3" t="s">
        <v>238</v>
      </c>
    </row>
    <row r="6" spans="1:9" x14ac:dyDescent="0.2">
      <c r="A6" s="6" t="s">
        <v>118</v>
      </c>
      <c r="B6" s="37">
        <v>42491</v>
      </c>
      <c r="C6" s="7" t="s">
        <v>116</v>
      </c>
      <c r="D6" s="7" t="s">
        <v>239</v>
      </c>
      <c r="E6" s="7">
        <v>396</v>
      </c>
      <c r="F6" s="7" t="s">
        <v>241</v>
      </c>
      <c r="G6" s="7">
        <v>110600</v>
      </c>
      <c r="H6" s="21">
        <v>0.50980000000000003</v>
      </c>
      <c r="I6" s="37">
        <v>43622</v>
      </c>
    </row>
    <row r="7" spans="1:9" ht="4.1500000000000004" customHeight="1" x14ac:dyDescent="0.2">
      <c r="A7" s="6"/>
      <c r="B7" s="24"/>
      <c r="C7" s="7"/>
      <c r="D7" s="7"/>
      <c r="E7" s="7"/>
      <c r="F7" s="7"/>
      <c r="G7" s="7"/>
      <c r="H7" s="21"/>
      <c r="I7" s="24"/>
    </row>
    <row r="8" spans="1:9" x14ac:dyDescent="0.2">
      <c r="A8" s="22">
        <v>2017</v>
      </c>
      <c r="B8" s="3"/>
      <c r="C8" s="3"/>
      <c r="D8" s="3"/>
      <c r="E8" s="3"/>
      <c r="F8" s="3"/>
      <c r="G8" s="3"/>
      <c r="H8" s="3"/>
      <c r="I8" s="3"/>
    </row>
    <row r="9" spans="1:9" x14ac:dyDescent="0.2">
      <c r="A9" s="1" t="s">
        <v>119</v>
      </c>
      <c r="B9" s="37">
        <v>42887</v>
      </c>
      <c r="C9" s="7" t="s">
        <v>116</v>
      </c>
      <c r="D9" s="7" t="s">
        <v>239</v>
      </c>
      <c r="E9" s="7">
        <v>400</v>
      </c>
      <c r="F9" s="7" t="s">
        <v>242</v>
      </c>
      <c r="G9" s="7">
        <v>152600</v>
      </c>
      <c r="H9" s="21">
        <v>0.50980000000000003</v>
      </c>
      <c r="I9" s="37">
        <v>44013</v>
      </c>
    </row>
    <row r="10" spans="1:9" x14ac:dyDescent="0.2">
      <c r="A10" s="1" t="s">
        <v>120</v>
      </c>
      <c r="B10" s="37">
        <v>42979</v>
      </c>
      <c r="C10" s="7" t="s">
        <v>126</v>
      </c>
      <c r="D10" s="7" t="s">
        <v>239</v>
      </c>
      <c r="E10" s="7">
        <v>258</v>
      </c>
      <c r="F10" s="7" t="s">
        <v>243</v>
      </c>
      <c r="G10" s="7">
        <v>47800</v>
      </c>
      <c r="H10" s="21">
        <v>1</v>
      </c>
      <c r="I10" s="37">
        <v>43980</v>
      </c>
    </row>
    <row r="11" spans="1:9" ht="6.6" customHeight="1" x14ac:dyDescent="0.2"/>
    <row r="12" spans="1:9" x14ac:dyDescent="0.2">
      <c r="A12" s="22">
        <v>2018</v>
      </c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1" t="s">
        <v>121</v>
      </c>
      <c r="B13" s="37">
        <v>43221</v>
      </c>
      <c r="C13" s="7" t="s">
        <v>131</v>
      </c>
      <c r="D13" s="7" t="s">
        <v>240</v>
      </c>
      <c r="E13" s="7">
        <v>99</v>
      </c>
      <c r="F13" s="7" t="s">
        <v>135</v>
      </c>
      <c r="G13" s="7">
        <v>157700</v>
      </c>
      <c r="H13" s="21">
        <v>0.8</v>
      </c>
      <c r="I13" s="37">
        <v>44348</v>
      </c>
    </row>
    <row r="14" spans="1:9" x14ac:dyDescent="0.2">
      <c r="A14" s="1" t="s">
        <v>122</v>
      </c>
      <c r="B14" s="37">
        <v>43374</v>
      </c>
      <c r="C14" s="7" t="s">
        <v>132</v>
      </c>
      <c r="D14" s="7" t="s">
        <v>240</v>
      </c>
      <c r="E14" s="7">
        <v>273</v>
      </c>
      <c r="F14" s="7" t="s">
        <v>244</v>
      </c>
      <c r="G14" s="7">
        <v>100900</v>
      </c>
      <c r="H14" s="21">
        <v>0.7</v>
      </c>
      <c r="I14" s="37">
        <v>44409</v>
      </c>
    </row>
    <row r="15" spans="1:9" ht="3.6" customHeight="1" x14ac:dyDescent="0.2"/>
    <row r="16" spans="1:9" x14ac:dyDescent="0.2">
      <c r="A16" s="22">
        <v>2019</v>
      </c>
      <c r="B16" s="3"/>
      <c r="C16" s="3"/>
      <c r="D16" s="3"/>
      <c r="E16" s="3"/>
      <c r="F16" s="3"/>
      <c r="G16" s="3"/>
      <c r="H16" s="3"/>
      <c r="I16" s="3"/>
    </row>
    <row r="17" spans="1:9" x14ac:dyDescent="0.2">
      <c r="A17" s="1" t="s">
        <v>123</v>
      </c>
      <c r="B17" s="37">
        <v>43586</v>
      </c>
      <c r="C17" s="7" t="s">
        <v>133</v>
      </c>
      <c r="D17" s="7" t="s">
        <v>240</v>
      </c>
      <c r="E17" s="7">
        <v>352</v>
      </c>
      <c r="F17" s="7" t="s">
        <v>245</v>
      </c>
      <c r="G17" s="7">
        <v>241500</v>
      </c>
      <c r="H17" s="21">
        <v>0.94</v>
      </c>
      <c r="I17" s="37">
        <v>44621</v>
      </c>
    </row>
    <row r="18" spans="1:9" x14ac:dyDescent="0.2">
      <c r="A18" s="1" t="s">
        <v>124</v>
      </c>
      <c r="B18" s="37">
        <v>43617</v>
      </c>
      <c r="C18" s="7" t="s">
        <v>132</v>
      </c>
      <c r="D18" s="7" t="s">
        <v>240</v>
      </c>
      <c r="E18" s="7">
        <v>65</v>
      </c>
      <c r="F18" s="7" t="s">
        <v>138</v>
      </c>
      <c r="G18" s="7">
        <v>117700</v>
      </c>
      <c r="H18" s="21">
        <v>0.4</v>
      </c>
      <c r="I18" s="37">
        <v>44621</v>
      </c>
    </row>
    <row r="19" spans="1:9" x14ac:dyDescent="0.2">
      <c r="A19" s="1" t="s">
        <v>125</v>
      </c>
      <c r="B19" s="37">
        <v>43739</v>
      </c>
      <c r="C19" s="7" t="s">
        <v>134</v>
      </c>
      <c r="D19" s="7" t="s">
        <v>240</v>
      </c>
      <c r="E19" s="7">
        <v>120</v>
      </c>
      <c r="F19" s="7" t="s">
        <v>139</v>
      </c>
      <c r="G19" s="7">
        <v>189700</v>
      </c>
      <c r="H19" s="21">
        <v>0.8</v>
      </c>
      <c r="I19" s="37">
        <v>44896</v>
      </c>
    </row>
    <row r="20" spans="1:9" ht="3.6" customHeight="1" x14ac:dyDescent="0.2"/>
    <row r="21" spans="1:9" x14ac:dyDescent="0.2">
      <c r="A21" s="22">
        <v>2020</v>
      </c>
      <c r="B21" s="3"/>
      <c r="C21" s="3"/>
      <c r="D21" s="3"/>
      <c r="E21" s="3"/>
      <c r="F21" s="3"/>
      <c r="G21" s="3"/>
      <c r="H21" s="3"/>
      <c r="I21" s="3"/>
    </row>
    <row r="22" spans="1:9" x14ac:dyDescent="0.2">
      <c r="A22" s="1" t="s">
        <v>279</v>
      </c>
      <c r="B22" s="37">
        <v>44105</v>
      </c>
      <c r="C22" s="7" t="s">
        <v>116</v>
      </c>
      <c r="D22" s="7" t="s">
        <v>239</v>
      </c>
      <c r="E22" s="7">
        <v>272</v>
      </c>
      <c r="F22" s="7" t="s">
        <v>282</v>
      </c>
      <c r="G22" s="7">
        <v>187899.19399999999</v>
      </c>
      <c r="H22" s="21">
        <v>0.50980000000000003</v>
      </c>
      <c r="I22" s="37">
        <v>45231</v>
      </c>
    </row>
    <row r="23" spans="1:9" x14ac:dyDescent="0.2">
      <c r="A23" s="1" t="s">
        <v>280</v>
      </c>
      <c r="B23" s="37">
        <v>44136</v>
      </c>
      <c r="C23" s="7" t="s">
        <v>281</v>
      </c>
      <c r="D23" s="7" t="s">
        <v>240</v>
      </c>
      <c r="E23" s="7">
        <v>370</v>
      </c>
      <c r="F23" s="7" t="s">
        <v>294</v>
      </c>
      <c r="G23" s="7">
        <v>309645.07699999999</v>
      </c>
      <c r="H23" s="21">
        <v>1</v>
      </c>
      <c r="I23" s="37">
        <v>45352</v>
      </c>
    </row>
    <row r="24" spans="1:9" ht="3.6" customHeight="1" x14ac:dyDescent="0.2"/>
    <row r="25" spans="1:9" x14ac:dyDescent="0.2">
      <c r="A25" s="22">
        <v>2021</v>
      </c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1" t="s">
        <v>289</v>
      </c>
      <c r="B26" s="37">
        <v>44348</v>
      </c>
      <c r="C26" s="7" t="s">
        <v>132</v>
      </c>
      <c r="D26" s="7" t="s">
        <v>293</v>
      </c>
      <c r="E26" s="7">
        <v>409</v>
      </c>
      <c r="F26" s="7" t="s">
        <v>295</v>
      </c>
      <c r="G26" s="7">
        <v>707768.10400000005</v>
      </c>
      <c r="H26" s="21">
        <v>1</v>
      </c>
      <c r="I26" s="37">
        <v>45689</v>
      </c>
    </row>
    <row r="27" spans="1:9" x14ac:dyDescent="0.2">
      <c r="A27" s="1" t="s">
        <v>299</v>
      </c>
      <c r="B27" s="37">
        <v>44438</v>
      </c>
      <c r="C27" s="7" t="s">
        <v>300</v>
      </c>
      <c r="D27" s="7" t="s">
        <v>239</v>
      </c>
      <c r="E27" s="7">
        <v>576</v>
      </c>
      <c r="F27" s="7" t="s">
        <v>303</v>
      </c>
      <c r="G27" s="7">
        <v>331072.38</v>
      </c>
      <c r="H27" s="21">
        <v>1</v>
      </c>
      <c r="I27" s="37">
        <v>45536</v>
      </c>
    </row>
    <row r="28" spans="1:9" x14ac:dyDescent="0.2">
      <c r="A28" s="1" t="s">
        <v>305</v>
      </c>
      <c r="B28" s="37">
        <v>44499</v>
      </c>
      <c r="C28" s="7" t="s">
        <v>132</v>
      </c>
      <c r="D28" s="7" t="s">
        <v>240</v>
      </c>
      <c r="E28" s="7">
        <v>408</v>
      </c>
      <c r="F28" s="7" t="s">
        <v>308</v>
      </c>
      <c r="G28" s="7">
        <v>210840.96600000001</v>
      </c>
      <c r="H28" s="21">
        <v>0.8</v>
      </c>
      <c r="I28" s="37">
        <v>45505</v>
      </c>
    </row>
    <row r="29" spans="1:9" ht="3.6" customHeight="1" x14ac:dyDescent="0.2"/>
    <row r="30" spans="1:9" x14ac:dyDescent="0.2">
      <c r="A30" s="22">
        <v>2022</v>
      </c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1" t="s">
        <v>310</v>
      </c>
      <c r="B31" s="37">
        <v>44593</v>
      </c>
      <c r="C31" s="7" t="s">
        <v>116</v>
      </c>
      <c r="D31" s="7" t="s">
        <v>239</v>
      </c>
      <c r="E31" s="7">
        <v>258</v>
      </c>
      <c r="F31" s="7" t="s">
        <v>318</v>
      </c>
      <c r="G31" s="7">
        <v>230269.8762</v>
      </c>
      <c r="H31" s="21">
        <v>0.51</v>
      </c>
      <c r="I31" s="37">
        <v>45839</v>
      </c>
    </row>
    <row r="32" spans="1:9" x14ac:dyDescent="0.2">
      <c r="A32" s="1" t="s">
        <v>311</v>
      </c>
      <c r="B32" s="37">
        <v>44652</v>
      </c>
      <c r="C32" s="7" t="s">
        <v>312</v>
      </c>
      <c r="D32" s="7" t="s">
        <v>317</v>
      </c>
      <c r="E32" s="7">
        <v>174</v>
      </c>
      <c r="F32" s="7" t="s">
        <v>319</v>
      </c>
      <c r="G32" s="7">
        <v>292081.90500000003</v>
      </c>
      <c r="H32" s="21">
        <v>1</v>
      </c>
      <c r="I32" s="37">
        <v>45778</v>
      </c>
    </row>
    <row r="33" spans="1:9" x14ac:dyDescent="0.2">
      <c r="A33" s="1" t="s">
        <v>326</v>
      </c>
      <c r="B33" s="37">
        <v>44713</v>
      </c>
      <c r="C33" s="7" t="s">
        <v>327</v>
      </c>
      <c r="D33" s="7" t="s">
        <v>317</v>
      </c>
      <c r="E33" s="7">
        <v>411</v>
      </c>
      <c r="F33" s="7" t="s">
        <v>330</v>
      </c>
      <c r="G33" s="7">
        <v>336272.09500000003</v>
      </c>
      <c r="H33" s="21">
        <v>1</v>
      </c>
      <c r="I33" s="37">
        <v>45962</v>
      </c>
    </row>
    <row r="34" spans="1:9" x14ac:dyDescent="0.2">
      <c r="A34" s="1" t="s">
        <v>333</v>
      </c>
      <c r="B34" s="37">
        <v>44774</v>
      </c>
      <c r="C34" s="7" t="s">
        <v>334</v>
      </c>
      <c r="D34" s="7" t="s">
        <v>317</v>
      </c>
      <c r="E34" s="7">
        <v>343</v>
      </c>
      <c r="F34" s="7" t="s">
        <v>350</v>
      </c>
      <c r="G34" s="7">
        <v>239927.88000000003</v>
      </c>
      <c r="H34" s="21">
        <v>0.8</v>
      </c>
      <c r="I34" s="37">
        <v>45992</v>
      </c>
    </row>
    <row r="35" spans="1:9" x14ac:dyDescent="0.2">
      <c r="A35" s="1" t="s">
        <v>355</v>
      </c>
      <c r="B35" s="37">
        <v>44866</v>
      </c>
      <c r="C35" s="7" t="s">
        <v>356</v>
      </c>
      <c r="D35" s="7" t="s">
        <v>240</v>
      </c>
      <c r="E35" s="7">
        <v>589</v>
      </c>
      <c r="F35" s="7" t="s">
        <v>362</v>
      </c>
      <c r="G35" s="7">
        <v>555761.179</v>
      </c>
      <c r="H35" s="21">
        <v>1</v>
      </c>
      <c r="I35" s="37">
        <v>46143</v>
      </c>
    </row>
    <row r="36" spans="1:9" x14ac:dyDescent="0.2">
      <c r="A36" s="1" t="s">
        <v>358</v>
      </c>
      <c r="B36" s="37">
        <v>44866</v>
      </c>
      <c r="C36" s="7" t="s">
        <v>359</v>
      </c>
      <c r="D36" s="7" t="s">
        <v>240</v>
      </c>
      <c r="E36" s="7">
        <v>752</v>
      </c>
      <c r="F36" s="7" t="s">
        <v>363</v>
      </c>
      <c r="G36" s="7">
        <v>902907.37823999999</v>
      </c>
      <c r="H36" s="21">
        <v>0.45</v>
      </c>
      <c r="I36" s="37">
        <v>46174</v>
      </c>
    </row>
    <row r="37" spans="1:9" x14ac:dyDescent="0.2">
      <c r="A37" s="22">
        <v>2023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1" t="s">
        <v>358</v>
      </c>
      <c r="B38" s="37">
        <v>44986</v>
      </c>
      <c r="C38" s="7" t="s">
        <v>359</v>
      </c>
      <c r="D38" s="7" t="s">
        <v>240</v>
      </c>
      <c r="E38" s="7">
        <v>268</v>
      </c>
      <c r="F38" s="7" t="s">
        <v>363</v>
      </c>
      <c r="G38" s="7">
        <v>436092.85416000005</v>
      </c>
      <c r="H38" s="21">
        <v>0.45</v>
      </c>
      <c r="I38" s="37">
        <v>46174</v>
      </c>
    </row>
    <row r="39" spans="1:9" x14ac:dyDescent="0.2">
      <c r="A39" s="1" t="s">
        <v>372</v>
      </c>
      <c r="B39" s="37">
        <v>45047</v>
      </c>
      <c r="C39" s="23" t="s">
        <v>373</v>
      </c>
      <c r="D39" s="23" t="s">
        <v>374</v>
      </c>
      <c r="E39" s="7">
        <v>153</v>
      </c>
      <c r="F39" s="7" t="s">
        <v>375</v>
      </c>
      <c r="G39" s="7">
        <v>887209.84690160002</v>
      </c>
      <c r="H39" s="21">
        <v>1</v>
      </c>
      <c r="I39" s="37">
        <v>46235</v>
      </c>
    </row>
    <row r="40" spans="1:9" x14ac:dyDescent="0.2">
      <c r="B40" s="37"/>
    </row>
    <row r="41" spans="1:9" x14ac:dyDescent="0.2">
      <c r="B41" s="37"/>
    </row>
    <row r="42" spans="1:9" x14ac:dyDescent="0.2">
      <c r="B42" s="37"/>
    </row>
    <row r="43" spans="1:9" x14ac:dyDescent="0.2">
      <c r="B43" s="3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91BCF-3B70-46B2-AEEC-F3AB9671F431}">
  <sheetPr>
    <tabColor rgb="FFC8A74B"/>
  </sheetPr>
  <dimension ref="A1:U40"/>
  <sheetViews>
    <sheetView showGridLines="0" zoomScaleNormal="100" workbookViewId="0"/>
  </sheetViews>
  <sheetFormatPr defaultColWidth="0" defaultRowHeight="12" x14ac:dyDescent="0.2"/>
  <cols>
    <col min="1" max="1" width="42.28515625" style="1" bestFit="1" customWidth="1"/>
    <col min="2" max="7" width="8.85546875" style="1" customWidth="1"/>
    <col min="8" max="8" width="8.85546875" style="2" customWidth="1"/>
    <col min="9" max="9" width="10.42578125" style="2" customWidth="1"/>
    <col min="10" max="20" width="8.85546875" style="2" customWidth="1"/>
    <col min="21" max="21" width="8.85546875" style="1" customWidth="1"/>
    <col min="22" max="22" width="8.85546875" style="1" hidden="1" customWidth="1"/>
    <col min="23" max="16384" width="8.85546875" style="1" hidden="1"/>
  </cols>
  <sheetData>
    <row r="1" spans="1:20" ht="15" x14ac:dyDescent="0.25">
      <c r="B1"/>
      <c r="C1"/>
      <c r="D1"/>
      <c r="E1"/>
      <c r="F1" s="35"/>
      <c r="G1" s="35"/>
      <c r="H1" s="35"/>
      <c r="I1" s="35"/>
      <c r="J1" s="35"/>
      <c r="K1" s="34"/>
      <c r="L1" s="34"/>
      <c r="M1" s="34"/>
      <c r="N1" s="34"/>
      <c r="O1" s="34"/>
      <c r="P1" s="34"/>
    </row>
    <row r="2" spans="1:20" ht="15" x14ac:dyDescent="0.25">
      <c r="A2"/>
      <c r="B2"/>
      <c r="C2"/>
      <c r="D2"/>
      <c r="E2"/>
      <c r="F2"/>
      <c r="G2"/>
      <c r="O2" s="26"/>
      <c r="R2" s="26"/>
    </row>
    <row r="3" spans="1:20" x14ac:dyDescent="0.2">
      <c r="H3" s="25"/>
      <c r="I3" s="25"/>
      <c r="J3" s="25"/>
      <c r="K3" s="25"/>
      <c r="L3" s="25"/>
      <c r="M3" s="25"/>
      <c r="N3" s="25"/>
      <c r="Q3" s="26"/>
      <c r="R3" s="25"/>
    </row>
    <row r="5" spans="1:20" x14ac:dyDescent="0.2">
      <c r="A5" s="5" t="s">
        <v>24</v>
      </c>
      <c r="B5" s="3" t="s">
        <v>380</v>
      </c>
      <c r="C5" s="3" t="s">
        <v>370</v>
      </c>
      <c r="D5" s="3" t="s">
        <v>368</v>
      </c>
      <c r="E5" s="3" t="s">
        <v>354</v>
      </c>
      <c r="F5" s="3" t="s">
        <v>331</v>
      </c>
      <c r="G5" s="3" t="s">
        <v>325</v>
      </c>
      <c r="H5" s="3" t="s">
        <v>309</v>
      </c>
      <c r="I5" s="3" t="s">
        <v>304</v>
      </c>
      <c r="J5" s="3" t="s">
        <v>296</v>
      </c>
      <c r="K5" s="3" t="s">
        <v>288</v>
      </c>
      <c r="L5" s="3" t="s">
        <v>286</v>
      </c>
      <c r="M5" s="3" t="s">
        <v>277</v>
      </c>
      <c r="N5" s="3" t="s">
        <v>2</v>
      </c>
      <c r="O5" s="3" t="s">
        <v>1</v>
      </c>
      <c r="P5" s="3" t="s">
        <v>4</v>
      </c>
      <c r="Q5" s="3" t="s">
        <v>3</v>
      </c>
      <c r="R5" s="3" t="s">
        <v>5</v>
      </c>
      <c r="S5" s="3" t="s">
        <v>6</v>
      </c>
      <c r="T5" s="3" t="s">
        <v>7</v>
      </c>
    </row>
    <row r="6" spans="1:20" x14ac:dyDescent="0.2">
      <c r="A6" s="6" t="s">
        <v>0</v>
      </c>
      <c r="B6" s="7">
        <f>[1]Input!$Y161</f>
        <v>204980</v>
      </c>
      <c r="C6" s="7">
        <v>283528</v>
      </c>
      <c r="D6" s="7">
        <v>159165</v>
      </c>
      <c r="E6" s="7">
        <v>147247.99400000006</v>
      </c>
      <c r="F6" s="7">
        <v>128813.00599999994</v>
      </c>
      <c r="G6" s="7">
        <v>179704</v>
      </c>
      <c r="H6" s="7">
        <v>99562</v>
      </c>
      <c r="I6" s="7">
        <v>109246.70538999999</v>
      </c>
      <c r="J6" s="7">
        <v>149328</v>
      </c>
      <c r="K6" s="7">
        <v>260263</v>
      </c>
      <c r="L6" s="7">
        <v>90431.95199999999</v>
      </c>
      <c r="M6" s="7">
        <v>179068</v>
      </c>
      <c r="N6" s="7">
        <v>86696.090769999981</v>
      </c>
      <c r="O6" s="7">
        <v>51279</v>
      </c>
      <c r="P6" s="7">
        <v>42464</v>
      </c>
      <c r="Q6" s="7">
        <v>99833.642921460589</v>
      </c>
      <c r="R6" s="7">
        <v>49984</v>
      </c>
      <c r="S6" s="7">
        <v>101787.87297695069</v>
      </c>
      <c r="T6" s="7">
        <v>16574.868020000002</v>
      </c>
    </row>
    <row r="7" spans="1:20" x14ac:dyDescent="0.2">
      <c r="A7" s="6" t="s">
        <v>9</v>
      </c>
      <c r="B7" s="7">
        <f>[1]Input!$Y162</f>
        <v>-136082</v>
      </c>
      <c r="C7" s="7">
        <v>-190197</v>
      </c>
      <c r="D7" s="7">
        <v>-109940</v>
      </c>
      <c r="E7" s="7">
        <v>-96523.846999999951</v>
      </c>
      <c r="F7" s="7">
        <v>-80331.153000000064</v>
      </c>
      <c r="G7" s="7">
        <v>-126578</v>
      </c>
      <c r="H7" s="7">
        <v>-65555</v>
      </c>
      <c r="I7" s="7">
        <v>-66279</v>
      </c>
      <c r="J7" s="7">
        <v>-84741</v>
      </c>
      <c r="K7" s="7">
        <v>-150644</v>
      </c>
      <c r="L7" s="7">
        <v>-53886.053999999996</v>
      </c>
      <c r="M7" s="7">
        <v>-107209</v>
      </c>
      <c r="N7" s="7">
        <v>-47301.221330000015</v>
      </c>
      <c r="O7" s="7">
        <v>-29691</v>
      </c>
      <c r="P7" s="7">
        <v>-25515</v>
      </c>
      <c r="Q7" s="7">
        <v>-67509.818296388868</v>
      </c>
      <c r="R7" s="7">
        <v>-30552.202307386135</v>
      </c>
      <c r="S7" s="7">
        <v>-66404.830780423727</v>
      </c>
      <c r="T7" s="7">
        <v>-13545.940399999998</v>
      </c>
    </row>
    <row r="8" spans="1:20" x14ac:dyDescent="0.2">
      <c r="A8" s="9" t="s">
        <v>10</v>
      </c>
      <c r="B8" s="10">
        <f t="shared" ref="B8:T8" si="0">+B6+B7</f>
        <v>68898</v>
      </c>
      <c r="C8" s="10">
        <f t="shared" si="0"/>
        <v>93331</v>
      </c>
      <c r="D8" s="10">
        <f t="shared" si="0"/>
        <v>49225</v>
      </c>
      <c r="E8" s="10">
        <f t="shared" si="0"/>
        <v>50724.147000000114</v>
      </c>
      <c r="F8" s="10">
        <f t="shared" si="0"/>
        <v>48481.852999999872</v>
      </c>
      <c r="G8" s="10">
        <f t="shared" si="0"/>
        <v>53126</v>
      </c>
      <c r="H8" s="10">
        <f t="shared" si="0"/>
        <v>34007</v>
      </c>
      <c r="I8" s="10">
        <f t="shared" si="0"/>
        <v>42967.705389999988</v>
      </c>
      <c r="J8" s="10">
        <f t="shared" si="0"/>
        <v>64587</v>
      </c>
      <c r="K8" s="10">
        <f t="shared" si="0"/>
        <v>109619</v>
      </c>
      <c r="L8" s="10">
        <f t="shared" si="0"/>
        <v>36545.897999999994</v>
      </c>
      <c r="M8" s="10">
        <f t="shared" si="0"/>
        <v>71859</v>
      </c>
      <c r="N8" s="10">
        <f t="shared" si="0"/>
        <v>39394.869439999966</v>
      </c>
      <c r="O8" s="10">
        <f t="shared" si="0"/>
        <v>21588</v>
      </c>
      <c r="P8" s="10">
        <f t="shared" si="0"/>
        <v>16949</v>
      </c>
      <c r="Q8" s="10">
        <f t="shared" si="0"/>
        <v>32323.82462507172</v>
      </c>
      <c r="R8" s="10">
        <f t="shared" si="0"/>
        <v>19431.797692613865</v>
      </c>
      <c r="S8" s="10">
        <f t="shared" si="0"/>
        <v>35383.042196526963</v>
      </c>
      <c r="T8" s="10">
        <f t="shared" si="0"/>
        <v>3028.927620000004</v>
      </c>
    </row>
    <row r="9" spans="1:20" ht="12.75" thickBot="1" x14ac:dyDescent="0.25">
      <c r="A9" s="11" t="s">
        <v>23</v>
      </c>
      <c r="B9" s="12">
        <f t="shared" ref="B9:T9" si="1">+B8/B6</f>
        <v>0.33612059713142745</v>
      </c>
      <c r="C9" s="12">
        <f t="shared" si="1"/>
        <v>0.32917736519849894</v>
      </c>
      <c r="D9" s="12">
        <f t="shared" si="1"/>
        <v>0.30927025413878678</v>
      </c>
      <c r="E9" s="12">
        <f t="shared" si="1"/>
        <v>0.34448107320226101</v>
      </c>
      <c r="F9" s="12">
        <f t="shared" si="1"/>
        <v>0.37637389659239762</v>
      </c>
      <c r="G9" s="12">
        <f t="shared" si="1"/>
        <v>0.29563059252993812</v>
      </c>
      <c r="H9" s="12">
        <f t="shared" si="1"/>
        <v>0.3415660593399088</v>
      </c>
      <c r="I9" s="12">
        <f t="shared" si="1"/>
        <v>0.39330893537346967</v>
      </c>
      <c r="J9" s="12">
        <f t="shared" si="1"/>
        <v>0.43251767920282869</v>
      </c>
      <c r="K9" s="12">
        <f t="shared" si="1"/>
        <v>0.42118549313578957</v>
      </c>
      <c r="L9" s="12">
        <f t="shared" si="1"/>
        <v>0.40412594433436533</v>
      </c>
      <c r="M9" s="12">
        <f t="shared" si="1"/>
        <v>0.40129448030915632</v>
      </c>
      <c r="N9" s="12">
        <f t="shared" si="1"/>
        <v>0.45440191235972122</v>
      </c>
      <c r="O9" s="12">
        <f t="shared" si="1"/>
        <v>0.42099104896741357</v>
      </c>
      <c r="P9" s="12">
        <f t="shared" si="1"/>
        <v>0.39913809344385831</v>
      </c>
      <c r="Q9" s="12">
        <f t="shared" si="1"/>
        <v>0.32377687199595595</v>
      </c>
      <c r="R9" s="12">
        <f t="shared" si="1"/>
        <v>0.38876035716657059</v>
      </c>
      <c r="S9" s="12">
        <f t="shared" si="1"/>
        <v>0.34761549840558376</v>
      </c>
      <c r="T9" s="12">
        <f t="shared" si="1"/>
        <v>0.18274218632360512</v>
      </c>
    </row>
    <row r="10" spans="1:20" ht="21" customHeight="1" thickTop="1" x14ac:dyDescent="0.2">
      <c r="A10" s="58" t="s">
        <v>416</v>
      </c>
      <c r="B10" s="59">
        <f>'Margens Bruta e EBITDA (ex-SFH)'!B$11</f>
        <v>0.34974631671382572</v>
      </c>
      <c r="C10" s="59">
        <f>'Margens Bruta e EBITDA (ex-SFH)'!C$11</f>
        <v>0.33272904263423719</v>
      </c>
      <c r="D10" s="59">
        <f>'Margens Bruta e EBITDA (ex-SFH)'!D$11</f>
        <v>0.31644519837904062</v>
      </c>
      <c r="E10" s="59">
        <f>'Margens Bruta e EBITDA (ex-SFH)'!E$11</f>
        <v>0.34672898158463261</v>
      </c>
      <c r="F10" s="59">
        <f>'Margens Bruta e EBITDA (ex-SFH)'!F$11</f>
        <v>0.3765757395646826</v>
      </c>
      <c r="G10" s="59">
        <f>'Margens Bruta e EBITDA (ex-SFH)'!G$11</f>
        <v>0.29612028669367402</v>
      </c>
      <c r="H10" s="59">
        <f>'Margens Bruta e EBITDA (ex-SFH)'!H$11</f>
        <v>0.34187742311323599</v>
      </c>
      <c r="I10" s="59">
        <f>'Margens Bruta e EBITDA (ex-SFH)'!I$11</f>
        <v>0.40033889565701614</v>
      </c>
      <c r="J10" s="59">
        <f>'Margens Bruta e EBITDA (ex-SFH)'!J$11</f>
        <v>0.43559144969463193</v>
      </c>
      <c r="K10" s="59">
        <f>'Margens Bruta e EBITDA (ex-SFH)'!K$11</f>
        <v>0.42727932898644833</v>
      </c>
      <c r="L10" s="59">
        <f>'Margens Bruta e EBITDA (ex-SFH)'!L$11</f>
        <v>0.40559666344479656</v>
      </c>
      <c r="M10" s="59">
        <f>'Margens Bruta e EBITDA (ex-SFH)'!M$11</f>
        <v>0.40412580695601669</v>
      </c>
      <c r="N10" s="59">
        <f>'Margens Bruta e EBITDA (ex-SFH)'!N$11</f>
        <v>0.45440191235972122</v>
      </c>
      <c r="O10" s="59">
        <f>'Margens Bruta e EBITDA (ex-SFH)'!O$11</f>
        <v>0.42099104896741357</v>
      </c>
      <c r="P10" s="59">
        <f>'Margens Bruta e EBITDA (ex-SFH)'!P$11</f>
        <v>0.39913809344385831</v>
      </c>
      <c r="Q10" s="59">
        <f>'Margens Bruta e EBITDA (ex-SFH)'!Q$11</f>
        <v>0.32377687199595595</v>
      </c>
      <c r="R10" s="59">
        <f>'Margens Bruta e EBITDA (ex-SFH)'!R$11</f>
        <v>0.38876035716657059</v>
      </c>
      <c r="S10" s="59">
        <f>'Margens Bruta e EBITDA (ex-SFH)'!S$11</f>
        <v>0.34761549840558376</v>
      </c>
      <c r="T10" s="59">
        <f>'Margens Bruta e EBITDA (ex-SFH)'!T$11</f>
        <v>0.18274218632360512</v>
      </c>
    </row>
    <row r="11" spans="1:20" x14ac:dyDescent="0.2">
      <c r="A11" s="60" t="s">
        <v>15</v>
      </c>
      <c r="B11" s="10">
        <f t="shared" ref="B11" si="2">SUM(B12:B15)</f>
        <v>-26695</v>
      </c>
      <c r="C11" s="10">
        <f t="shared" ref="C11:T11" si="3">SUM(C12:C15)</f>
        <v>-27343</v>
      </c>
      <c r="D11" s="10">
        <f t="shared" si="3"/>
        <v>-21294</v>
      </c>
      <c r="E11" s="10">
        <f t="shared" si="3"/>
        <v>-27183.324419999997</v>
      </c>
      <c r="F11" s="10">
        <f t="shared" si="3"/>
        <v>-23434.675580000003</v>
      </c>
      <c r="G11" s="10">
        <f t="shared" si="3"/>
        <v>-28256</v>
      </c>
      <c r="H11" s="10">
        <f t="shared" si="3"/>
        <v>-20943</v>
      </c>
      <c r="I11" s="10">
        <f t="shared" si="3"/>
        <v>-20081.731576195598</v>
      </c>
      <c r="J11" s="10">
        <f t="shared" si="3"/>
        <v>-21075.598010000002</v>
      </c>
      <c r="K11" s="10">
        <f t="shared" si="3"/>
        <v>-19308</v>
      </c>
      <c r="L11" s="10">
        <f t="shared" si="3"/>
        <v>-16690.86217</v>
      </c>
      <c r="M11" s="10">
        <f t="shared" si="3"/>
        <v>-13095</v>
      </c>
      <c r="N11" s="10">
        <f t="shared" si="3"/>
        <v>-9837</v>
      </c>
      <c r="O11" s="10">
        <f t="shared" si="3"/>
        <v>-3289</v>
      </c>
      <c r="P11" s="10">
        <f t="shared" si="3"/>
        <v>-4735</v>
      </c>
      <c r="Q11" s="10">
        <f t="shared" si="3"/>
        <v>-5316.9016848196034</v>
      </c>
      <c r="R11" s="10">
        <f t="shared" si="3"/>
        <v>-3781.7557400000001</v>
      </c>
      <c r="S11" s="10">
        <f t="shared" si="3"/>
        <v>-6986.2585395952383</v>
      </c>
      <c r="T11" s="10">
        <f t="shared" si="3"/>
        <v>-5251.5279483354834</v>
      </c>
    </row>
    <row r="12" spans="1:20" x14ac:dyDescent="0.2">
      <c r="A12" s="6" t="s">
        <v>11</v>
      </c>
      <c r="B12" s="7">
        <f>[1]Input!$Y170</f>
        <v>-17126</v>
      </c>
      <c r="C12" s="7">
        <v>-19205</v>
      </c>
      <c r="D12" s="7">
        <v>-17045</v>
      </c>
      <c r="E12" s="7">
        <v>-16848</v>
      </c>
      <c r="F12" s="7">
        <v>-15999</v>
      </c>
      <c r="G12" s="7">
        <v>-20710</v>
      </c>
      <c r="H12" s="7">
        <v>-10395</v>
      </c>
      <c r="I12" s="7">
        <v>-13987</v>
      </c>
      <c r="J12" s="7">
        <v>-16017</v>
      </c>
      <c r="K12" s="7">
        <v>-13723</v>
      </c>
      <c r="L12" s="7">
        <v>-12945.742</v>
      </c>
      <c r="M12" s="7">
        <v>-8024</v>
      </c>
      <c r="N12" s="7">
        <v>-4857</v>
      </c>
      <c r="O12" s="7">
        <v>-1760</v>
      </c>
      <c r="P12" s="7">
        <v>-3458</v>
      </c>
      <c r="Q12" s="7">
        <v>-1773</v>
      </c>
      <c r="R12" s="7">
        <v>-5564</v>
      </c>
      <c r="S12" s="7">
        <v>-5036</v>
      </c>
      <c r="T12" s="7">
        <v>-3888</v>
      </c>
    </row>
    <row r="13" spans="1:20" x14ac:dyDescent="0.2">
      <c r="A13" s="6" t="s">
        <v>12</v>
      </c>
      <c r="B13" s="7">
        <f>[1]Input!$Y176</f>
        <v>-10690</v>
      </c>
      <c r="C13" s="7">
        <v>-11632</v>
      </c>
      <c r="D13" s="7">
        <v>-10135</v>
      </c>
      <c r="E13" s="7">
        <v>-8149.3984199999995</v>
      </c>
      <c r="F13" s="7">
        <v>-8378.6015800000005</v>
      </c>
      <c r="G13" s="7">
        <v>-8477</v>
      </c>
      <c r="H13" s="7">
        <v>-7539</v>
      </c>
      <c r="I13" s="7">
        <v>-6399</v>
      </c>
      <c r="J13" s="7">
        <v>-6458.5980099999997</v>
      </c>
      <c r="K13" s="7">
        <v>-6673</v>
      </c>
      <c r="L13" s="7">
        <v>-5784.2701699999998</v>
      </c>
      <c r="M13" s="7">
        <v>-5367</v>
      </c>
      <c r="N13" s="7">
        <v>-4267</v>
      </c>
      <c r="O13" s="7">
        <v>-2414</v>
      </c>
      <c r="P13" s="7">
        <v>-2029</v>
      </c>
      <c r="Q13" s="7">
        <v>-3322</v>
      </c>
      <c r="R13" s="7">
        <v>-2945</v>
      </c>
      <c r="S13" s="7">
        <v>-1065</v>
      </c>
      <c r="T13" s="7">
        <v>-1477</v>
      </c>
    </row>
    <row r="14" spans="1:20" x14ac:dyDescent="0.2">
      <c r="A14" s="6" t="s">
        <v>13</v>
      </c>
      <c r="B14" s="7">
        <f>[1]Input!$Y186</f>
        <v>2464</v>
      </c>
      <c r="C14" s="7">
        <v>4481</v>
      </c>
      <c r="D14" s="7">
        <v>6505</v>
      </c>
      <c r="E14" s="7">
        <v>-3754.5419999999999</v>
      </c>
      <c r="F14" s="7">
        <v>1477.5419999999999</v>
      </c>
      <c r="G14" s="7">
        <v>301</v>
      </c>
      <c r="H14" s="7">
        <v>657</v>
      </c>
      <c r="I14" s="7">
        <v>399.26842380440212</v>
      </c>
      <c r="J14" s="7">
        <v>1428</v>
      </c>
      <c r="K14" s="7">
        <v>946</v>
      </c>
      <c r="L14" s="7">
        <v>1381.0219999999999</v>
      </c>
      <c r="M14" s="7">
        <v>616</v>
      </c>
      <c r="N14" s="7">
        <v>141</v>
      </c>
      <c r="O14" s="7">
        <v>560</v>
      </c>
      <c r="P14" s="7">
        <v>2</v>
      </c>
      <c r="Q14" s="7">
        <v>271.07046518039624</v>
      </c>
      <c r="R14" s="7">
        <v>5200</v>
      </c>
      <c r="S14" s="7">
        <v>-361.3835095952378</v>
      </c>
      <c r="T14" s="7">
        <v>1.1664516641758382E-5</v>
      </c>
    </row>
    <row r="15" spans="1:20" x14ac:dyDescent="0.2">
      <c r="A15" s="6" t="s">
        <v>14</v>
      </c>
      <c r="B15" s="7">
        <f>[1]Input!$Y187</f>
        <v>-1343</v>
      </c>
      <c r="C15" s="7">
        <v>-987</v>
      </c>
      <c r="D15" s="7">
        <v>-619</v>
      </c>
      <c r="E15" s="7">
        <v>1568.6160000000009</v>
      </c>
      <c r="F15" s="7">
        <v>-534.61600000000089</v>
      </c>
      <c r="G15" s="7">
        <v>630</v>
      </c>
      <c r="H15" s="7">
        <v>-3666</v>
      </c>
      <c r="I15" s="7">
        <v>-95</v>
      </c>
      <c r="J15" s="7">
        <v>-28</v>
      </c>
      <c r="K15" s="7">
        <v>142</v>
      </c>
      <c r="L15" s="7">
        <v>658.12800000000004</v>
      </c>
      <c r="M15" s="7">
        <v>-320</v>
      </c>
      <c r="N15" s="7">
        <v>-854</v>
      </c>
      <c r="O15" s="7">
        <v>325</v>
      </c>
      <c r="P15" s="7">
        <v>750</v>
      </c>
      <c r="Q15" s="7">
        <v>-492.97214999999994</v>
      </c>
      <c r="R15" s="7">
        <v>-472.75573999999995</v>
      </c>
      <c r="S15" s="7">
        <v>-523.87502999999992</v>
      </c>
      <c r="T15" s="7">
        <v>113.47204000000001</v>
      </c>
    </row>
    <row r="16" spans="1:20" x14ac:dyDescent="0.2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24" x14ac:dyDescent="0.2">
      <c r="A17" s="13" t="s">
        <v>16</v>
      </c>
      <c r="B17" s="10">
        <f t="shared" ref="B17:T17" si="4">+B8+B11</f>
        <v>42203</v>
      </c>
      <c r="C17" s="10">
        <f t="shared" si="4"/>
        <v>65988</v>
      </c>
      <c r="D17" s="10">
        <f t="shared" si="4"/>
        <v>27931</v>
      </c>
      <c r="E17" s="10">
        <f t="shared" si="4"/>
        <v>23540.822580000116</v>
      </c>
      <c r="F17" s="10">
        <f t="shared" si="4"/>
        <v>25047.177419999869</v>
      </c>
      <c r="G17" s="10">
        <f t="shared" si="4"/>
        <v>24870</v>
      </c>
      <c r="H17" s="10">
        <f t="shared" si="4"/>
        <v>13064</v>
      </c>
      <c r="I17" s="10">
        <f t="shared" si="4"/>
        <v>22885.97381380439</v>
      </c>
      <c r="J17" s="10">
        <f t="shared" si="4"/>
        <v>43511.401989999998</v>
      </c>
      <c r="K17" s="10">
        <f t="shared" si="4"/>
        <v>90311</v>
      </c>
      <c r="L17" s="10">
        <f t="shared" si="4"/>
        <v>19855.035829999993</v>
      </c>
      <c r="M17" s="10">
        <f t="shared" si="4"/>
        <v>58764</v>
      </c>
      <c r="N17" s="10">
        <f t="shared" si="4"/>
        <v>29557.869439999966</v>
      </c>
      <c r="O17" s="10">
        <f t="shared" si="4"/>
        <v>18299</v>
      </c>
      <c r="P17" s="10">
        <f t="shared" si="4"/>
        <v>12214</v>
      </c>
      <c r="Q17" s="10">
        <f t="shared" si="4"/>
        <v>27006.922940252116</v>
      </c>
      <c r="R17" s="10">
        <f t="shared" si="4"/>
        <v>15650.041952613865</v>
      </c>
      <c r="S17" s="10">
        <f t="shared" si="4"/>
        <v>28396.783656931726</v>
      </c>
      <c r="T17" s="10">
        <f t="shared" si="4"/>
        <v>-2222.6003283354794</v>
      </c>
    </row>
    <row r="18" spans="1:20" x14ac:dyDescent="0.2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x14ac:dyDescent="0.2">
      <c r="A19" s="6" t="s">
        <v>17</v>
      </c>
      <c r="B19" s="7">
        <f>[1]Input!$Y191</f>
        <v>17363</v>
      </c>
      <c r="C19" s="7">
        <v>17649</v>
      </c>
      <c r="D19" s="7">
        <v>11658</v>
      </c>
      <c r="E19" s="7">
        <v>18822</v>
      </c>
      <c r="F19" s="7">
        <v>15261</v>
      </c>
      <c r="G19" s="7">
        <v>18072</v>
      </c>
      <c r="H19" s="7">
        <v>19772</v>
      </c>
      <c r="I19" s="7">
        <v>12121.250069999995</v>
      </c>
      <c r="J19" s="7">
        <v>14778</v>
      </c>
      <c r="K19" s="7">
        <v>13139</v>
      </c>
      <c r="L19" s="7">
        <v>7603.96</v>
      </c>
      <c r="M19" s="7">
        <v>8377</v>
      </c>
      <c r="N19" s="7">
        <v>1089</v>
      </c>
      <c r="O19" s="7">
        <v>388</v>
      </c>
      <c r="P19" s="7">
        <v>711</v>
      </c>
      <c r="Q19" s="7">
        <v>674</v>
      </c>
      <c r="R19" s="7">
        <v>787</v>
      </c>
      <c r="S19" s="7">
        <v>649</v>
      </c>
      <c r="T19" s="7">
        <v>723</v>
      </c>
    </row>
    <row r="20" spans="1:20" x14ac:dyDescent="0.2">
      <c r="A20" s="6" t="s">
        <v>18</v>
      </c>
      <c r="B20" s="7">
        <f>[1]Input!$Y196</f>
        <v>-1162</v>
      </c>
      <c r="C20" s="7">
        <v>-1673</v>
      </c>
      <c r="D20" s="7">
        <v>-4378</v>
      </c>
      <c r="E20" s="7">
        <v>-760</v>
      </c>
      <c r="F20" s="7">
        <v>-923</v>
      </c>
      <c r="G20" s="7">
        <v>-673</v>
      </c>
      <c r="H20" s="7">
        <v>-1867</v>
      </c>
      <c r="I20" s="7">
        <v>-1025.7607600000001</v>
      </c>
      <c r="J20" s="7">
        <v>-616</v>
      </c>
      <c r="K20" s="7">
        <v>-677</v>
      </c>
      <c r="L20" s="7">
        <v>-757.95800000000008</v>
      </c>
      <c r="M20" s="7">
        <v>-1839</v>
      </c>
      <c r="N20" s="7">
        <v>-723</v>
      </c>
      <c r="O20" s="7">
        <v>-25</v>
      </c>
      <c r="P20" s="7">
        <v>-548</v>
      </c>
      <c r="Q20" s="7">
        <v>-554</v>
      </c>
      <c r="R20" s="7">
        <v>-376</v>
      </c>
      <c r="S20" s="7">
        <v>-285</v>
      </c>
      <c r="T20" s="7">
        <v>-179</v>
      </c>
    </row>
    <row r="21" spans="1:20" x14ac:dyDescent="0.2">
      <c r="A21" s="9" t="s">
        <v>19</v>
      </c>
      <c r="B21" s="10">
        <f t="shared" ref="B21:T21" si="5">+B19+B20</f>
        <v>16201</v>
      </c>
      <c r="C21" s="10">
        <f t="shared" si="5"/>
        <v>15976</v>
      </c>
      <c r="D21" s="10">
        <f t="shared" si="5"/>
        <v>7280</v>
      </c>
      <c r="E21" s="10">
        <f t="shared" si="5"/>
        <v>18062</v>
      </c>
      <c r="F21" s="10">
        <f t="shared" si="5"/>
        <v>14338</v>
      </c>
      <c r="G21" s="10">
        <f t="shared" si="5"/>
        <v>17399</v>
      </c>
      <c r="H21" s="10">
        <f t="shared" si="5"/>
        <v>17905</v>
      </c>
      <c r="I21" s="10">
        <f t="shared" si="5"/>
        <v>11095.489309999994</v>
      </c>
      <c r="J21" s="10">
        <f t="shared" si="5"/>
        <v>14162</v>
      </c>
      <c r="K21" s="10">
        <f t="shared" si="5"/>
        <v>12462</v>
      </c>
      <c r="L21" s="10">
        <f t="shared" si="5"/>
        <v>6846.0020000000004</v>
      </c>
      <c r="M21" s="10">
        <f t="shared" si="5"/>
        <v>6538</v>
      </c>
      <c r="N21" s="10">
        <f t="shared" si="5"/>
        <v>366</v>
      </c>
      <c r="O21" s="10">
        <f t="shared" si="5"/>
        <v>363</v>
      </c>
      <c r="P21" s="10">
        <f t="shared" si="5"/>
        <v>163</v>
      </c>
      <c r="Q21" s="10">
        <f t="shared" si="5"/>
        <v>120</v>
      </c>
      <c r="R21" s="10">
        <f t="shared" si="5"/>
        <v>411</v>
      </c>
      <c r="S21" s="10">
        <f t="shared" si="5"/>
        <v>364</v>
      </c>
      <c r="T21" s="10">
        <f t="shared" si="5"/>
        <v>544</v>
      </c>
    </row>
    <row r="22" spans="1:20" x14ac:dyDescent="0.2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24" x14ac:dyDescent="0.2">
      <c r="A23" s="13" t="s">
        <v>20</v>
      </c>
      <c r="B23" s="10">
        <f t="shared" ref="B23:T23" si="6">+B17+B21</f>
        <v>58404</v>
      </c>
      <c r="C23" s="10">
        <f t="shared" si="6"/>
        <v>81964</v>
      </c>
      <c r="D23" s="10">
        <f t="shared" si="6"/>
        <v>35211</v>
      </c>
      <c r="E23" s="10">
        <f t="shared" si="6"/>
        <v>41602.822580000116</v>
      </c>
      <c r="F23" s="10">
        <f t="shared" si="6"/>
        <v>39385.177419999869</v>
      </c>
      <c r="G23" s="10">
        <f t="shared" si="6"/>
        <v>42269</v>
      </c>
      <c r="H23" s="10">
        <f t="shared" si="6"/>
        <v>30969</v>
      </c>
      <c r="I23" s="10">
        <f t="shared" si="6"/>
        <v>33981.46312380438</v>
      </c>
      <c r="J23" s="10">
        <f t="shared" si="6"/>
        <v>57673.401989999998</v>
      </c>
      <c r="K23" s="10">
        <f t="shared" si="6"/>
        <v>102773</v>
      </c>
      <c r="L23" s="10">
        <f t="shared" si="6"/>
        <v>26701.037829999994</v>
      </c>
      <c r="M23" s="10">
        <f t="shared" si="6"/>
        <v>65302</v>
      </c>
      <c r="N23" s="10">
        <f t="shared" si="6"/>
        <v>29923.869439999966</v>
      </c>
      <c r="O23" s="10">
        <f t="shared" si="6"/>
        <v>18662</v>
      </c>
      <c r="P23" s="10">
        <f t="shared" si="6"/>
        <v>12377</v>
      </c>
      <c r="Q23" s="10">
        <f t="shared" si="6"/>
        <v>27126.922940252116</v>
      </c>
      <c r="R23" s="10">
        <f t="shared" si="6"/>
        <v>16061.041952613865</v>
      </c>
      <c r="S23" s="10">
        <f t="shared" si="6"/>
        <v>28760.783656931726</v>
      </c>
      <c r="T23" s="10">
        <f t="shared" si="6"/>
        <v>-1678.6003283354794</v>
      </c>
    </row>
    <row r="24" spans="1:20" x14ac:dyDescent="0.2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">
      <c r="A25" s="6" t="s">
        <v>21</v>
      </c>
      <c r="B25" s="7">
        <f>[1]Input!$Y206</f>
        <v>-5755</v>
      </c>
      <c r="C25" s="7">
        <v>-7878</v>
      </c>
      <c r="D25" s="7">
        <v>-4345</v>
      </c>
      <c r="E25" s="7">
        <v>-6231.007999999998</v>
      </c>
      <c r="F25" s="7">
        <v>-5119.9920000000011</v>
      </c>
      <c r="G25" s="7">
        <v>-6743</v>
      </c>
      <c r="H25" s="7">
        <v>1006</v>
      </c>
      <c r="I25" s="7">
        <v>1384.0717</v>
      </c>
      <c r="J25" s="7">
        <v>-4540</v>
      </c>
      <c r="K25" s="7">
        <v>-4913</v>
      </c>
      <c r="L25" s="7">
        <v>-2534</v>
      </c>
      <c r="M25" s="7">
        <v>-2869</v>
      </c>
      <c r="N25" s="7">
        <v>-1275</v>
      </c>
      <c r="O25" s="7">
        <v>-872</v>
      </c>
      <c r="P25" s="7">
        <v>-1074</v>
      </c>
      <c r="Q25" s="7">
        <v>-622.57232964465902</v>
      </c>
      <c r="R25" s="7">
        <v>173.32313518854824</v>
      </c>
      <c r="S25" s="7">
        <v>-829.33250554388917</v>
      </c>
      <c r="T25" s="7">
        <v>51.968399999999995</v>
      </c>
    </row>
    <row r="26" spans="1:20" x14ac:dyDescent="0.2">
      <c r="A26" s="6" t="s">
        <v>22</v>
      </c>
      <c r="B26" s="7">
        <f>[1]Input!$Y207</f>
        <v>-1161</v>
      </c>
      <c r="C26" s="7">
        <v>-951</v>
      </c>
      <c r="D26" s="7">
        <v>-784</v>
      </c>
      <c r="E26" s="7">
        <v>-552.82699999999966</v>
      </c>
      <c r="F26" s="7">
        <v>-70.190000000000396</v>
      </c>
      <c r="G26" s="7">
        <v>149</v>
      </c>
      <c r="H26" s="7">
        <v>-5756</v>
      </c>
      <c r="I26" s="7">
        <v>-4982.5309499999967</v>
      </c>
      <c r="J26" s="7">
        <v>145</v>
      </c>
      <c r="K26" s="7">
        <v>-1544</v>
      </c>
      <c r="L26" s="7">
        <v>158</v>
      </c>
      <c r="M26" s="7">
        <v>-363</v>
      </c>
      <c r="N26" s="7">
        <v>-721</v>
      </c>
      <c r="O26" s="7">
        <v>-169</v>
      </c>
      <c r="P26" s="7">
        <v>-91</v>
      </c>
      <c r="Q26" s="7">
        <v>-1496.5190099999998</v>
      </c>
      <c r="R26" s="7">
        <v>-1293.58429</v>
      </c>
      <c r="S26" s="7">
        <v>-1079.6543400000003</v>
      </c>
      <c r="T26" s="7">
        <v>-499.13588999999996</v>
      </c>
    </row>
    <row r="27" spans="1:20" x14ac:dyDescent="0.2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24" x14ac:dyDescent="0.2">
      <c r="A28" s="13" t="s">
        <v>26</v>
      </c>
      <c r="B28" s="10">
        <f t="shared" ref="B28:T28" si="7">+B23+B25+B26</f>
        <v>51488</v>
      </c>
      <c r="C28" s="10">
        <f t="shared" si="7"/>
        <v>73135</v>
      </c>
      <c r="D28" s="10">
        <f t="shared" si="7"/>
        <v>30082</v>
      </c>
      <c r="E28" s="10">
        <f t="shared" si="7"/>
        <v>34818.987580000125</v>
      </c>
      <c r="F28" s="10">
        <f t="shared" si="7"/>
        <v>34194.995419999868</v>
      </c>
      <c r="G28" s="10">
        <f t="shared" si="7"/>
        <v>35675</v>
      </c>
      <c r="H28" s="10">
        <f t="shared" si="7"/>
        <v>26219</v>
      </c>
      <c r="I28" s="10">
        <f t="shared" si="7"/>
        <v>30383.003873804384</v>
      </c>
      <c r="J28" s="10">
        <f t="shared" si="7"/>
        <v>53278.401989999998</v>
      </c>
      <c r="K28" s="10">
        <f t="shared" si="7"/>
        <v>96316</v>
      </c>
      <c r="L28" s="10">
        <f t="shared" si="7"/>
        <v>24325.037829999994</v>
      </c>
      <c r="M28" s="10">
        <f t="shared" si="7"/>
        <v>62070</v>
      </c>
      <c r="N28" s="10">
        <f t="shared" si="7"/>
        <v>27927.869439999966</v>
      </c>
      <c r="O28" s="10">
        <f t="shared" si="7"/>
        <v>17621</v>
      </c>
      <c r="P28" s="10">
        <f t="shared" si="7"/>
        <v>11212</v>
      </c>
      <c r="Q28" s="10">
        <f t="shared" si="7"/>
        <v>25007.831600607456</v>
      </c>
      <c r="R28" s="10">
        <f t="shared" si="7"/>
        <v>14940.780797802412</v>
      </c>
      <c r="S28" s="10">
        <f t="shared" si="7"/>
        <v>26851.796811387834</v>
      </c>
      <c r="T28" s="10">
        <f t="shared" si="7"/>
        <v>-2125.7678183354792</v>
      </c>
    </row>
    <row r="29" spans="1:20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4" t="s">
        <v>25</v>
      </c>
      <c r="B30" s="7">
        <f>[1]Input!$Y211</f>
        <v>-2923</v>
      </c>
      <c r="C30" s="7">
        <v>-4002</v>
      </c>
      <c r="D30" s="7">
        <v>-4473</v>
      </c>
      <c r="E30" s="7">
        <v>-2352.0600793444992</v>
      </c>
      <c r="F30" s="7">
        <v>-6574.9399206554799</v>
      </c>
      <c r="G30" s="7">
        <v>-1953</v>
      </c>
      <c r="H30" s="7">
        <v>-5139</v>
      </c>
      <c r="I30" s="7">
        <v>-5878.9316319244354</v>
      </c>
      <c r="J30" s="7">
        <v>-7644</v>
      </c>
      <c r="K30" s="7">
        <v>-5774</v>
      </c>
      <c r="L30" s="7">
        <v>-7272</v>
      </c>
      <c r="M30" s="7">
        <v>-8643</v>
      </c>
      <c r="N30" s="7">
        <v>-10287</v>
      </c>
      <c r="O30" s="7">
        <v>-4165</v>
      </c>
      <c r="P30" s="7">
        <v>-2213</v>
      </c>
      <c r="Q30" s="7">
        <v>-5351.4751734467191</v>
      </c>
      <c r="R30" s="7">
        <v>-4340.4098292575563</v>
      </c>
      <c r="S30" s="7">
        <v>-3658.4439914855666</v>
      </c>
      <c r="T30" s="7">
        <v>-135.18280394951591</v>
      </c>
    </row>
    <row r="31" spans="1:20" x14ac:dyDescent="0.2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8"/>
      <c r="Q31" s="7"/>
      <c r="R31" s="7"/>
      <c r="S31" s="7"/>
      <c r="T31" s="8"/>
    </row>
    <row r="32" spans="1:20" ht="24.75" thickBot="1" x14ac:dyDescent="0.25">
      <c r="A32" s="19" t="s">
        <v>27</v>
      </c>
      <c r="B32" s="20">
        <f t="shared" ref="B32:T32" si="8">+B28+B30</f>
        <v>48565</v>
      </c>
      <c r="C32" s="20">
        <f t="shared" si="8"/>
        <v>69133</v>
      </c>
      <c r="D32" s="20">
        <f t="shared" si="8"/>
        <v>25609</v>
      </c>
      <c r="E32" s="20">
        <f t="shared" si="8"/>
        <v>32466.927500655627</v>
      </c>
      <c r="F32" s="20">
        <f t="shared" si="8"/>
        <v>27620.055499344387</v>
      </c>
      <c r="G32" s="20">
        <f t="shared" si="8"/>
        <v>33722</v>
      </c>
      <c r="H32" s="20">
        <f t="shared" si="8"/>
        <v>21080</v>
      </c>
      <c r="I32" s="20">
        <f t="shared" si="8"/>
        <v>24504.072241879949</v>
      </c>
      <c r="J32" s="20">
        <f t="shared" si="8"/>
        <v>45634.401989999998</v>
      </c>
      <c r="K32" s="20">
        <f t="shared" si="8"/>
        <v>90542</v>
      </c>
      <c r="L32" s="20">
        <f t="shared" si="8"/>
        <v>17053.037829999994</v>
      </c>
      <c r="M32" s="20">
        <f t="shared" si="8"/>
        <v>53427</v>
      </c>
      <c r="N32" s="20">
        <f t="shared" si="8"/>
        <v>17640.869439999966</v>
      </c>
      <c r="O32" s="20">
        <f t="shared" si="8"/>
        <v>13456</v>
      </c>
      <c r="P32" s="20">
        <f t="shared" si="8"/>
        <v>8999</v>
      </c>
      <c r="Q32" s="20">
        <f t="shared" si="8"/>
        <v>19656.356427160739</v>
      </c>
      <c r="R32" s="20">
        <f t="shared" si="8"/>
        <v>10600.370968544856</v>
      </c>
      <c r="S32" s="20">
        <f t="shared" si="8"/>
        <v>23193.352819902269</v>
      </c>
      <c r="T32" s="20">
        <f t="shared" si="8"/>
        <v>-2260.950622284995</v>
      </c>
    </row>
    <row r="33" spans="1:20" ht="13.5" thickTop="1" thickBot="1" x14ac:dyDescent="0.25">
      <c r="A33" s="11" t="s">
        <v>269</v>
      </c>
      <c r="B33" s="12">
        <f t="shared" ref="B33:T33" si="9">+B32/B6</f>
        <v>0.23692555371255733</v>
      </c>
      <c r="C33" s="12">
        <f t="shared" si="9"/>
        <v>0.24383129708529669</v>
      </c>
      <c r="D33" s="12">
        <f t="shared" si="9"/>
        <v>0.16089592561178651</v>
      </c>
      <c r="E33" s="12">
        <f t="shared" si="9"/>
        <v>0.22049147576608488</v>
      </c>
      <c r="F33" s="12">
        <f t="shared" si="9"/>
        <v>0.21441977294858255</v>
      </c>
      <c r="G33" s="12">
        <f t="shared" si="9"/>
        <v>0.18765302942616749</v>
      </c>
      <c r="H33" s="12">
        <f t="shared" si="9"/>
        <v>0.21172736586247765</v>
      </c>
      <c r="I33" s="12">
        <f t="shared" si="9"/>
        <v>0.22430033156975143</v>
      </c>
      <c r="J33" s="12">
        <f t="shared" si="9"/>
        <v>0.30559842755544842</v>
      </c>
      <c r="K33" s="12">
        <f t="shared" si="9"/>
        <v>0.34788656090185699</v>
      </c>
      <c r="L33" s="12">
        <f t="shared" si="9"/>
        <v>0.18857314757509597</v>
      </c>
      <c r="M33" s="12">
        <f t="shared" si="9"/>
        <v>0.29836151629548552</v>
      </c>
      <c r="N33" s="12">
        <f t="shared" si="9"/>
        <v>0.20347941047077006</v>
      </c>
      <c r="O33" s="12">
        <f t="shared" si="9"/>
        <v>0.26240761325298856</v>
      </c>
      <c r="P33" s="12">
        <f t="shared" si="9"/>
        <v>0.2119206857573474</v>
      </c>
      <c r="Q33" s="12">
        <f t="shared" si="9"/>
        <v>0.19689110656439182</v>
      </c>
      <c r="R33" s="12">
        <f t="shared" si="9"/>
        <v>0.21207528346160484</v>
      </c>
      <c r="S33" s="12">
        <f t="shared" si="9"/>
        <v>0.22785968643980092</v>
      </c>
      <c r="T33" s="12">
        <f t="shared" si="9"/>
        <v>-0.13640836352704755</v>
      </c>
    </row>
    <row r="34" spans="1:20" ht="12.75" thickTop="1" x14ac:dyDescent="0.2">
      <c r="Q34" s="26"/>
      <c r="R34" s="26"/>
    </row>
    <row r="36" spans="1:20" x14ac:dyDescent="0.2">
      <c r="A36" s="5" t="s">
        <v>335</v>
      </c>
      <c r="B36" s="3" t="str">
        <f>B5</f>
        <v>3T23</v>
      </c>
      <c r="C36" s="3" t="str">
        <f>C5</f>
        <v>2T23</v>
      </c>
      <c r="D36" s="3" t="str">
        <f>D5</f>
        <v>1T23</v>
      </c>
      <c r="E36" s="3" t="str">
        <f>E5</f>
        <v>4T22</v>
      </c>
      <c r="F36" s="3" t="str">
        <f>F5</f>
        <v>3T22</v>
      </c>
      <c r="G36" s="3" t="str">
        <f t="shared" ref="G36:T36" si="10">G5</f>
        <v>2T22</v>
      </c>
      <c r="H36" s="3" t="str">
        <f t="shared" si="10"/>
        <v>1T22</v>
      </c>
      <c r="I36" s="3" t="str">
        <f t="shared" si="10"/>
        <v>4T21</v>
      </c>
      <c r="J36" s="3" t="str">
        <f t="shared" si="10"/>
        <v>3T21</v>
      </c>
      <c r="K36" s="3" t="str">
        <f t="shared" si="10"/>
        <v>2T21</v>
      </c>
      <c r="L36" s="3" t="str">
        <f t="shared" si="10"/>
        <v>1T21</v>
      </c>
      <c r="M36" s="3" t="str">
        <f t="shared" si="10"/>
        <v>4T20</v>
      </c>
      <c r="N36" s="3" t="str">
        <f t="shared" si="10"/>
        <v>3T20</v>
      </c>
      <c r="O36" s="3" t="str">
        <f t="shared" si="10"/>
        <v>2T20</v>
      </c>
      <c r="P36" s="3" t="str">
        <f t="shared" si="10"/>
        <v>1T20</v>
      </c>
      <c r="Q36" s="3" t="str">
        <f t="shared" si="10"/>
        <v>4T19</v>
      </c>
      <c r="R36" s="3" t="str">
        <f t="shared" si="10"/>
        <v>3T19</v>
      </c>
      <c r="S36" s="3" t="str">
        <f t="shared" si="10"/>
        <v>2T19</v>
      </c>
      <c r="T36" s="3" t="str">
        <f t="shared" si="10"/>
        <v>1T19</v>
      </c>
    </row>
    <row r="37" spans="1:20" x14ac:dyDescent="0.2">
      <c r="A37" s="1" t="s">
        <v>336</v>
      </c>
      <c r="B37" s="7">
        <f>[1]Input!$Y293</f>
        <v>1303463.0592</v>
      </c>
      <c r="C37" s="32">
        <v>1322068.8384</v>
      </c>
      <c r="D37" s="32">
        <v>1217673.3887999998</v>
      </c>
      <c r="E37" s="32">
        <v>1154103.7248</v>
      </c>
      <c r="F37" s="32">
        <v>1086096.1833993318</v>
      </c>
      <c r="G37" s="32">
        <v>1044026.8762923634</v>
      </c>
      <c r="H37" s="32">
        <v>786875.28352889954</v>
      </c>
      <c r="I37" s="32">
        <v>724778</v>
      </c>
      <c r="J37" s="32">
        <v>681206</v>
      </c>
      <c r="K37" s="32">
        <v>604003.29581454047</v>
      </c>
      <c r="L37" s="32">
        <v>378002.37060298701</v>
      </c>
      <c r="M37" s="32">
        <v>380618</v>
      </c>
      <c r="N37" s="32">
        <v>207271</v>
      </c>
      <c r="O37" s="32">
        <v>253210</v>
      </c>
      <c r="P37" s="32">
        <v>295690</v>
      </c>
      <c r="Q37" s="32">
        <v>316138</v>
      </c>
      <c r="R37" s="32">
        <v>275804</v>
      </c>
      <c r="S37" s="32">
        <v>285636</v>
      </c>
      <c r="T37" s="32">
        <v>174473.61320136843</v>
      </c>
    </row>
    <row r="38" spans="1:20" x14ac:dyDescent="0.2">
      <c r="A38" s="1" t="s">
        <v>337</v>
      </c>
      <c r="B38" s="7">
        <f>[1]Input!$Y294</f>
        <v>454797.05920000002</v>
      </c>
      <c r="C38" s="32">
        <v>454668.83840000001</v>
      </c>
      <c r="D38" s="32">
        <v>420568.38879999984</v>
      </c>
      <c r="E38" s="32">
        <v>404842.72479999997</v>
      </c>
      <c r="F38" s="32">
        <v>376409.3974068953</v>
      </c>
      <c r="G38" s="32">
        <v>355821.4306932289</v>
      </c>
      <c r="H38" s="32">
        <v>284124.86114508443</v>
      </c>
      <c r="I38" s="32">
        <v>269966.54106736387</v>
      </c>
      <c r="J38" s="32">
        <v>257425</v>
      </c>
      <c r="K38" s="32">
        <v>229749.26956866198</v>
      </c>
      <c r="L38" s="32">
        <v>138920.78554525704</v>
      </c>
      <c r="M38" s="32">
        <v>140843</v>
      </c>
      <c r="N38" s="32">
        <v>76921</v>
      </c>
      <c r="O38" s="32">
        <v>92563</v>
      </c>
      <c r="P38" s="32">
        <v>107084</v>
      </c>
      <c r="Q38" s="32">
        <v>114914</v>
      </c>
      <c r="R38" s="32">
        <v>101097</v>
      </c>
      <c r="S38" s="32">
        <v>104962</v>
      </c>
      <c r="T38" s="32">
        <v>62560.156097464424</v>
      </c>
    </row>
    <row r="39" spans="1:20" ht="12.75" thickBot="1" x14ac:dyDescent="0.25">
      <c r="A39" s="31" t="s">
        <v>338</v>
      </c>
      <c r="B39" s="33">
        <f t="shared" ref="B39:T39" si="11">+B38/B37</f>
        <v>0.34891442146364438</v>
      </c>
      <c r="C39" s="33">
        <f t="shared" si="11"/>
        <v>0.34390708349971499</v>
      </c>
      <c r="D39" s="33">
        <f t="shared" si="11"/>
        <v>0.34538686044084788</v>
      </c>
      <c r="E39" s="33">
        <f t="shared" si="11"/>
        <v>0.35078538964958028</v>
      </c>
      <c r="F39" s="33">
        <f t="shared" si="11"/>
        <v>0.34657096043628993</v>
      </c>
      <c r="G39" s="33">
        <f t="shared" si="11"/>
        <v>0.34081635135376215</v>
      </c>
      <c r="H39" s="33">
        <f t="shared" si="11"/>
        <v>0.36107991582969756</v>
      </c>
      <c r="I39" s="33">
        <f t="shared" si="11"/>
        <v>0.37248169931670644</v>
      </c>
      <c r="J39" s="33">
        <f t="shared" si="11"/>
        <v>0.37789596685877691</v>
      </c>
      <c r="K39" s="33">
        <f t="shared" si="11"/>
        <v>0.38037750979293766</v>
      </c>
      <c r="L39" s="33">
        <f t="shared" si="11"/>
        <v>0.36751300084084521</v>
      </c>
      <c r="M39" s="33">
        <f t="shared" si="11"/>
        <v>0.37003767556973133</v>
      </c>
      <c r="N39" s="33">
        <f t="shared" si="11"/>
        <v>0.37111318032913432</v>
      </c>
      <c r="O39" s="33">
        <f t="shared" si="11"/>
        <v>0.36555823229730261</v>
      </c>
      <c r="P39" s="33">
        <f t="shared" si="11"/>
        <v>0.36214954851364606</v>
      </c>
      <c r="Q39" s="33">
        <f t="shared" si="11"/>
        <v>0.36349315805123078</v>
      </c>
      <c r="R39" s="33">
        <f t="shared" si="11"/>
        <v>0.36655378457165233</v>
      </c>
      <c r="S39" s="33">
        <f t="shared" si="11"/>
        <v>0.367467686146004</v>
      </c>
      <c r="T39" s="33">
        <f t="shared" si="11"/>
        <v>0.3585651431730294</v>
      </c>
    </row>
    <row r="40" spans="1:20" ht="12.75" thickTop="1" x14ac:dyDescent="0.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FE9B-71CA-47D7-BAC9-1A7370593690}">
  <sheetPr>
    <tabColor rgb="FFC8A74B"/>
  </sheetPr>
  <dimension ref="A1:V25"/>
  <sheetViews>
    <sheetView showGridLines="0" zoomScaleNormal="100" workbookViewId="0"/>
  </sheetViews>
  <sheetFormatPr defaultColWidth="0" defaultRowHeight="12" x14ac:dyDescent="0.2"/>
  <cols>
    <col min="1" max="1" width="40.28515625" style="1" bestFit="1" customWidth="1"/>
    <col min="2" max="7" width="8.85546875" style="1" customWidth="1"/>
    <col min="8" max="8" width="8.85546875" style="2" customWidth="1"/>
    <col min="9" max="9" width="10.42578125" style="2" customWidth="1"/>
    <col min="10" max="20" width="8.85546875" style="2" customWidth="1"/>
    <col min="21" max="21" width="8.85546875" style="1" customWidth="1"/>
    <col min="22" max="22" width="8.85546875" style="1" hidden="1" customWidth="1"/>
    <col min="23" max="16384" width="8.85546875" style="1" hidden="1"/>
  </cols>
  <sheetData>
    <row r="1" spans="1:22" ht="15" x14ac:dyDescent="0.25">
      <c r="B1"/>
      <c r="C1"/>
      <c r="D1"/>
      <c r="E1"/>
      <c r="F1" s="35"/>
      <c r="G1" s="35"/>
      <c r="H1" s="35"/>
      <c r="I1" s="35"/>
      <c r="J1" s="35"/>
      <c r="K1" s="34"/>
      <c r="L1" s="34"/>
      <c r="M1" s="34"/>
      <c r="N1" s="34"/>
      <c r="O1" s="34"/>
      <c r="P1" s="34"/>
    </row>
    <row r="2" spans="1:22" ht="15" x14ac:dyDescent="0.25">
      <c r="A2"/>
      <c r="B2"/>
      <c r="C2"/>
      <c r="D2"/>
      <c r="E2"/>
      <c r="F2"/>
      <c r="G2"/>
      <c r="O2" s="26"/>
      <c r="R2" s="26"/>
    </row>
    <row r="3" spans="1:22" x14ac:dyDescent="0.2">
      <c r="H3" s="25"/>
      <c r="I3" s="25"/>
      <c r="J3" s="25"/>
      <c r="K3" s="25"/>
      <c r="L3" s="25"/>
      <c r="M3" s="25"/>
      <c r="N3" s="25"/>
      <c r="Q3" s="26"/>
      <c r="R3" s="25"/>
    </row>
    <row r="5" spans="1:22" x14ac:dyDescent="0.2">
      <c r="A5" s="5" t="s">
        <v>385</v>
      </c>
      <c r="B5" s="3" t="s">
        <v>380</v>
      </c>
      <c r="C5" s="3" t="s">
        <v>370</v>
      </c>
      <c r="D5" s="3" t="s">
        <v>368</v>
      </c>
      <c r="E5" s="3" t="s">
        <v>354</v>
      </c>
      <c r="F5" s="3" t="s">
        <v>331</v>
      </c>
      <c r="G5" s="3" t="s">
        <v>325</v>
      </c>
      <c r="H5" s="3" t="s">
        <v>309</v>
      </c>
      <c r="I5" s="3" t="s">
        <v>304</v>
      </c>
      <c r="J5" s="3" t="s">
        <v>296</v>
      </c>
      <c r="K5" s="3" t="s">
        <v>288</v>
      </c>
      <c r="L5" s="3" t="s">
        <v>286</v>
      </c>
      <c r="M5" s="3" t="s">
        <v>277</v>
      </c>
      <c r="N5" s="3" t="s">
        <v>2</v>
      </c>
      <c r="O5" s="3" t="s">
        <v>1</v>
      </c>
      <c r="P5" s="3" t="s">
        <v>4</v>
      </c>
      <c r="Q5" s="3" t="s">
        <v>3</v>
      </c>
      <c r="R5" s="3" t="s">
        <v>5</v>
      </c>
      <c r="S5" s="3" t="s">
        <v>6</v>
      </c>
      <c r="T5" s="3" t="s">
        <v>7</v>
      </c>
    </row>
    <row r="6" spans="1:22" x14ac:dyDescent="0.2">
      <c r="A6" s="46" t="s">
        <v>383</v>
      </c>
      <c r="B6" s="39">
        <f>DRE!B8</f>
        <v>68898</v>
      </c>
      <c r="C6" s="39">
        <f>DRE!C8</f>
        <v>93331</v>
      </c>
      <c r="D6" s="39">
        <f>DRE!D8</f>
        <v>49225</v>
      </c>
      <c r="E6" s="39">
        <f>DRE!E8</f>
        <v>50724.147000000114</v>
      </c>
      <c r="F6" s="39">
        <f>DRE!F8</f>
        <v>48481.852999999872</v>
      </c>
      <c r="G6" s="39">
        <f>DRE!G8</f>
        <v>53126</v>
      </c>
      <c r="H6" s="39">
        <f>DRE!H8</f>
        <v>34007</v>
      </c>
      <c r="I6" s="39">
        <f>DRE!I8</f>
        <v>42967.705389999988</v>
      </c>
      <c r="J6" s="39">
        <f>DRE!J8</f>
        <v>64587</v>
      </c>
      <c r="K6" s="39">
        <f>DRE!K8</f>
        <v>109619</v>
      </c>
      <c r="L6" s="39">
        <f>DRE!L8</f>
        <v>36545.897999999994</v>
      </c>
      <c r="M6" s="39">
        <f>DRE!M8</f>
        <v>71859</v>
      </c>
      <c r="N6" s="39">
        <f>DRE!N8</f>
        <v>39394.869439999966</v>
      </c>
      <c r="O6" s="39">
        <f>DRE!O8</f>
        <v>21588</v>
      </c>
      <c r="P6" s="39">
        <f>DRE!P8</f>
        <v>16949</v>
      </c>
      <c r="Q6" s="39">
        <f>DRE!Q8</f>
        <v>32323.82462507172</v>
      </c>
      <c r="R6" s="39">
        <f>DRE!R8</f>
        <v>19431.797692613865</v>
      </c>
      <c r="S6" s="39">
        <f>DRE!S8</f>
        <v>35383.042196526963</v>
      </c>
      <c r="T6" s="39">
        <f>DRE!T8</f>
        <v>3028.927620000004</v>
      </c>
    </row>
    <row r="7" spans="1:22" x14ac:dyDescent="0.2">
      <c r="A7" s="47" t="s">
        <v>382</v>
      </c>
      <c r="B7" s="38">
        <f>B6/DRE!B6</f>
        <v>0.33612059713142745</v>
      </c>
      <c r="C7" s="38">
        <f>C6/DRE!C6</f>
        <v>0.32917736519849894</v>
      </c>
      <c r="D7" s="38">
        <f>D6/DRE!D6</f>
        <v>0.30927025413878678</v>
      </c>
      <c r="E7" s="38">
        <f>E6/DRE!E6</f>
        <v>0.34448107320226101</v>
      </c>
      <c r="F7" s="38">
        <f>F6/DRE!F6</f>
        <v>0.37637389659239762</v>
      </c>
      <c r="G7" s="38">
        <f>G6/DRE!G6</f>
        <v>0.29563059252993812</v>
      </c>
      <c r="H7" s="38">
        <f>H6/DRE!H6</f>
        <v>0.3415660593399088</v>
      </c>
      <c r="I7" s="38">
        <f>I6/DRE!I6</f>
        <v>0.39330893537346967</v>
      </c>
      <c r="J7" s="38">
        <f>J6/DRE!J6</f>
        <v>0.43251767920282869</v>
      </c>
      <c r="K7" s="38">
        <f>K6/DRE!K6</f>
        <v>0.42118549313578957</v>
      </c>
      <c r="L7" s="38">
        <f>L6/DRE!L6</f>
        <v>0.40412594433436533</v>
      </c>
      <c r="M7" s="38">
        <f>M6/DRE!M6</f>
        <v>0.40129448030915632</v>
      </c>
      <c r="N7" s="38">
        <f>N6/DRE!N6</f>
        <v>0.45440191235972122</v>
      </c>
      <c r="O7" s="38">
        <f>O6/DRE!O6</f>
        <v>0.42099104896741357</v>
      </c>
      <c r="P7" s="38">
        <f>P6/DRE!P6</f>
        <v>0.39913809344385831</v>
      </c>
      <c r="Q7" s="38">
        <f>Q6/DRE!Q6</f>
        <v>0.32377687199595595</v>
      </c>
      <c r="R7" s="38">
        <f>R6/DRE!R6</f>
        <v>0.38876035716657059</v>
      </c>
      <c r="S7" s="38">
        <f>S6/DRE!S6</f>
        <v>0.34761549840558376</v>
      </c>
      <c r="T7" s="38">
        <f>T6/DRE!T6</f>
        <v>0.18274218632360512</v>
      </c>
    </row>
    <row r="8" spans="1:22" x14ac:dyDescent="0.2">
      <c r="A8" s="47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</row>
    <row r="9" spans="1:22" x14ac:dyDescent="0.2">
      <c r="A9" s="53" t="s">
        <v>389</v>
      </c>
      <c r="B9" s="57">
        <f>INDEX([1]Input!$230:$230,MATCH(B$5,[1]Input!$3:$3,0))</f>
        <v>2793</v>
      </c>
      <c r="C9" s="57">
        <f>INDEX([1]Input!$230:$230,MATCH(C$5,[1]Input!$3:$3,0))</f>
        <v>1007</v>
      </c>
      <c r="D9" s="57">
        <f>INDEX([1]Input!$230:$230,MATCH(D$5,[1]Input!$3:$3,0))</f>
        <v>1142</v>
      </c>
      <c r="E9" s="57">
        <f>INDEX([1]Input!$230:$230,MATCH(E$5,[1]Input!$3:$3,0))</f>
        <v>331</v>
      </c>
      <c r="F9" s="57">
        <f>INDEX([1]Input!$230:$230,MATCH(F$5,[1]Input!$3:$3,0))</f>
        <v>26</v>
      </c>
      <c r="G9" s="57">
        <f>INDEX([1]Input!$230:$230,MATCH(G$5,[1]Input!$3:$3,0))</f>
        <v>88</v>
      </c>
      <c r="H9" s="57">
        <f>INDEX([1]Input!$230:$230,MATCH(H$5,[1]Input!$3:$3,0))</f>
        <v>31</v>
      </c>
      <c r="I9" s="57">
        <f>INDEX([1]Input!$230:$230,MATCH(I$5,[1]Input!$3:$3,0))</f>
        <v>768</v>
      </c>
      <c r="J9" s="57">
        <f>INDEX([1]Input!$230:$230,MATCH(J$5,[1]Input!$3:$3,0))</f>
        <v>459</v>
      </c>
      <c r="K9" s="57">
        <f>INDEX([1]Input!$230:$230,MATCH(K$5,[1]Input!$3:$3,0))</f>
        <v>1586</v>
      </c>
      <c r="L9" s="57">
        <f>INDEX([1]Input!$230:$230,MATCH(L$5,[1]Input!$3:$3,0))</f>
        <v>133</v>
      </c>
      <c r="M9" s="57">
        <f>INDEX([1]Input!$230:$230,MATCH(M$5,[1]Input!$3:$3,0))</f>
        <v>507</v>
      </c>
      <c r="N9" s="57">
        <f>INDEX([1]Input!$230:$230,MATCH(N$5,[1]Input!$3:$3,0))</f>
        <v>0</v>
      </c>
      <c r="O9" s="57">
        <f>INDEX([1]Input!$230:$230,MATCH(O$5,[1]Input!$3:$3,0))</f>
        <v>0</v>
      </c>
      <c r="P9" s="57">
        <f>INDEX([1]Input!$230:$230,MATCH(P$5,[1]Input!$3:$3,0))</f>
        <v>0</v>
      </c>
      <c r="Q9" s="57">
        <f>INDEX([1]Input!$230:$230,MATCH(Q$5,[1]Input!$3:$3,0))</f>
        <v>0</v>
      </c>
      <c r="R9" s="57">
        <f>INDEX([1]Input!$230:$230,MATCH(R$5,[1]Input!$3:$3,0))</f>
        <v>0</v>
      </c>
      <c r="S9" s="57">
        <f>INDEX([1]Input!$230:$230,MATCH(S$5,[1]Input!$3:$3,0))</f>
        <v>0</v>
      </c>
      <c r="T9" s="57">
        <f>INDEX([1]Input!$230:$230,MATCH(T$5,[1]Input!$3:$3,0))</f>
        <v>0</v>
      </c>
    </row>
    <row r="10" spans="1:22" x14ac:dyDescent="0.2">
      <c r="A10" s="46" t="s">
        <v>415</v>
      </c>
      <c r="B10" s="44">
        <f>B6+B9</f>
        <v>71691</v>
      </c>
      <c r="C10" s="44">
        <f t="shared" ref="C10:T10" si="0">C6+C9</f>
        <v>94338</v>
      </c>
      <c r="D10" s="44">
        <f t="shared" si="0"/>
        <v>50367</v>
      </c>
      <c r="E10" s="44">
        <f t="shared" si="0"/>
        <v>51055.147000000114</v>
      </c>
      <c r="F10" s="44">
        <f t="shared" si="0"/>
        <v>48507.852999999872</v>
      </c>
      <c r="G10" s="44">
        <f t="shared" si="0"/>
        <v>53214</v>
      </c>
      <c r="H10" s="44">
        <f t="shared" si="0"/>
        <v>34038</v>
      </c>
      <c r="I10" s="44">
        <f t="shared" si="0"/>
        <v>43735.705389999988</v>
      </c>
      <c r="J10" s="44">
        <f t="shared" si="0"/>
        <v>65046</v>
      </c>
      <c r="K10" s="44">
        <f t="shared" si="0"/>
        <v>111205</v>
      </c>
      <c r="L10" s="44">
        <f t="shared" si="0"/>
        <v>36678.897999999994</v>
      </c>
      <c r="M10" s="44">
        <f t="shared" si="0"/>
        <v>72366</v>
      </c>
      <c r="N10" s="44">
        <f t="shared" si="0"/>
        <v>39394.869439999966</v>
      </c>
      <c r="O10" s="44">
        <f t="shared" si="0"/>
        <v>21588</v>
      </c>
      <c r="P10" s="44">
        <f t="shared" si="0"/>
        <v>16949</v>
      </c>
      <c r="Q10" s="44">
        <f t="shared" si="0"/>
        <v>32323.82462507172</v>
      </c>
      <c r="R10" s="44">
        <f t="shared" si="0"/>
        <v>19431.797692613865</v>
      </c>
      <c r="S10" s="44">
        <f t="shared" si="0"/>
        <v>35383.042196526963</v>
      </c>
      <c r="T10" s="44">
        <f t="shared" si="0"/>
        <v>3028.927620000004</v>
      </c>
    </row>
    <row r="11" spans="1:22" x14ac:dyDescent="0.2">
      <c r="A11" s="47" t="s">
        <v>416</v>
      </c>
      <c r="B11" s="38">
        <f>B10/DRE!B6</f>
        <v>0.34974631671382572</v>
      </c>
      <c r="C11" s="38">
        <f>C10/DRE!C6</f>
        <v>0.33272904263423719</v>
      </c>
      <c r="D11" s="38">
        <f>D10/DRE!D6</f>
        <v>0.31644519837904062</v>
      </c>
      <c r="E11" s="38">
        <f>E10/DRE!E6</f>
        <v>0.34672898158463261</v>
      </c>
      <c r="F11" s="38">
        <f>F10/DRE!F6</f>
        <v>0.3765757395646826</v>
      </c>
      <c r="G11" s="38">
        <f>G10/DRE!G6</f>
        <v>0.29612028669367402</v>
      </c>
      <c r="H11" s="38">
        <f>H10/DRE!H6</f>
        <v>0.34187742311323599</v>
      </c>
      <c r="I11" s="38">
        <f>I10/DRE!I6</f>
        <v>0.40033889565701614</v>
      </c>
      <c r="J11" s="38">
        <f>J10/DRE!J6</f>
        <v>0.43559144969463193</v>
      </c>
      <c r="K11" s="38">
        <f>K10/DRE!K6</f>
        <v>0.42727932898644833</v>
      </c>
      <c r="L11" s="38">
        <f>L10/DRE!L6</f>
        <v>0.40559666344479656</v>
      </c>
      <c r="M11" s="38">
        <f>M10/DRE!M6</f>
        <v>0.40412580695601669</v>
      </c>
      <c r="N11" s="38">
        <f>N10/DRE!N6</f>
        <v>0.45440191235972122</v>
      </c>
      <c r="O11" s="38">
        <f>O10/DRE!O6</f>
        <v>0.42099104896741357</v>
      </c>
      <c r="P11" s="38">
        <f>P10/DRE!P6</f>
        <v>0.39913809344385831</v>
      </c>
      <c r="Q11" s="38">
        <f>Q10/DRE!Q6</f>
        <v>0.32377687199595595</v>
      </c>
      <c r="R11" s="38">
        <f>R10/DRE!R6</f>
        <v>0.38876035716657059</v>
      </c>
      <c r="S11" s="38">
        <f>S10/DRE!S6</f>
        <v>0.34761549840558376</v>
      </c>
      <c r="T11" s="38">
        <f>T10/DRE!T6</f>
        <v>0.18274218632360512</v>
      </c>
    </row>
    <row r="12" spans="1:22" x14ac:dyDescent="0.2">
      <c r="A12" s="6"/>
    </row>
    <row r="13" spans="1:22" x14ac:dyDescent="0.2">
      <c r="A13" s="6" t="s">
        <v>384</v>
      </c>
      <c r="B13" s="8">
        <f>DRE!B17</f>
        <v>42203</v>
      </c>
      <c r="C13" s="8">
        <f>DRE!C17</f>
        <v>65988</v>
      </c>
      <c r="D13" s="8">
        <f>DRE!D17</f>
        <v>27931</v>
      </c>
      <c r="E13" s="8">
        <f>DRE!E17</f>
        <v>23540.822580000116</v>
      </c>
      <c r="F13" s="8">
        <f>DRE!F17</f>
        <v>25047.177419999869</v>
      </c>
      <c r="G13" s="8">
        <f>DRE!G17</f>
        <v>24870</v>
      </c>
      <c r="H13" s="8">
        <f>DRE!H17</f>
        <v>13064</v>
      </c>
      <c r="I13" s="8">
        <f>DRE!I17</f>
        <v>22885.97381380439</v>
      </c>
      <c r="J13" s="8">
        <f>DRE!J17</f>
        <v>43511.401989999998</v>
      </c>
      <c r="K13" s="8">
        <f>DRE!K17</f>
        <v>90311</v>
      </c>
      <c r="L13" s="8">
        <f>DRE!L17</f>
        <v>19855.035829999993</v>
      </c>
      <c r="M13" s="8">
        <f>DRE!M17</f>
        <v>58764</v>
      </c>
      <c r="N13" s="8">
        <f>DRE!N17</f>
        <v>29557.869439999966</v>
      </c>
      <c r="O13" s="8">
        <f>DRE!O17</f>
        <v>18299</v>
      </c>
      <c r="P13" s="8">
        <f>DRE!P17</f>
        <v>12214</v>
      </c>
      <c r="Q13" s="8">
        <f>DRE!Q17</f>
        <v>27006.922940252116</v>
      </c>
      <c r="R13" s="8">
        <f>DRE!R17</f>
        <v>15650.041952613865</v>
      </c>
      <c r="S13" s="8">
        <f>DRE!S17</f>
        <v>28396.783656931726</v>
      </c>
      <c r="T13" s="8">
        <f>DRE!T17</f>
        <v>-2222.6003283354794</v>
      </c>
    </row>
    <row r="14" spans="1:22" x14ac:dyDescent="0.2">
      <c r="A14" s="53" t="s">
        <v>386</v>
      </c>
      <c r="B14" s="57">
        <f>INDEX([1]Input!$225:$225,MATCH(B$5,[1]Input!$3:$3,0))</f>
        <v>186</v>
      </c>
      <c r="C14" s="57">
        <f>INDEX([1]Input!$225:$225,MATCH(C$5,[1]Input!$3:$3,0))</f>
        <v>199</v>
      </c>
      <c r="D14" s="57">
        <f>INDEX([1]Input!$225:$225,MATCH(D$5,[1]Input!$3:$3,0))</f>
        <v>182</v>
      </c>
      <c r="E14" s="57">
        <f>INDEX([1]Input!$225:$225,MATCH(E$5,[1]Input!$3:$3,0))</f>
        <v>204</v>
      </c>
      <c r="F14" s="57">
        <f>INDEX([1]Input!$225:$225,MATCH(F$5,[1]Input!$3:$3,0))</f>
        <v>176</v>
      </c>
      <c r="G14" s="57">
        <f>INDEX([1]Input!$225:$225,MATCH(G$5,[1]Input!$3:$3,0))</f>
        <v>246</v>
      </c>
      <c r="H14" s="57">
        <f>INDEX([1]Input!$225:$225,MATCH(H$5,[1]Input!$3:$3,0))</f>
        <v>249</v>
      </c>
      <c r="I14" s="57">
        <f>INDEX([1]Input!$225:$225,MATCH(I$5,[1]Input!$3:$3,0))</f>
        <v>265</v>
      </c>
      <c r="J14" s="57">
        <f>INDEX([1]Input!$225:$225,MATCH(J$5,[1]Input!$3:$3,0))</f>
        <v>167</v>
      </c>
      <c r="K14" s="57">
        <f>INDEX([1]Input!$225:$225,MATCH(K$5,[1]Input!$3:$3,0))</f>
        <v>198</v>
      </c>
      <c r="L14" s="57">
        <f>INDEX([1]Input!$225:$225,MATCH(L$5,[1]Input!$3:$3,0))</f>
        <v>173</v>
      </c>
      <c r="M14" s="57">
        <f>INDEX([1]Input!$225:$225,MATCH(M$5,[1]Input!$3:$3,0))</f>
        <v>122</v>
      </c>
      <c r="N14" s="57">
        <f>INDEX([1]Input!$225:$225,MATCH(N$5,[1]Input!$3:$3,0))</f>
        <v>108</v>
      </c>
      <c r="O14" s="57">
        <f>INDEX([1]Input!$225:$225,MATCH(O$5,[1]Input!$3:$3,0))</f>
        <v>103</v>
      </c>
      <c r="P14" s="57">
        <f>INDEX([1]Input!$225:$225,MATCH(P$5,[1]Input!$3:$3,0))</f>
        <v>102</v>
      </c>
      <c r="Q14" s="57">
        <f>INDEX([1]Input!$225:$225,MATCH(Q$5,[1]Input!$3:$3,0))</f>
        <v>101</v>
      </c>
      <c r="R14" s="57">
        <f>INDEX([1]Input!$225:$225,MATCH(R$5,[1]Input!$3:$3,0))</f>
        <v>129</v>
      </c>
      <c r="S14" s="57">
        <f>INDEX([1]Input!$225:$225,MATCH(S$5,[1]Input!$3:$3,0))</f>
        <v>74</v>
      </c>
      <c r="T14" s="57">
        <f>INDEX([1]Input!$225:$225,MATCH(T$5,[1]Input!$3:$3,0))</f>
        <v>90</v>
      </c>
    </row>
    <row r="15" spans="1:22" x14ac:dyDescent="0.2">
      <c r="A15" s="46" t="s">
        <v>387</v>
      </c>
      <c r="B15" s="10">
        <f>B13+B14</f>
        <v>42389</v>
      </c>
      <c r="C15" s="10">
        <f t="shared" ref="C15:T15" si="1">C13+C14</f>
        <v>66187</v>
      </c>
      <c r="D15" s="10">
        <f t="shared" si="1"/>
        <v>28113</v>
      </c>
      <c r="E15" s="10">
        <f t="shared" si="1"/>
        <v>23744.822580000116</v>
      </c>
      <c r="F15" s="10">
        <f t="shared" si="1"/>
        <v>25223.177419999869</v>
      </c>
      <c r="G15" s="10">
        <f t="shared" si="1"/>
        <v>25116</v>
      </c>
      <c r="H15" s="10">
        <f t="shared" si="1"/>
        <v>13313</v>
      </c>
      <c r="I15" s="10">
        <f t="shared" si="1"/>
        <v>23150.97381380439</v>
      </c>
      <c r="J15" s="10">
        <f t="shared" si="1"/>
        <v>43678.401989999998</v>
      </c>
      <c r="K15" s="10">
        <f t="shared" si="1"/>
        <v>90509</v>
      </c>
      <c r="L15" s="10">
        <f t="shared" si="1"/>
        <v>20028.035829999993</v>
      </c>
      <c r="M15" s="10">
        <f t="shared" si="1"/>
        <v>58886</v>
      </c>
      <c r="N15" s="10">
        <f t="shared" si="1"/>
        <v>29665.869439999966</v>
      </c>
      <c r="O15" s="10">
        <f t="shared" si="1"/>
        <v>18402</v>
      </c>
      <c r="P15" s="10">
        <f t="shared" si="1"/>
        <v>12316</v>
      </c>
      <c r="Q15" s="10">
        <f t="shared" si="1"/>
        <v>27107.922940252116</v>
      </c>
      <c r="R15" s="10">
        <f t="shared" si="1"/>
        <v>15779.041952613865</v>
      </c>
      <c r="S15" s="10">
        <f t="shared" si="1"/>
        <v>28470.783656931726</v>
      </c>
      <c r="T15" s="10">
        <f t="shared" si="1"/>
        <v>-2132.6003283354794</v>
      </c>
    </row>
    <row r="16" spans="1:22" x14ac:dyDescent="0.2">
      <c r="A16" s="47" t="s">
        <v>388</v>
      </c>
      <c r="B16" s="40">
        <f>+B15/DRE!B6</f>
        <v>0.20679578495462972</v>
      </c>
      <c r="C16" s="40">
        <f>+C15/DRE!C6</f>
        <v>0.23344078891679129</v>
      </c>
      <c r="D16" s="40">
        <f>+D15/DRE!D6</f>
        <v>0.17662802751861276</v>
      </c>
      <c r="E16" s="40">
        <f>+E15/DRE!E6</f>
        <v>0.16125735865712443</v>
      </c>
      <c r="F16" s="40">
        <f>+F15/DRE!F6</f>
        <v>0.19581235003552266</v>
      </c>
      <c r="G16" s="40">
        <f>+G15/DRE!G6</f>
        <v>0.1397631660953568</v>
      </c>
      <c r="H16" s="40">
        <f>+H15/DRE!H6</f>
        <v>0.13371567465498885</v>
      </c>
      <c r="I16" s="40">
        <f>+I15/DRE!I6</f>
        <v>0.21191461775581874</v>
      </c>
      <c r="J16" s="40">
        <f>+J15/DRE!J6</f>
        <v>0.29249974545965929</v>
      </c>
      <c r="K16" s="40">
        <f>+K15/DRE!K6</f>
        <v>0.34775976608277009</v>
      </c>
      <c r="L16" s="40">
        <f>+L15/DRE!L6</f>
        <v>0.22147078977129672</v>
      </c>
      <c r="M16" s="40">
        <f>+M15/DRE!M6</f>
        <v>0.32884714186789377</v>
      </c>
      <c r="N16" s="40">
        <f>+N15/DRE!N6</f>
        <v>0.34218231960079842</v>
      </c>
      <c r="O16" s="40">
        <f>+O15/DRE!O6</f>
        <v>0.35886035219095536</v>
      </c>
      <c r="P16" s="40">
        <f>+P15/DRE!P6</f>
        <v>0.29003391107761867</v>
      </c>
      <c r="Q16" s="40">
        <f>+Q15/DRE!Q6</f>
        <v>0.27153094034220504</v>
      </c>
      <c r="R16" s="40">
        <f>+R15/DRE!R6</f>
        <v>0.3156818572465962</v>
      </c>
      <c r="S16" s="40">
        <f>+S15/DRE!S6</f>
        <v>0.27970703016241216</v>
      </c>
      <c r="T16" s="40">
        <f>+T15/DRE!T6</f>
        <v>-0.12866469438925157</v>
      </c>
    </row>
    <row r="17" spans="1:20" x14ac:dyDescent="0.2">
      <c r="A17" s="47"/>
      <c r="B17" s="43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pans="1:20" x14ac:dyDescent="0.2">
      <c r="A18" s="53" t="s">
        <v>389</v>
      </c>
      <c r="B18" s="57">
        <f>B9</f>
        <v>2793</v>
      </c>
      <c r="C18" s="57">
        <f t="shared" ref="C18:T18" si="2">C9</f>
        <v>1007</v>
      </c>
      <c r="D18" s="57">
        <f t="shared" si="2"/>
        <v>1142</v>
      </c>
      <c r="E18" s="57">
        <f t="shared" si="2"/>
        <v>331</v>
      </c>
      <c r="F18" s="57">
        <f t="shared" si="2"/>
        <v>26</v>
      </c>
      <c r="G18" s="57">
        <f t="shared" si="2"/>
        <v>88</v>
      </c>
      <c r="H18" s="57">
        <f t="shared" si="2"/>
        <v>31</v>
      </c>
      <c r="I18" s="57">
        <f t="shared" si="2"/>
        <v>768</v>
      </c>
      <c r="J18" s="57">
        <f t="shared" si="2"/>
        <v>459</v>
      </c>
      <c r="K18" s="57">
        <f t="shared" si="2"/>
        <v>1586</v>
      </c>
      <c r="L18" s="57">
        <f t="shared" si="2"/>
        <v>133</v>
      </c>
      <c r="M18" s="57">
        <f t="shared" si="2"/>
        <v>507</v>
      </c>
      <c r="N18" s="57">
        <f t="shared" si="2"/>
        <v>0</v>
      </c>
      <c r="O18" s="57">
        <f t="shared" si="2"/>
        <v>0</v>
      </c>
      <c r="P18" s="57">
        <f t="shared" si="2"/>
        <v>0</v>
      </c>
      <c r="Q18" s="57">
        <f t="shared" si="2"/>
        <v>0</v>
      </c>
      <c r="R18" s="57">
        <f t="shared" si="2"/>
        <v>0</v>
      </c>
      <c r="S18" s="57">
        <f t="shared" si="2"/>
        <v>0</v>
      </c>
      <c r="T18" s="57">
        <f t="shared" si="2"/>
        <v>0</v>
      </c>
    </row>
    <row r="19" spans="1:20" x14ac:dyDescent="0.2">
      <c r="A19" s="46" t="s">
        <v>417</v>
      </c>
      <c r="B19" s="39">
        <f>B15+B18</f>
        <v>45182</v>
      </c>
      <c r="C19" s="39">
        <f t="shared" ref="C19:T19" si="3">C15+C18</f>
        <v>67194</v>
      </c>
      <c r="D19" s="39">
        <f t="shared" si="3"/>
        <v>29255</v>
      </c>
      <c r="E19" s="39">
        <f t="shared" si="3"/>
        <v>24075.822580000116</v>
      </c>
      <c r="F19" s="39">
        <f t="shared" si="3"/>
        <v>25249.177419999869</v>
      </c>
      <c r="G19" s="39">
        <f t="shared" si="3"/>
        <v>25204</v>
      </c>
      <c r="H19" s="39">
        <f t="shared" si="3"/>
        <v>13344</v>
      </c>
      <c r="I19" s="39">
        <f t="shared" si="3"/>
        <v>23918.97381380439</v>
      </c>
      <c r="J19" s="39">
        <f t="shared" si="3"/>
        <v>44137.401989999998</v>
      </c>
      <c r="K19" s="39">
        <f t="shared" si="3"/>
        <v>92095</v>
      </c>
      <c r="L19" s="39">
        <f t="shared" si="3"/>
        <v>20161.035829999993</v>
      </c>
      <c r="M19" s="39">
        <f t="shared" si="3"/>
        <v>59393</v>
      </c>
      <c r="N19" s="39">
        <f t="shared" si="3"/>
        <v>29665.869439999966</v>
      </c>
      <c r="O19" s="39">
        <f t="shared" si="3"/>
        <v>18402</v>
      </c>
      <c r="P19" s="39">
        <f t="shared" si="3"/>
        <v>12316</v>
      </c>
      <c r="Q19" s="39">
        <f t="shared" si="3"/>
        <v>27107.922940252116</v>
      </c>
      <c r="R19" s="39">
        <f t="shared" si="3"/>
        <v>15779.041952613865</v>
      </c>
      <c r="S19" s="39">
        <f t="shared" si="3"/>
        <v>28470.783656931726</v>
      </c>
      <c r="T19" s="39">
        <f t="shared" si="3"/>
        <v>-2132.6003283354794</v>
      </c>
    </row>
    <row r="20" spans="1:20" x14ac:dyDescent="0.2">
      <c r="A20" s="47" t="s">
        <v>418</v>
      </c>
      <c r="B20" s="38">
        <f>+B19/DRE!B6</f>
        <v>0.220421504537028</v>
      </c>
      <c r="C20" s="38">
        <f>+C19/DRE!C6</f>
        <v>0.23699246635252955</v>
      </c>
      <c r="D20" s="38">
        <f>+D19/DRE!D6</f>
        <v>0.18380297175886659</v>
      </c>
      <c r="E20" s="38">
        <f>+E19/DRE!E6</f>
        <v>0.163505267039496</v>
      </c>
      <c r="F20" s="38">
        <f>+F19/DRE!F6</f>
        <v>0.19601419300780762</v>
      </c>
      <c r="G20" s="38">
        <f>+G19/DRE!G6</f>
        <v>0.14025286025909273</v>
      </c>
      <c r="H20" s="38">
        <f>+H19/DRE!H6</f>
        <v>0.13402703842831604</v>
      </c>
      <c r="I20" s="38">
        <f>+I19/DRE!I6</f>
        <v>0.21894457803936518</v>
      </c>
      <c r="J20" s="38">
        <f>+J19/DRE!J6</f>
        <v>0.29557351595146253</v>
      </c>
      <c r="K20" s="38">
        <f>+K19/DRE!K6</f>
        <v>0.35385360193342885</v>
      </c>
      <c r="L20" s="38">
        <f>+L19/DRE!L6</f>
        <v>0.22294150888172795</v>
      </c>
      <c r="M20" s="38">
        <f>+M19/DRE!M6</f>
        <v>0.33167846851475419</v>
      </c>
      <c r="N20" s="38">
        <f>+N19/DRE!N6</f>
        <v>0.34218231960079842</v>
      </c>
      <c r="O20" s="38">
        <f>+O19/DRE!O6</f>
        <v>0.35886035219095536</v>
      </c>
      <c r="P20" s="38">
        <f>+P19/DRE!P6</f>
        <v>0.29003391107761867</v>
      </c>
      <c r="Q20" s="38">
        <f>+Q19/DRE!Q6</f>
        <v>0.27153094034220504</v>
      </c>
      <c r="R20" s="38">
        <f>+R19/DRE!R6</f>
        <v>0.3156818572465962</v>
      </c>
      <c r="S20" s="38">
        <f>+S19/DRE!S6</f>
        <v>0.27970703016241216</v>
      </c>
      <c r="T20" s="38">
        <f>+T19/DRE!T6</f>
        <v>-0.12866469438925157</v>
      </c>
    </row>
    <row r="23" spans="1:20" ht="33.75" x14ac:dyDescent="0.2">
      <c r="A23" s="54" t="s">
        <v>414</v>
      </c>
    </row>
    <row r="25" spans="1:20" x14ac:dyDescent="0.2">
      <c r="B25" s="51"/>
      <c r="C25" s="51"/>
      <c r="D25" s="51"/>
      <c r="E25" s="51"/>
      <c r="F25" s="5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8DFA3-1325-4229-AE37-EDD611590FFE}">
  <sheetPr>
    <tabColor rgb="FFC8A74B"/>
  </sheetPr>
  <dimension ref="A2:U148"/>
  <sheetViews>
    <sheetView showGridLines="0" zoomScaleNormal="100" workbookViewId="0"/>
  </sheetViews>
  <sheetFormatPr defaultColWidth="0" defaultRowHeight="12" outlineLevelRow="1" x14ac:dyDescent="0.2"/>
  <cols>
    <col min="1" max="1" width="41.28515625" style="1" bestFit="1" customWidth="1"/>
    <col min="2" max="7" width="8.85546875" style="1" customWidth="1"/>
    <col min="8" max="20" width="8.85546875" style="2" customWidth="1"/>
    <col min="21" max="21" width="8.85546875" style="1" customWidth="1"/>
    <col min="22" max="16384" width="8.85546875" style="1" hidden="1"/>
  </cols>
  <sheetData>
    <row r="2" spans="1:20" ht="15" x14ac:dyDescent="0.25">
      <c r="A2"/>
      <c r="B2"/>
      <c r="C2"/>
      <c r="D2"/>
      <c r="E2"/>
      <c r="F2"/>
      <c r="G2"/>
    </row>
    <row r="5" spans="1:20" x14ac:dyDescent="0.2">
      <c r="A5" s="5" t="s">
        <v>52</v>
      </c>
      <c r="B5" s="3" t="s">
        <v>380</v>
      </c>
      <c r="C5" s="3" t="s">
        <v>370</v>
      </c>
      <c r="D5" s="3" t="s">
        <v>368</v>
      </c>
      <c r="E5" s="3" t="s">
        <v>354</v>
      </c>
      <c r="F5" s="3" t="s">
        <v>331</v>
      </c>
      <c r="G5" s="3" t="s">
        <v>325</v>
      </c>
      <c r="H5" s="3" t="s">
        <v>309</v>
      </c>
      <c r="I5" s="3" t="s">
        <v>304</v>
      </c>
      <c r="J5" s="3" t="s">
        <v>296</v>
      </c>
      <c r="K5" s="3" t="s">
        <v>288</v>
      </c>
      <c r="L5" s="3" t="s">
        <v>286</v>
      </c>
      <c r="M5" s="3" t="s">
        <v>277</v>
      </c>
      <c r="N5" s="3" t="s">
        <v>2</v>
      </c>
      <c r="O5" s="3" t="s">
        <v>1</v>
      </c>
      <c r="P5" s="3" t="s">
        <v>4</v>
      </c>
      <c r="Q5" s="3" t="s">
        <v>3</v>
      </c>
      <c r="R5" s="3" t="s">
        <v>5</v>
      </c>
      <c r="S5" s="3" t="s">
        <v>6</v>
      </c>
      <c r="T5" s="3" t="s">
        <v>7</v>
      </c>
    </row>
    <row r="6" spans="1:20" x14ac:dyDescent="0.2">
      <c r="A6" s="18" t="s">
        <v>53</v>
      </c>
      <c r="B6" s="17"/>
      <c r="C6" s="17"/>
      <c r="D6" s="17"/>
      <c r="E6" s="17"/>
      <c r="F6" s="17"/>
      <c r="G6" s="17"/>
      <c r="H6" s="17"/>
      <c r="I6" s="17">
        <v>109246.70538999999</v>
      </c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2">
      <c r="A7" s="6" t="s">
        <v>28</v>
      </c>
      <c r="B7" s="7">
        <f>[1]Input!$Y72</f>
        <v>16204</v>
      </c>
      <c r="C7" s="7">
        <v>33473</v>
      </c>
      <c r="D7" s="7">
        <v>32215</v>
      </c>
      <c r="E7" s="7">
        <v>32685</v>
      </c>
      <c r="F7" s="7">
        <v>15916.277</v>
      </c>
      <c r="G7" s="7">
        <v>14831.493</v>
      </c>
      <c r="H7" s="7">
        <v>2257</v>
      </c>
      <c r="I7" s="7">
        <v>4620</v>
      </c>
      <c r="J7" s="7">
        <v>2686</v>
      </c>
      <c r="K7" s="7">
        <v>792431</v>
      </c>
      <c r="L7" s="7">
        <v>811605</v>
      </c>
      <c r="M7" s="7">
        <v>899712</v>
      </c>
      <c r="N7" s="7">
        <v>1012152.2677099999</v>
      </c>
      <c r="O7" s="7">
        <v>37645</v>
      </c>
      <c r="P7" s="7">
        <v>47284.666120000009</v>
      </c>
      <c r="Q7" s="7">
        <v>76499.729099999997</v>
      </c>
      <c r="R7" s="7">
        <v>49939.039660000002</v>
      </c>
      <c r="S7" s="7">
        <v>39288.536120000004</v>
      </c>
      <c r="T7" s="7">
        <v>30567.598810000003</v>
      </c>
    </row>
    <row r="8" spans="1:20" x14ac:dyDescent="0.2">
      <c r="A8" s="6" t="s">
        <v>29</v>
      </c>
      <c r="B8" s="7">
        <f>[1]Input!$Y73</f>
        <v>1687</v>
      </c>
      <c r="C8" s="7">
        <v>1399</v>
      </c>
      <c r="D8" s="7">
        <v>1227</v>
      </c>
      <c r="E8" s="7">
        <v>950</v>
      </c>
      <c r="F8" s="7">
        <v>700.255</v>
      </c>
      <c r="G8" s="7">
        <v>454.64800000000002</v>
      </c>
      <c r="H8" s="7">
        <v>198</v>
      </c>
      <c r="I8" s="7">
        <v>2495</v>
      </c>
      <c r="J8" s="7">
        <v>2519</v>
      </c>
      <c r="K8" s="7">
        <v>392</v>
      </c>
      <c r="L8" s="7">
        <v>3284</v>
      </c>
      <c r="M8" s="7">
        <v>2</v>
      </c>
      <c r="N8" s="7">
        <v>5688.4008100000001</v>
      </c>
      <c r="O8" s="7">
        <v>2207.7412899999999</v>
      </c>
      <c r="P8" s="7">
        <v>1125.3144399999999</v>
      </c>
      <c r="Q8" s="7">
        <v>548.48277000000007</v>
      </c>
      <c r="R8" s="7">
        <v>4038.7861799999996</v>
      </c>
      <c r="S8" s="7">
        <v>3559.4477999999999</v>
      </c>
      <c r="T8" s="7">
        <v>3017.0616</v>
      </c>
    </row>
    <row r="9" spans="1:20" x14ac:dyDescent="0.2">
      <c r="A9" s="6" t="s">
        <v>30</v>
      </c>
      <c r="B9" s="7">
        <f>[1]Input!$Y74</f>
        <v>475217</v>
      </c>
      <c r="C9" s="7">
        <v>504641</v>
      </c>
      <c r="D9" s="7">
        <v>474728</v>
      </c>
      <c r="E9" s="7">
        <v>392783</v>
      </c>
      <c r="F9" s="7">
        <v>466333.00300000003</v>
      </c>
      <c r="G9" s="7">
        <v>501493.50199999998</v>
      </c>
      <c r="H9" s="7">
        <v>515786</v>
      </c>
      <c r="I9" s="7">
        <v>460223</v>
      </c>
      <c r="J9" s="7">
        <v>646395</v>
      </c>
      <c r="K9" s="7">
        <v>11425</v>
      </c>
      <c r="L9" s="7">
        <v>21159</v>
      </c>
      <c r="M9" s="7">
        <v>22102</v>
      </c>
      <c r="N9" s="7">
        <v>0</v>
      </c>
      <c r="O9" s="7">
        <v>0</v>
      </c>
      <c r="P9" s="7">
        <v>1436.9810199999999</v>
      </c>
      <c r="Q9" s="7">
        <v>0</v>
      </c>
      <c r="R9" s="7">
        <v>1784.5393200000001</v>
      </c>
      <c r="S9" s="7">
        <v>3587.1229299999995</v>
      </c>
      <c r="T9" s="7">
        <v>3946.9974500000003</v>
      </c>
    </row>
    <row r="10" spans="1:20" x14ac:dyDescent="0.2">
      <c r="A10" s="6" t="s">
        <v>31</v>
      </c>
      <c r="B10" s="7">
        <f>[1]Input!$Y75</f>
        <v>444018</v>
      </c>
      <c r="C10" s="7">
        <v>359637</v>
      </c>
      <c r="D10" s="7">
        <v>318052</v>
      </c>
      <c r="E10" s="7">
        <v>296285</v>
      </c>
      <c r="F10" s="7">
        <v>241084.42800000001</v>
      </c>
      <c r="G10" s="7">
        <v>250706.802</v>
      </c>
      <c r="H10" s="7">
        <v>233707</v>
      </c>
      <c r="I10" s="7">
        <v>271790</v>
      </c>
      <c r="J10" s="7">
        <v>283367</v>
      </c>
      <c r="K10" s="7">
        <v>305909</v>
      </c>
      <c r="L10" s="7">
        <v>250276</v>
      </c>
      <c r="M10" s="7">
        <v>209145</v>
      </c>
      <c r="N10" s="7">
        <v>191049.70976</v>
      </c>
      <c r="O10" s="7">
        <v>153872.56284000003</v>
      </c>
      <c r="P10" s="7">
        <v>116719.79075999997</v>
      </c>
      <c r="Q10" s="7">
        <v>115626.18212</v>
      </c>
      <c r="R10" s="7">
        <v>101389.55036417035</v>
      </c>
      <c r="S10" s="7">
        <v>112779.59431239976</v>
      </c>
      <c r="T10" s="7">
        <v>57275.103429999996</v>
      </c>
    </row>
    <row r="11" spans="1:20" x14ac:dyDescent="0.2">
      <c r="A11" s="6" t="s">
        <v>32</v>
      </c>
      <c r="B11" s="7">
        <f>[1]Input!$Y76</f>
        <v>622780</v>
      </c>
      <c r="C11" s="7">
        <v>660639</v>
      </c>
      <c r="D11" s="7">
        <v>780852</v>
      </c>
      <c r="E11" s="7">
        <v>787976</v>
      </c>
      <c r="F11" s="7">
        <v>754853.478</v>
      </c>
      <c r="G11" s="7">
        <v>717762.61</v>
      </c>
      <c r="H11" s="7">
        <v>613352</v>
      </c>
      <c r="I11" s="7">
        <v>394801</v>
      </c>
      <c r="J11" s="7">
        <v>387732</v>
      </c>
      <c r="K11" s="7">
        <v>303131</v>
      </c>
      <c r="L11" s="7">
        <v>264695</v>
      </c>
      <c r="M11" s="7">
        <v>263033</v>
      </c>
      <c r="N11" s="7">
        <v>265001.90190000006</v>
      </c>
      <c r="O11" s="7">
        <v>267583</v>
      </c>
      <c r="P11" s="7">
        <v>269433.05517000001</v>
      </c>
      <c r="Q11" s="7">
        <v>211720.54915000004</v>
      </c>
      <c r="R11" s="7">
        <v>89677.572546453579</v>
      </c>
      <c r="S11" s="7">
        <v>89270.25165879626</v>
      </c>
      <c r="T11" s="7">
        <v>81559.644100000005</v>
      </c>
    </row>
    <row r="12" spans="1:20" x14ac:dyDescent="0.2">
      <c r="A12" s="6" t="s">
        <v>33</v>
      </c>
      <c r="B12" s="7">
        <f>[1]Input!$Y77</f>
        <v>5230</v>
      </c>
      <c r="C12" s="7">
        <v>3527</v>
      </c>
      <c r="D12" s="7">
        <v>1821</v>
      </c>
      <c r="E12" s="7">
        <v>5512</v>
      </c>
      <c r="F12" s="7">
        <v>4765.6170000000002</v>
      </c>
      <c r="G12" s="7">
        <v>4407.1450000000004</v>
      </c>
      <c r="H12" s="7">
        <v>1081</v>
      </c>
      <c r="I12" s="7">
        <v>4638</v>
      </c>
      <c r="J12" s="7">
        <v>5151</v>
      </c>
      <c r="K12" s="7">
        <v>3867</v>
      </c>
      <c r="L12" s="7">
        <v>1414</v>
      </c>
      <c r="M12" s="7">
        <v>988</v>
      </c>
      <c r="N12" s="7">
        <v>293.58685000000003</v>
      </c>
      <c r="O12" s="7">
        <v>439.27290999999991</v>
      </c>
      <c r="P12" s="7">
        <v>384.81763999999998</v>
      </c>
      <c r="Q12" s="7">
        <v>494.20971000000003</v>
      </c>
      <c r="R12" s="7">
        <v>505.87458000000004</v>
      </c>
      <c r="S12" s="7">
        <v>481.79758000000004</v>
      </c>
      <c r="T12" s="7">
        <v>458.27896000000004</v>
      </c>
    </row>
    <row r="13" spans="1:20" hidden="1" outlineLevel="1" x14ac:dyDescent="0.2">
      <c r="A13" s="6" t="s">
        <v>34</v>
      </c>
      <c r="B13" s="7">
        <f>[1]Input!$Y78</f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-1.8189894035458565E-15</v>
      </c>
      <c r="S13" s="7">
        <v>134.17034761689715</v>
      </c>
      <c r="T13" s="7">
        <v>0</v>
      </c>
    </row>
    <row r="14" spans="1:20" hidden="1" outlineLevel="1" x14ac:dyDescent="0.2">
      <c r="A14" s="6" t="s">
        <v>35</v>
      </c>
      <c r="B14" s="7">
        <f>[1]Input!$Y79</f>
        <v>0</v>
      </c>
      <c r="C14" s="7">
        <v>0</v>
      </c>
      <c r="D14" s="7">
        <v>0</v>
      </c>
      <c r="E14" s="7" t="s">
        <v>379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</row>
    <row r="15" spans="1:20" hidden="1" outlineLevel="1" x14ac:dyDescent="0.2">
      <c r="A15" s="6" t="s">
        <v>36</v>
      </c>
      <c r="B15" s="7">
        <f>[1]Input!$Y80</f>
        <v>4398</v>
      </c>
      <c r="C15" s="7">
        <v>2282</v>
      </c>
      <c r="D15" s="7">
        <v>0</v>
      </c>
      <c r="E15" s="7" t="s">
        <v>379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</row>
    <row r="16" spans="1:20" hidden="1" outlineLevel="1" x14ac:dyDescent="0.2">
      <c r="A16" s="6" t="s">
        <v>37</v>
      </c>
      <c r="B16" s="7">
        <f>[1]Input!$Y81</f>
        <v>0</v>
      </c>
      <c r="C16" s="7">
        <v>0</v>
      </c>
      <c r="D16" s="7">
        <v>0</v>
      </c>
      <c r="E16" s="7" t="s">
        <v>379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</row>
    <row r="17" spans="1:20" collapsed="1" x14ac:dyDescent="0.2">
      <c r="A17" s="6" t="s">
        <v>38</v>
      </c>
      <c r="B17" s="7">
        <f>[1]Input!$Y82</f>
        <v>3071</v>
      </c>
      <c r="C17" s="7">
        <v>2030</v>
      </c>
      <c r="D17" s="7">
        <v>2419</v>
      </c>
      <c r="E17" s="7">
        <v>1004</v>
      </c>
      <c r="F17" s="7">
        <v>3868.4969999999998</v>
      </c>
      <c r="G17" s="7">
        <v>4711.33</v>
      </c>
      <c r="H17" s="7">
        <v>5018</v>
      </c>
      <c r="I17" s="7">
        <v>1398</v>
      </c>
      <c r="J17" s="7">
        <v>2457</v>
      </c>
      <c r="K17" s="7">
        <v>3139</v>
      </c>
      <c r="L17" s="7">
        <v>2019</v>
      </c>
      <c r="M17" s="7">
        <v>3379</v>
      </c>
      <c r="N17" s="7">
        <v>406.38228000000072</v>
      </c>
      <c r="O17" s="7">
        <v>1555.1586299999963</v>
      </c>
      <c r="P17" s="7">
        <v>615.92859728875897</v>
      </c>
      <c r="Q17" s="7">
        <v>262.76454391931054</v>
      </c>
      <c r="R17" s="7">
        <v>3268.1193899999398</v>
      </c>
      <c r="S17" s="7">
        <v>1017.4622652429955</v>
      </c>
      <c r="T17" s="7">
        <v>439.10369068172912</v>
      </c>
    </row>
    <row r="18" spans="1:20" ht="12.75" thickBot="1" x14ac:dyDescent="0.25">
      <c r="A18" s="16" t="s">
        <v>39</v>
      </c>
      <c r="B18" s="15">
        <f t="shared" ref="B18" si="0">SUM(B7:B17)</f>
        <v>1572605</v>
      </c>
      <c r="C18" s="15">
        <f t="shared" ref="C18:D18" si="1">SUM(C7:C17)</f>
        <v>1567628</v>
      </c>
      <c r="D18" s="15">
        <f t="shared" si="1"/>
        <v>1611314</v>
      </c>
      <c r="E18" s="15">
        <f t="shared" ref="E18:F18" si="2">SUM(E7:E17)</f>
        <v>1517195</v>
      </c>
      <c r="F18" s="15">
        <f t="shared" si="2"/>
        <v>1487521.5550000002</v>
      </c>
      <c r="G18" s="15">
        <f t="shared" ref="G18:T18" si="3">SUM(G7:G17)</f>
        <v>1494367.53</v>
      </c>
      <c r="H18" s="15">
        <f t="shared" si="3"/>
        <v>1371399</v>
      </c>
      <c r="I18" s="15">
        <f t="shared" si="3"/>
        <v>1139965</v>
      </c>
      <c r="J18" s="15">
        <f t="shared" si="3"/>
        <v>1330307</v>
      </c>
      <c r="K18" s="15">
        <f t="shared" si="3"/>
        <v>1420294</v>
      </c>
      <c r="L18" s="15">
        <f t="shared" si="3"/>
        <v>1354452</v>
      </c>
      <c r="M18" s="15">
        <f t="shared" si="3"/>
        <v>1398361</v>
      </c>
      <c r="N18" s="15">
        <f t="shared" si="3"/>
        <v>1474592.2493099999</v>
      </c>
      <c r="O18" s="15">
        <f t="shared" si="3"/>
        <v>463302.73567000008</v>
      </c>
      <c r="P18" s="15">
        <f t="shared" si="3"/>
        <v>437000.55374728871</v>
      </c>
      <c r="Q18" s="15">
        <f t="shared" si="3"/>
        <v>405151.91739391937</v>
      </c>
      <c r="R18" s="15">
        <f t="shared" si="3"/>
        <v>250603.4820406239</v>
      </c>
      <c r="S18" s="15">
        <f t="shared" si="3"/>
        <v>250118.3830140559</v>
      </c>
      <c r="T18" s="15">
        <f t="shared" si="3"/>
        <v>177263.78804068171</v>
      </c>
    </row>
    <row r="19" spans="1:20" ht="12.75" thickTop="1" x14ac:dyDescent="0.2">
      <c r="A19" s="9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1:20" x14ac:dyDescent="0.2">
      <c r="A20" s="6" t="s">
        <v>40</v>
      </c>
      <c r="B20" s="7">
        <f>[1]Input!$Y86</f>
        <v>125900</v>
      </c>
      <c r="C20" s="7">
        <v>152451</v>
      </c>
      <c r="D20" s="7">
        <v>122533</v>
      </c>
      <c r="E20" s="7">
        <v>101226</v>
      </c>
      <c r="F20" s="7">
        <v>118340.61599999999</v>
      </c>
      <c r="G20" s="7">
        <v>89078.536999999997</v>
      </c>
      <c r="H20" s="7">
        <v>85776</v>
      </c>
      <c r="I20" s="7">
        <v>81194</v>
      </c>
      <c r="J20" s="7">
        <v>100555</v>
      </c>
      <c r="K20" s="7">
        <v>81956</v>
      </c>
      <c r="L20" s="7">
        <v>40029</v>
      </c>
      <c r="M20" s="7">
        <v>85496</v>
      </c>
      <c r="N20" s="7">
        <v>59080.764870000014</v>
      </c>
      <c r="O20" s="7">
        <v>60952.077140000001</v>
      </c>
      <c r="P20" s="7">
        <v>93113.183510000003</v>
      </c>
      <c r="Q20" s="7">
        <v>85587.218030000004</v>
      </c>
      <c r="R20" s="7">
        <v>63880.846638144387</v>
      </c>
      <c r="S20" s="7">
        <v>54210.042710000009</v>
      </c>
      <c r="T20" s="7">
        <v>65149.597139999991</v>
      </c>
    </row>
    <row r="21" spans="1:20" x14ac:dyDescent="0.2">
      <c r="A21" s="6" t="s">
        <v>41</v>
      </c>
      <c r="B21" s="7">
        <f>[1]Input!$Y87</f>
        <v>6216</v>
      </c>
      <c r="C21" s="7">
        <v>6312</v>
      </c>
      <c r="D21" s="7">
        <v>4664</v>
      </c>
      <c r="E21" s="7">
        <v>110616</v>
      </c>
      <c r="F21" s="7">
        <v>114609.26700000001</v>
      </c>
      <c r="G21" s="7">
        <v>112988.276</v>
      </c>
      <c r="H21" s="7">
        <v>108280</v>
      </c>
      <c r="I21" s="7">
        <v>106589</v>
      </c>
      <c r="J21" s="7">
        <v>104537</v>
      </c>
      <c r="K21" s="7">
        <v>102786</v>
      </c>
      <c r="L21" s="7">
        <v>102018</v>
      </c>
      <c r="M21" s="7">
        <v>100621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</row>
    <row r="22" spans="1:20" hidden="1" outlineLevel="1" x14ac:dyDescent="0.2">
      <c r="A22" s="6" t="s">
        <v>42</v>
      </c>
      <c r="B22" s="7">
        <f>[1]Input!$Y88</f>
        <v>0</v>
      </c>
      <c r="C22" s="7">
        <v>0</v>
      </c>
      <c r="D22" s="7">
        <v>0</v>
      </c>
      <c r="E22" s="7" t="s">
        <v>379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</row>
    <row r="23" spans="1:20" hidden="1" outlineLevel="1" x14ac:dyDescent="0.2">
      <c r="A23" s="6" t="s">
        <v>35</v>
      </c>
      <c r="B23" s="7">
        <f>[1]Input!$Y89</f>
        <v>0</v>
      </c>
      <c r="C23" s="7">
        <v>0</v>
      </c>
      <c r="D23" s="7">
        <v>0</v>
      </c>
      <c r="E23" s="7" t="s">
        <v>379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</row>
    <row r="24" spans="1:20" collapsed="1" x14ac:dyDescent="0.2">
      <c r="A24" s="6" t="s">
        <v>43</v>
      </c>
      <c r="B24" s="7">
        <f>[1]Input!$Y90</f>
        <v>30542</v>
      </c>
      <c r="C24" s="7">
        <v>31853</v>
      </c>
      <c r="D24" s="7">
        <v>31535</v>
      </c>
      <c r="E24" s="7">
        <v>30816</v>
      </c>
      <c r="F24" s="7">
        <v>29599.133000000002</v>
      </c>
      <c r="G24" s="7">
        <v>28705.31</v>
      </c>
      <c r="H24" s="7">
        <v>26495</v>
      </c>
      <c r="I24" s="7">
        <v>13330</v>
      </c>
      <c r="J24" s="7">
        <v>6902</v>
      </c>
      <c r="K24" s="7">
        <v>6050</v>
      </c>
      <c r="L24" s="7">
        <v>5007</v>
      </c>
      <c r="M24" s="7">
        <v>2804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2218.6047400000002</v>
      </c>
      <c r="T24" s="7">
        <v>0</v>
      </c>
    </row>
    <row r="25" spans="1:20" x14ac:dyDescent="0.2">
      <c r="A25" s="6" t="s">
        <v>44</v>
      </c>
      <c r="B25" s="7">
        <f>[1]Input!$Y91</f>
        <v>12306</v>
      </c>
      <c r="C25" s="7">
        <v>11828</v>
      </c>
      <c r="D25" s="7">
        <v>11283</v>
      </c>
      <c r="E25" s="7">
        <v>5878</v>
      </c>
      <c r="F25" s="7">
        <v>7145.4129999999996</v>
      </c>
      <c r="G25" s="7">
        <v>6511.875</v>
      </c>
      <c r="H25" s="7">
        <v>6301</v>
      </c>
      <c r="I25" s="7">
        <v>1912</v>
      </c>
      <c r="J25" s="7">
        <v>1868</v>
      </c>
      <c r="K25" s="7">
        <v>1856</v>
      </c>
      <c r="L25" s="7">
        <v>1832</v>
      </c>
      <c r="M25" s="7">
        <v>525</v>
      </c>
      <c r="N25" s="7">
        <v>510.02497999999997</v>
      </c>
      <c r="O25" s="7">
        <v>323.03240999999997</v>
      </c>
      <c r="P25" s="7">
        <v>322.57267999999999</v>
      </c>
      <c r="Q25" s="7">
        <v>139.79144999999997</v>
      </c>
      <c r="R25" s="7">
        <v>114.81303</v>
      </c>
      <c r="S25" s="7">
        <v>114.81303</v>
      </c>
      <c r="T25" s="7">
        <v>109.84108000000002</v>
      </c>
    </row>
    <row r="26" spans="1:20" hidden="1" outlineLevel="1" x14ac:dyDescent="0.2">
      <c r="A26" s="6" t="s">
        <v>45</v>
      </c>
      <c r="B26" s="7">
        <f>[1]Input!$Y92</f>
        <v>0</v>
      </c>
      <c r="C26" s="7">
        <v>0</v>
      </c>
      <c r="D26" s="7">
        <v>0</v>
      </c>
      <c r="E26" s="7" t="s">
        <v>379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</row>
    <row r="27" spans="1:20" collapsed="1" x14ac:dyDescent="0.2">
      <c r="A27" s="6" t="s">
        <v>46</v>
      </c>
      <c r="B27" s="7">
        <f>[1]Input!$Y93</f>
        <v>346002</v>
      </c>
      <c r="C27" s="7">
        <v>160899</v>
      </c>
      <c r="D27" s="7">
        <v>93328</v>
      </c>
      <c r="E27" s="7">
        <v>108677</v>
      </c>
      <c r="F27" s="7">
        <v>17860.79</v>
      </c>
      <c r="G27" s="7">
        <v>47464.186999999998</v>
      </c>
      <c r="H27" s="7">
        <v>159765</v>
      </c>
      <c r="I27" s="7">
        <v>388060</v>
      </c>
      <c r="J27" s="7">
        <v>379078</v>
      </c>
      <c r="K27" s="7">
        <v>254359</v>
      </c>
      <c r="L27" s="7">
        <v>166066</v>
      </c>
      <c r="M27" s="7">
        <v>92644</v>
      </c>
      <c r="N27" s="7">
        <v>69699.87638999999</v>
      </c>
      <c r="O27" s="7">
        <v>65267.428160000003</v>
      </c>
      <c r="P27" s="7">
        <v>65267.428160000003</v>
      </c>
      <c r="Q27" s="7">
        <v>65267.428160000003</v>
      </c>
      <c r="R27" s="7">
        <v>109922.82666999998</v>
      </c>
      <c r="S27" s="7">
        <v>95615.362939999992</v>
      </c>
      <c r="T27" s="7">
        <v>94904.724930000026</v>
      </c>
    </row>
    <row r="28" spans="1:20" x14ac:dyDescent="0.2">
      <c r="A28" s="6" t="s">
        <v>47</v>
      </c>
      <c r="B28" s="7">
        <f>[1]Input!$Y94</f>
        <v>147</v>
      </c>
      <c r="C28" s="7">
        <v>23</v>
      </c>
      <c r="D28" s="7">
        <v>24</v>
      </c>
      <c r="E28" s="7">
        <v>11</v>
      </c>
      <c r="F28" s="7">
        <v>11.151999999999999</v>
      </c>
      <c r="G28" s="7">
        <v>11.151999999999999</v>
      </c>
      <c r="H28" s="7">
        <v>11</v>
      </c>
      <c r="I28" s="7">
        <v>11</v>
      </c>
      <c r="J28" s="7">
        <v>11</v>
      </c>
      <c r="K28" s="7">
        <v>90</v>
      </c>
      <c r="L28" s="7">
        <v>90</v>
      </c>
      <c r="M28" s="7">
        <v>90</v>
      </c>
      <c r="N28" s="7">
        <v>89.656919999999985</v>
      </c>
      <c r="O28" s="7">
        <v>90.766519999999986</v>
      </c>
      <c r="P28" s="7">
        <v>90.766519999999986</v>
      </c>
      <c r="Q28" s="7">
        <v>80.938009999999991</v>
      </c>
      <c r="R28" s="7">
        <v>60.437899999999999</v>
      </c>
      <c r="S28" s="7">
        <v>58.004820000000002</v>
      </c>
      <c r="T28" s="7">
        <v>58.004820000000002</v>
      </c>
    </row>
    <row r="29" spans="1:20" x14ac:dyDescent="0.2">
      <c r="A29" s="6" t="s">
        <v>48</v>
      </c>
      <c r="B29" s="7">
        <f>[1]Input!$Y95</f>
        <v>93085</v>
      </c>
      <c r="C29" s="7">
        <v>90649</v>
      </c>
      <c r="D29" s="7">
        <v>81691</v>
      </c>
      <c r="E29" s="7">
        <v>50600</v>
      </c>
      <c r="F29" s="7">
        <v>11080.695</v>
      </c>
      <c r="G29" s="7">
        <v>11320.477000000001</v>
      </c>
      <c r="H29" s="7">
        <v>15740</v>
      </c>
      <c r="I29" s="7">
        <v>15083</v>
      </c>
      <c r="J29" s="7">
        <v>14684</v>
      </c>
      <c r="K29" s="7">
        <v>13256</v>
      </c>
      <c r="L29" s="7">
        <v>12310</v>
      </c>
      <c r="M29" s="7">
        <v>10929</v>
      </c>
      <c r="N29" s="7">
        <v>10313</v>
      </c>
      <c r="O29" s="7">
        <v>10172.279902193141</v>
      </c>
      <c r="P29" s="7">
        <v>9611.7675783483264</v>
      </c>
      <c r="Q29" s="7">
        <v>10839.994269999999</v>
      </c>
      <c r="R29" s="7">
        <v>13115.257414496016</v>
      </c>
      <c r="S29" s="7">
        <v>8256.3038867921859</v>
      </c>
      <c r="T29" s="7">
        <v>4.4720061123371122E-6</v>
      </c>
    </row>
    <row r="30" spans="1:20" x14ac:dyDescent="0.2">
      <c r="A30" s="6" t="s">
        <v>49</v>
      </c>
      <c r="B30" s="7">
        <f>[1]Input!$Y96</f>
        <v>10914</v>
      </c>
      <c r="C30" s="7">
        <v>9714</v>
      </c>
      <c r="D30" s="7">
        <v>7470</v>
      </c>
      <c r="E30" s="7">
        <v>2954</v>
      </c>
      <c r="F30" s="7">
        <v>3371.8270000000002</v>
      </c>
      <c r="G30" s="7">
        <v>3721.2849999999999</v>
      </c>
      <c r="H30" s="7">
        <v>3921</v>
      </c>
      <c r="I30" s="7">
        <v>4077</v>
      </c>
      <c r="J30" s="7">
        <v>4297</v>
      </c>
      <c r="K30" s="7">
        <v>3023</v>
      </c>
      <c r="L30" s="7">
        <v>3215</v>
      </c>
      <c r="M30" s="7">
        <v>2168</v>
      </c>
      <c r="N30" s="7">
        <v>1719.5960500000001</v>
      </c>
      <c r="O30" s="7">
        <v>1825.59494</v>
      </c>
      <c r="P30" s="7">
        <v>1900.0518</v>
      </c>
      <c r="Q30" s="7">
        <v>1975.7621100000003</v>
      </c>
      <c r="R30" s="7">
        <v>2058.557085648139</v>
      </c>
      <c r="S30" s="7">
        <v>2166.4549670987594</v>
      </c>
      <c r="T30" s="7">
        <v>2236.6937699999994</v>
      </c>
    </row>
    <row r="31" spans="1:20" x14ac:dyDescent="0.2">
      <c r="A31" s="6" t="s">
        <v>50</v>
      </c>
      <c r="B31" s="7">
        <f>[1]Input!$Y97</f>
        <v>605</v>
      </c>
      <c r="C31" s="7">
        <v>637</v>
      </c>
      <c r="D31" s="7">
        <v>670</v>
      </c>
      <c r="E31" s="7">
        <v>691</v>
      </c>
      <c r="F31" s="7">
        <v>723.90499999999997</v>
      </c>
      <c r="G31" s="7">
        <v>713.47699999999998</v>
      </c>
      <c r="H31" s="7">
        <v>761</v>
      </c>
      <c r="I31" s="7">
        <v>820</v>
      </c>
      <c r="J31" s="7">
        <v>796</v>
      </c>
      <c r="K31" s="7">
        <v>750</v>
      </c>
      <c r="L31" s="7">
        <v>365</v>
      </c>
      <c r="M31" s="7">
        <v>153</v>
      </c>
      <c r="N31" s="7">
        <v>140.42471000000006</v>
      </c>
      <c r="O31" s="7">
        <v>169.65162000000004</v>
      </c>
      <c r="P31" s="7">
        <v>198.87853000000007</v>
      </c>
      <c r="Q31" s="7">
        <v>227.80045000000004</v>
      </c>
      <c r="R31" s="7">
        <v>257.01235000000008</v>
      </c>
      <c r="S31" s="7">
        <v>305.18025000000006</v>
      </c>
      <c r="T31" s="7">
        <v>310.34815000000003</v>
      </c>
    </row>
    <row r="32" spans="1:20" ht="12.75" thickBot="1" x14ac:dyDescent="0.25">
      <c r="A32" s="16" t="s">
        <v>65</v>
      </c>
      <c r="B32" s="15">
        <f t="shared" ref="B32" si="4">SUM(B20:B31)</f>
        <v>625717</v>
      </c>
      <c r="C32" s="15">
        <f t="shared" ref="C32:D32" si="5">SUM(C20:C31)</f>
        <v>464366</v>
      </c>
      <c r="D32" s="15">
        <f t="shared" si="5"/>
        <v>353198</v>
      </c>
      <c r="E32" s="15">
        <f t="shared" ref="E32:F32" si="6">SUM(E20:E31)</f>
        <v>411469</v>
      </c>
      <c r="F32" s="15">
        <f t="shared" si="6"/>
        <v>302742.79800000001</v>
      </c>
      <c r="G32" s="15">
        <f t="shared" ref="G32:O32" si="7">SUM(G20:G31)</f>
        <v>300514.576</v>
      </c>
      <c r="H32" s="15">
        <f t="shared" si="7"/>
        <v>407050</v>
      </c>
      <c r="I32" s="15">
        <f t="shared" si="7"/>
        <v>611076</v>
      </c>
      <c r="J32" s="15">
        <f t="shared" si="7"/>
        <v>612728</v>
      </c>
      <c r="K32" s="15">
        <f t="shared" si="7"/>
        <v>464126</v>
      </c>
      <c r="L32" s="15">
        <f t="shared" si="7"/>
        <v>330932</v>
      </c>
      <c r="M32" s="15">
        <f t="shared" si="7"/>
        <v>295430</v>
      </c>
      <c r="N32" s="15">
        <f t="shared" si="7"/>
        <v>141553.34391999998</v>
      </c>
      <c r="O32" s="15">
        <f t="shared" si="7"/>
        <v>138800.83069219315</v>
      </c>
      <c r="P32" s="15">
        <f t="shared" ref="P32:T32" si="8">SUM(P20:P31)</f>
        <v>170504.64877834829</v>
      </c>
      <c r="Q32" s="15">
        <f>SUM(Q20:Q31)</f>
        <v>164118.93248000005</v>
      </c>
      <c r="R32" s="15">
        <f t="shared" si="8"/>
        <v>189409.75108828853</v>
      </c>
      <c r="S32" s="15">
        <f t="shared" si="8"/>
        <v>162944.76734389094</v>
      </c>
      <c r="T32" s="15">
        <f t="shared" si="8"/>
        <v>162769.20989447203</v>
      </c>
    </row>
    <row r="33" spans="1:20" ht="12.75" thickTop="1" x14ac:dyDescent="0.2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2.75" thickBot="1" x14ac:dyDescent="0.25">
      <c r="A34" s="16" t="s">
        <v>51</v>
      </c>
      <c r="B34" s="15">
        <f t="shared" ref="B34" si="9">+B32+B18</f>
        <v>2198322</v>
      </c>
      <c r="C34" s="15">
        <f t="shared" ref="C34:D34" si="10">+C32+C18</f>
        <v>2031994</v>
      </c>
      <c r="D34" s="15">
        <f t="shared" si="10"/>
        <v>1964512</v>
      </c>
      <c r="E34" s="15">
        <f t="shared" ref="E34:F34" si="11">+E32+E18</f>
        <v>1928664</v>
      </c>
      <c r="F34" s="15">
        <f t="shared" si="11"/>
        <v>1790264.3530000001</v>
      </c>
      <c r="G34" s="15">
        <f t="shared" ref="G34:O34" si="12">+G32+G18</f>
        <v>1794882.1060000001</v>
      </c>
      <c r="H34" s="15">
        <f t="shared" si="12"/>
        <v>1778449</v>
      </c>
      <c r="I34" s="15">
        <f t="shared" si="12"/>
        <v>1751041</v>
      </c>
      <c r="J34" s="15">
        <f t="shared" si="12"/>
        <v>1943035</v>
      </c>
      <c r="K34" s="15">
        <f t="shared" si="12"/>
        <v>1884420</v>
      </c>
      <c r="L34" s="15">
        <f t="shared" si="12"/>
        <v>1685384</v>
      </c>
      <c r="M34" s="15">
        <f t="shared" si="12"/>
        <v>1693791</v>
      </c>
      <c r="N34" s="15">
        <f t="shared" si="12"/>
        <v>1616145.5932299998</v>
      </c>
      <c r="O34" s="15">
        <f t="shared" si="12"/>
        <v>602103.5663621932</v>
      </c>
      <c r="P34" s="15">
        <f t="shared" ref="P34:T34" si="13">+P32+P18</f>
        <v>607505.202525637</v>
      </c>
      <c r="Q34" s="15">
        <f t="shared" si="13"/>
        <v>569270.84987391939</v>
      </c>
      <c r="R34" s="15">
        <f t="shared" si="13"/>
        <v>440013.2331289124</v>
      </c>
      <c r="S34" s="15">
        <f t="shared" si="13"/>
        <v>413063.15035794687</v>
      </c>
      <c r="T34" s="15">
        <f t="shared" si="13"/>
        <v>340032.99793515378</v>
      </c>
    </row>
    <row r="35" spans="1:20" ht="12.75" thickTop="1" x14ac:dyDescent="0.2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x14ac:dyDescent="0.2">
      <c r="A36" s="5" t="s">
        <v>52</v>
      </c>
      <c r="B36" s="3" t="str">
        <f>B5</f>
        <v>3T23</v>
      </c>
      <c r="C36" s="3" t="str">
        <f>C5</f>
        <v>2T23</v>
      </c>
      <c r="D36" s="3" t="str">
        <f t="shared" ref="D36" si="14">D5</f>
        <v>1T23</v>
      </c>
      <c r="E36" s="3" t="str">
        <f t="shared" ref="E36:F36" si="15">E5</f>
        <v>4T22</v>
      </c>
      <c r="F36" s="3" t="str">
        <f t="shared" si="15"/>
        <v>3T22</v>
      </c>
      <c r="G36" s="3" t="str">
        <f t="shared" ref="G36:O36" si="16">G5</f>
        <v>2T22</v>
      </c>
      <c r="H36" s="3" t="str">
        <f t="shared" si="16"/>
        <v>1T22</v>
      </c>
      <c r="I36" s="3" t="str">
        <f t="shared" si="16"/>
        <v>4T21</v>
      </c>
      <c r="J36" s="3" t="str">
        <f t="shared" si="16"/>
        <v>3T21</v>
      </c>
      <c r="K36" s="3" t="str">
        <f t="shared" si="16"/>
        <v>2T21</v>
      </c>
      <c r="L36" s="3" t="str">
        <f t="shared" si="16"/>
        <v>1T21</v>
      </c>
      <c r="M36" s="3" t="str">
        <f t="shared" si="16"/>
        <v>4T20</v>
      </c>
      <c r="N36" s="3" t="str">
        <f t="shared" si="16"/>
        <v>3T20</v>
      </c>
      <c r="O36" s="3" t="str">
        <f t="shared" si="16"/>
        <v>2T20</v>
      </c>
      <c r="P36" s="3" t="str">
        <f t="shared" ref="P36:T36" si="17">P5</f>
        <v>1T20</v>
      </c>
      <c r="Q36" s="3" t="str">
        <f>Q5</f>
        <v>4T19</v>
      </c>
      <c r="R36" s="3" t="str">
        <f t="shared" si="17"/>
        <v>3T19</v>
      </c>
      <c r="S36" s="3" t="str">
        <f t="shared" si="17"/>
        <v>2T19</v>
      </c>
      <c r="T36" s="3" t="str">
        <f t="shared" si="17"/>
        <v>1T19</v>
      </c>
    </row>
    <row r="37" spans="1:20" x14ac:dyDescent="0.2">
      <c r="A37" s="18" t="s">
        <v>54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x14ac:dyDescent="0.2">
      <c r="A38" s="6" t="s">
        <v>55</v>
      </c>
      <c r="B38" s="7">
        <f>[1]Input!$Y107</f>
        <v>35072</v>
      </c>
      <c r="C38" s="7">
        <v>884</v>
      </c>
      <c r="D38" s="7">
        <v>653</v>
      </c>
      <c r="E38" s="7">
        <v>325</v>
      </c>
      <c r="F38" s="7">
        <v>12.159000000000001</v>
      </c>
      <c r="G38" s="7">
        <v>4.694</v>
      </c>
      <c r="H38" s="7">
        <v>0</v>
      </c>
      <c r="I38" s="7">
        <v>1</v>
      </c>
      <c r="J38" s="7">
        <v>628</v>
      </c>
      <c r="K38" s="7">
        <v>267</v>
      </c>
      <c r="L38" s="7">
        <v>543</v>
      </c>
      <c r="M38" s="7">
        <v>3004</v>
      </c>
      <c r="N38" s="7">
        <v>620.73636999999997</v>
      </c>
      <c r="O38" s="7">
        <v>137.62628999999995</v>
      </c>
      <c r="P38" s="7">
        <v>12409.1574</v>
      </c>
      <c r="Q38" s="7">
        <v>13363.714749999999</v>
      </c>
      <c r="R38" s="7">
        <v>25361.415619999996</v>
      </c>
      <c r="S38" s="7">
        <v>328.20314000000008</v>
      </c>
      <c r="T38" s="7">
        <v>5245.5618581520366</v>
      </c>
    </row>
    <row r="39" spans="1:20" hidden="1" outlineLevel="1" x14ac:dyDescent="0.2">
      <c r="A39" s="6" t="s">
        <v>56</v>
      </c>
      <c r="B39" s="7">
        <f>[1]Input!$Y108</f>
        <v>0</v>
      </c>
      <c r="C39" s="7">
        <v>0</v>
      </c>
      <c r="D39" s="7" t="s">
        <v>379</v>
      </c>
      <c r="E39" s="7" t="s">
        <v>379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</row>
    <row r="40" spans="1:20" hidden="1" outlineLevel="1" x14ac:dyDescent="0.2">
      <c r="A40" s="6" t="s">
        <v>57</v>
      </c>
      <c r="B40" s="7">
        <f>[1]Input!$Y109</f>
        <v>0</v>
      </c>
      <c r="C40" s="7">
        <v>0</v>
      </c>
      <c r="D40" s="7" t="s">
        <v>379</v>
      </c>
      <c r="E40" s="7" t="s">
        <v>379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</row>
    <row r="41" spans="1:20" collapsed="1" x14ac:dyDescent="0.2">
      <c r="A41" s="6" t="s">
        <v>91</v>
      </c>
      <c r="B41" s="7">
        <f>[1]Input!$Y110</f>
        <v>567</v>
      </c>
      <c r="C41" s="7">
        <v>643</v>
      </c>
      <c r="D41" s="7">
        <v>610</v>
      </c>
      <c r="E41" s="7">
        <v>578</v>
      </c>
      <c r="F41" s="7">
        <v>607.16</v>
      </c>
      <c r="G41" s="7">
        <v>571.13699999999994</v>
      </c>
      <c r="H41" s="7">
        <v>536</v>
      </c>
      <c r="I41" s="7">
        <v>504</v>
      </c>
      <c r="J41" s="7">
        <v>469</v>
      </c>
      <c r="K41" s="7">
        <v>310</v>
      </c>
      <c r="L41" s="7">
        <v>400</v>
      </c>
      <c r="M41" s="7">
        <v>166</v>
      </c>
      <c r="N41" s="7">
        <v>195.35070000000002</v>
      </c>
      <c r="O41" s="7">
        <v>131.99684999999997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</row>
    <row r="42" spans="1:20" x14ac:dyDescent="0.2">
      <c r="A42" s="6" t="s">
        <v>58</v>
      </c>
      <c r="B42" s="7">
        <f>[1]Input!$Y111</f>
        <v>22058</v>
      </c>
      <c r="C42" s="7">
        <v>19818</v>
      </c>
      <c r="D42" s="7">
        <v>30626</v>
      </c>
      <c r="E42" s="7">
        <v>19550</v>
      </c>
      <c r="F42" s="7">
        <v>22846.356</v>
      </c>
      <c r="G42" s="7">
        <v>21062.36</v>
      </c>
      <c r="H42" s="7">
        <v>16526</v>
      </c>
      <c r="I42" s="7">
        <v>12230</v>
      </c>
      <c r="J42" s="7">
        <v>12939</v>
      </c>
      <c r="K42" s="7">
        <v>13474</v>
      </c>
      <c r="L42" s="7">
        <v>11800</v>
      </c>
      <c r="M42" s="7">
        <v>5633</v>
      </c>
      <c r="N42" s="7">
        <v>8465.3796999999995</v>
      </c>
      <c r="O42" s="7">
        <v>7328.3067299999984</v>
      </c>
      <c r="P42" s="7">
        <v>5687.211040000001</v>
      </c>
      <c r="Q42" s="7">
        <v>4993.7648399999998</v>
      </c>
      <c r="R42" s="7">
        <v>10187.639359999999</v>
      </c>
      <c r="S42" s="7">
        <v>9111.2415300000011</v>
      </c>
      <c r="T42" s="7">
        <v>9153.0566799999997</v>
      </c>
    </row>
    <row r="43" spans="1:20" x14ac:dyDescent="0.2">
      <c r="A43" s="6" t="s">
        <v>59</v>
      </c>
      <c r="B43" s="7">
        <f>[1]Input!$Y112</f>
        <v>2953</v>
      </c>
      <c r="C43" s="7">
        <v>2786</v>
      </c>
      <c r="D43" s="7">
        <v>3092</v>
      </c>
      <c r="E43" s="7">
        <v>2705</v>
      </c>
      <c r="F43" s="7">
        <v>3207.1779999999999</v>
      </c>
      <c r="G43" s="7">
        <v>3142.1509999999998</v>
      </c>
      <c r="H43" s="7">
        <v>3586</v>
      </c>
      <c r="I43" s="7">
        <v>1421</v>
      </c>
      <c r="J43" s="7">
        <v>1330</v>
      </c>
      <c r="K43" s="7">
        <v>927</v>
      </c>
      <c r="L43" s="7">
        <v>1498</v>
      </c>
      <c r="M43" s="7">
        <v>1369</v>
      </c>
      <c r="N43" s="7">
        <v>334.12852000000004</v>
      </c>
      <c r="O43" s="7">
        <v>291.05572999999998</v>
      </c>
      <c r="P43" s="7">
        <v>275.54955000000001</v>
      </c>
      <c r="Q43" s="7">
        <v>1076.64256</v>
      </c>
      <c r="R43" s="7">
        <v>0</v>
      </c>
      <c r="S43" s="7">
        <v>0</v>
      </c>
      <c r="T43" s="7">
        <v>0</v>
      </c>
    </row>
    <row r="44" spans="1:20" x14ac:dyDescent="0.2">
      <c r="A44" s="6" t="s">
        <v>60</v>
      </c>
      <c r="B44" s="7">
        <f>[1]Input!$Y113</f>
        <v>6257</v>
      </c>
      <c r="C44" s="7">
        <v>8986</v>
      </c>
      <c r="D44" s="7">
        <v>4843</v>
      </c>
      <c r="E44" s="7">
        <v>4748</v>
      </c>
      <c r="F44" s="7">
        <v>6400.45</v>
      </c>
      <c r="G44" s="7">
        <v>6752.893</v>
      </c>
      <c r="H44" s="7">
        <v>7548</v>
      </c>
      <c r="I44" s="7">
        <v>3489</v>
      </c>
      <c r="J44" s="7">
        <v>6357</v>
      </c>
      <c r="K44" s="7">
        <v>7287</v>
      </c>
      <c r="L44" s="7">
        <v>3361</v>
      </c>
      <c r="M44" s="7">
        <v>4604</v>
      </c>
      <c r="N44" s="7">
        <v>1800.73224</v>
      </c>
      <c r="O44" s="7">
        <v>1434</v>
      </c>
      <c r="P44" s="7">
        <v>1427.7719399999996</v>
      </c>
      <c r="Q44" s="7">
        <v>2485.2712099999999</v>
      </c>
      <c r="R44" s="7">
        <v>1530.8953800000004</v>
      </c>
      <c r="S44" s="7">
        <v>1577.51415</v>
      </c>
      <c r="T44" s="7">
        <v>1462.2665499999998</v>
      </c>
    </row>
    <row r="45" spans="1:20" x14ac:dyDescent="0.2">
      <c r="A45" s="6" t="s">
        <v>34</v>
      </c>
      <c r="B45" s="7">
        <f>[1]Input!$Y114</f>
        <v>11485</v>
      </c>
      <c r="C45" s="7">
        <v>8250</v>
      </c>
      <c r="D45" s="7">
        <v>7233</v>
      </c>
      <c r="E45" s="7">
        <v>6331</v>
      </c>
      <c r="F45" s="7">
        <v>4844.1469999999999</v>
      </c>
      <c r="G45" s="7">
        <v>934.90599999999995</v>
      </c>
      <c r="H45" s="7">
        <v>2510</v>
      </c>
      <c r="I45" s="7">
        <v>5241</v>
      </c>
      <c r="J45" s="7">
        <v>6581</v>
      </c>
      <c r="K45" s="7">
        <v>4061</v>
      </c>
      <c r="L45" s="7">
        <v>4020</v>
      </c>
      <c r="M45" s="7">
        <v>5077</v>
      </c>
      <c r="N45" s="7">
        <v>6184</v>
      </c>
      <c r="O45" s="7">
        <v>5565</v>
      </c>
      <c r="P45" s="7">
        <v>99.229509999999991</v>
      </c>
      <c r="Q45" s="7">
        <v>213.11286000000001</v>
      </c>
      <c r="R45" s="7">
        <v>155.39117000000005</v>
      </c>
      <c r="S45" s="7">
        <v>561.30381000000011</v>
      </c>
      <c r="T45" s="7">
        <v>268.59642000000002</v>
      </c>
    </row>
    <row r="46" spans="1:20" x14ac:dyDescent="0.2">
      <c r="A46" s="6" t="s">
        <v>61</v>
      </c>
      <c r="B46" s="7">
        <f>[1]Input!$Y115</f>
        <v>10144</v>
      </c>
      <c r="C46" s="7">
        <v>7943</v>
      </c>
      <c r="D46" s="7">
        <v>6525</v>
      </c>
      <c r="E46" s="7">
        <v>7801</v>
      </c>
      <c r="F46" s="7">
        <v>7594.2290000000003</v>
      </c>
      <c r="G46" s="7">
        <v>5855.6760000000004</v>
      </c>
      <c r="H46" s="7">
        <v>4839</v>
      </c>
      <c r="I46" s="7">
        <v>5989</v>
      </c>
      <c r="J46" s="7">
        <v>6233</v>
      </c>
      <c r="K46" s="7">
        <v>4704</v>
      </c>
      <c r="L46" s="7">
        <v>3479</v>
      </c>
      <c r="M46" s="7">
        <v>3170</v>
      </c>
      <c r="N46" s="7">
        <v>1940.6352999999999</v>
      </c>
      <c r="O46" s="7">
        <v>758.80918999999994</v>
      </c>
      <c r="P46" s="7">
        <v>581.57173999999998</v>
      </c>
      <c r="Q46" s="7">
        <v>354.66740999999996</v>
      </c>
      <c r="R46" s="7">
        <v>480.16746999999992</v>
      </c>
      <c r="S46" s="7">
        <v>373.65395000000007</v>
      </c>
      <c r="T46" s="7">
        <v>296.20779999999996</v>
      </c>
    </row>
    <row r="47" spans="1:20" x14ac:dyDescent="0.2">
      <c r="A47" s="6" t="s">
        <v>62</v>
      </c>
      <c r="B47" s="7">
        <f>[1]Input!$Y116</f>
        <v>51307</v>
      </c>
      <c r="C47" s="7">
        <v>44962</v>
      </c>
      <c r="D47" s="7">
        <v>38839</v>
      </c>
      <c r="E47" s="7">
        <v>34650</v>
      </c>
      <c r="F47" s="7">
        <v>28332.532999999999</v>
      </c>
      <c r="G47" s="7">
        <v>31020.067999999999</v>
      </c>
      <c r="H47" s="7">
        <v>28928</v>
      </c>
      <c r="I47" s="7">
        <v>36434</v>
      </c>
      <c r="J47" s="7">
        <v>54157</v>
      </c>
      <c r="K47" s="7">
        <v>72445</v>
      </c>
      <c r="L47" s="7">
        <v>58343</v>
      </c>
      <c r="M47" s="7">
        <v>79572</v>
      </c>
      <c r="N47" s="7">
        <v>42547.395329999999</v>
      </c>
      <c r="O47" s="7">
        <v>29684.972669999999</v>
      </c>
      <c r="P47" s="7">
        <v>33776.415120000005</v>
      </c>
      <c r="Q47" s="7">
        <v>45791.233789999998</v>
      </c>
      <c r="R47" s="7">
        <v>18222.577734757328</v>
      </c>
      <c r="S47" s="7">
        <v>9737.7454408466892</v>
      </c>
      <c r="T47" s="7">
        <v>9566.8343700000005</v>
      </c>
    </row>
    <row r="48" spans="1:20" x14ac:dyDescent="0.2">
      <c r="A48" s="6" t="s">
        <v>63</v>
      </c>
      <c r="B48" s="7">
        <f>[1]Input!$Y117</f>
        <v>0</v>
      </c>
      <c r="C48" s="7">
        <v>0</v>
      </c>
      <c r="D48" s="7">
        <v>0</v>
      </c>
      <c r="E48" s="7">
        <v>0</v>
      </c>
      <c r="F48" s="7">
        <v>7.5999999999999998E-2</v>
      </c>
      <c r="G48" s="7">
        <v>7.5999999999999998E-2</v>
      </c>
      <c r="H48" s="7">
        <v>42211</v>
      </c>
      <c r="I48" s="7">
        <v>42211</v>
      </c>
      <c r="J48" s="7">
        <v>0</v>
      </c>
      <c r="K48" s="7">
        <v>0</v>
      </c>
      <c r="L48" s="7">
        <v>22212</v>
      </c>
      <c r="M48" s="7">
        <v>22212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</row>
    <row r="49" spans="1:20" x14ac:dyDescent="0.2">
      <c r="A49" s="6" t="s">
        <v>43</v>
      </c>
      <c r="B49" s="7">
        <f>[1]Input!$Y118</f>
        <v>60000</v>
      </c>
      <c r="C49" s="7">
        <v>14361</v>
      </c>
      <c r="D49" s="7">
        <v>14361</v>
      </c>
      <c r="E49" s="7">
        <v>14361</v>
      </c>
      <c r="F49" s="7">
        <v>14360.897999999999</v>
      </c>
      <c r="G49" s="7">
        <v>14360.897999999999</v>
      </c>
      <c r="H49" s="7">
        <v>14361</v>
      </c>
      <c r="I49" s="7">
        <v>14361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5.8207660913467408E-14</v>
      </c>
      <c r="P49" s="7">
        <v>0</v>
      </c>
      <c r="Q49" s="7">
        <v>1624.2938899999999</v>
      </c>
      <c r="R49" s="7">
        <v>16508.17109</v>
      </c>
      <c r="S49" s="7">
        <v>4191.8016399999997</v>
      </c>
      <c r="T49" s="7">
        <v>1.01</v>
      </c>
    </row>
    <row r="50" spans="1:20" hidden="1" outlineLevel="1" x14ac:dyDescent="0.2">
      <c r="A50" s="6" t="s">
        <v>35</v>
      </c>
      <c r="B50" s="7">
        <f>[1]Input!$Y119</f>
        <v>0</v>
      </c>
      <c r="C50" s="7">
        <v>0</v>
      </c>
      <c r="D50" s="7" t="s">
        <v>379</v>
      </c>
      <c r="E50" s="7" t="s">
        <v>379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</row>
    <row r="51" spans="1:20" collapsed="1" x14ac:dyDescent="0.2">
      <c r="A51" s="6" t="s">
        <v>64</v>
      </c>
      <c r="B51" s="7">
        <f>[1]Input!$Y120</f>
        <v>256305</v>
      </c>
      <c r="C51" s="7">
        <v>251158</v>
      </c>
      <c r="D51" s="7">
        <v>240298</v>
      </c>
      <c r="E51" s="7">
        <v>242221</v>
      </c>
      <c r="F51" s="7">
        <v>317919.54100000003</v>
      </c>
      <c r="G51" s="7">
        <v>300795.962</v>
      </c>
      <c r="H51" s="7">
        <v>246932</v>
      </c>
      <c r="I51" s="7">
        <v>233569</v>
      </c>
      <c r="J51" s="7">
        <v>208509</v>
      </c>
      <c r="K51" s="7">
        <v>166935</v>
      </c>
      <c r="L51" s="7">
        <v>162381</v>
      </c>
      <c r="M51" s="7">
        <v>163656</v>
      </c>
      <c r="N51" s="7">
        <v>158548.42192000002</v>
      </c>
      <c r="O51" s="7">
        <v>173702.79786000002</v>
      </c>
      <c r="P51" s="7">
        <v>169341.47784000001</v>
      </c>
      <c r="Q51" s="7">
        <v>133171.75797999999</v>
      </c>
      <c r="R51" s="7">
        <v>78532.823572512512</v>
      </c>
      <c r="S51" s="7">
        <v>76493.948208609916</v>
      </c>
      <c r="T51" s="7">
        <v>48168.115689999999</v>
      </c>
    </row>
    <row r="52" spans="1:20" x14ac:dyDescent="0.2">
      <c r="A52" s="6" t="s">
        <v>38</v>
      </c>
      <c r="B52" s="7">
        <f>[1]Input!$Y121</f>
        <v>1074</v>
      </c>
      <c r="C52" s="7">
        <v>2326</v>
      </c>
      <c r="D52" s="7">
        <v>4169</v>
      </c>
      <c r="E52" s="7">
        <v>1448</v>
      </c>
      <c r="F52" s="7">
        <v>1335.366</v>
      </c>
      <c r="G52" s="7">
        <v>3262.19</v>
      </c>
      <c r="H52" s="7">
        <v>5216</v>
      </c>
      <c r="I52" s="7">
        <v>3637</v>
      </c>
      <c r="J52" s="7">
        <v>3762</v>
      </c>
      <c r="K52" s="7">
        <v>861</v>
      </c>
      <c r="L52" s="7">
        <v>922</v>
      </c>
      <c r="M52" s="7">
        <v>4641</v>
      </c>
      <c r="N52" s="7">
        <v>4831.238949999999</v>
      </c>
      <c r="O52" s="7">
        <v>1468.4996299999998</v>
      </c>
      <c r="P52" s="7">
        <v>1235.9275299999997</v>
      </c>
      <c r="Q52" s="7">
        <v>1079.0436999999997</v>
      </c>
      <c r="R52" s="7">
        <v>1237.2072900000001</v>
      </c>
      <c r="S52" s="7">
        <v>973.51807000000724</v>
      </c>
      <c r="T52" s="7">
        <v>890.79880000000003</v>
      </c>
    </row>
    <row r="53" spans="1:20" ht="12.75" thickBot="1" x14ac:dyDescent="0.25">
      <c r="A53" s="16" t="s">
        <v>66</v>
      </c>
      <c r="B53" s="15">
        <f t="shared" ref="B53" si="18">SUM(B38:B52)</f>
        <v>457222</v>
      </c>
      <c r="C53" s="15">
        <f t="shared" ref="C53:D53" si="19">SUM(C38:C52)</f>
        <v>362117</v>
      </c>
      <c r="D53" s="15">
        <f t="shared" si="19"/>
        <v>351249</v>
      </c>
      <c r="E53" s="15">
        <f t="shared" ref="E53:F53" si="20">SUM(E38:E52)</f>
        <v>334718</v>
      </c>
      <c r="F53" s="15">
        <f t="shared" si="20"/>
        <v>407460.09299999999</v>
      </c>
      <c r="G53" s="15">
        <f t="shared" ref="G53:O53" si="21">SUM(G38:G52)</f>
        <v>387763.011</v>
      </c>
      <c r="H53" s="15">
        <f t="shared" si="21"/>
        <v>373193</v>
      </c>
      <c r="I53" s="15">
        <f t="shared" si="21"/>
        <v>359087</v>
      </c>
      <c r="J53" s="15">
        <f t="shared" si="21"/>
        <v>300965</v>
      </c>
      <c r="K53" s="15">
        <f t="shared" si="21"/>
        <v>271271</v>
      </c>
      <c r="L53" s="15">
        <f t="shared" si="21"/>
        <v>268959</v>
      </c>
      <c r="M53" s="15">
        <f t="shared" si="21"/>
        <v>293104</v>
      </c>
      <c r="N53" s="15">
        <f t="shared" si="21"/>
        <v>225468.01903000002</v>
      </c>
      <c r="O53" s="15">
        <f t="shared" si="21"/>
        <v>220503.06495000003</v>
      </c>
      <c r="P53" s="15">
        <f t="shared" ref="P53:T53" si="22">SUM(P38:P52)</f>
        <v>224834.31167</v>
      </c>
      <c r="Q53" s="15">
        <f t="shared" si="22"/>
        <v>204153.50299000001</v>
      </c>
      <c r="R53" s="15">
        <f t="shared" si="22"/>
        <v>152216.28868726984</v>
      </c>
      <c r="S53" s="15">
        <f t="shared" si="22"/>
        <v>103348.92993945662</v>
      </c>
      <c r="T53" s="15">
        <f t="shared" si="22"/>
        <v>75052.448168152041</v>
      </c>
    </row>
    <row r="54" spans="1:20" ht="12.75" thickTop="1" x14ac:dyDescent="0.2">
      <c r="A54" s="6" t="s">
        <v>67</v>
      </c>
      <c r="B54" s="7">
        <f>[1]Input!$Y125</f>
        <v>147001</v>
      </c>
      <c r="C54" s="7">
        <v>63357</v>
      </c>
      <c r="D54" s="7">
        <v>42142</v>
      </c>
      <c r="E54" s="7">
        <v>42243</v>
      </c>
      <c r="F54" s="7">
        <v>1524.9580000000001</v>
      </c>
      <c r="G54" s="7">
        <v>515.03099999999995</v>
      </c>
      <c r="H54" s="7">
        <v>508</v>
      </c>
      <c r="I54" s="7">
        <v>413</v>
      </c>
      <c r="J54" s="7">
        <v>50204</v>
      </c>
      <c r="K54" s="7">
        <v>50204</v>
      </c>
      <c r="L54" s="7">
        <v>50204</v>
      </c>
      <c r="M54" s="7">
        <v>54200</v>
      </c>
      <c r="N54" s="7">
        <v>50200</v>
      </c>
      <c r="O54" s="7">
        <v>50000</v>
      </c>
      <c r="P54" s="7">
        <v>51386.985789999999</v>
      </c>
      <c r="Q54" s="7">
        <v>51108.486109999998</v>
      </c>
      <c r="R54" s="7">
        <v>1242.49127</v>
      </c>
      <c r="S54" s="7">
        <v>30761.843849999997</v>
      </c>
      <c r="T54" s="7">
        <v>18361.165392260471</v>
      </c>
    </row>
    <row r="55" spans="1:20" hidden="1" outlineLevel="1" x14ac:dyDescent="0.2">
      <c r="A55" s="6" t="s">
        <v>68</v>
      </c>
      <c r="B55" s="7">
        <f>[1]Input!$Y126</f>
        <v>0</v>
      </c>
      <c r="C55" s="7">
        <v>0</v>
      </c>
      <c r="D55" s="7" t="s">
        <v>379</v>
      </c>
      <c r="E55" s="7" t="s">
        <v>379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</row>
    <row r="56" spans="1:20" hidden="1" outlineLevel="1" x14ac:dyDescent="0.2">
      <c r="A56" s="6" t="s">
        <v>69</v>
      </c>
      <c r="B56" s="7">
        <f>[1]Input!$Y127</f>
        <v>0</v>
      </c>
      <c r="C56" s="7">
        <v>0</v>
      </c>
      <c r="D56" s="7" t="s">
        <v>379</v>
      </c>
      <c r="E56" s="7" t="s">
        <v>379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</row>
    <row r="57" spans="1:20" collapsed="1" x14ac:dyDescent="0.2">
      <c r="A57" s="6" t="s">
        <v>91</v>
      </c>
      <c r="B57" s="7">
        <f>[1]Input!$Y128</f>
        <v>1399</v>
      </c>
      <c r="C57" s="7">
        <v>1086</v>
      </c>
      <c r="D57" s="7">
        <v>1287</v>
      </c>
      <c r="E57" s="7">
        <v>1472</v>
      </c>
      <c r="F57" s="7">
        <v>1697.3520000000001</v>
      </c>
      <c r="G57" s="7">
        <v>1861.114</v>
      </c>
      <c r="H57" s="7">
        <v>2018</v>
      </c>
      <c r="I57" s="7">
        <v>2149</v>
      </c>
      <c r="J57" s="7">
        <v>2272</v>
      </c>
      <c r="K57" s="7">
        <v>2382</v>
      </c>
      <c r="L57" s="7">
        <v>2382</v>
      </c>
      <c r="M57" s="7">
        <v>1479</v>
      </c>
      <c r="N57" s="7">
        <v>1299.6446299999998</v>
      </c>
      <c r="O57" s="7">
        <v>1346.94523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</row>
    <row r="58" spans="1:20" hidden="1" outlineLevel="1" x14ac:dyDescent="0.2">
      <c r="A58" s="6" t="s">
        <v>58</v>
      </c>
      <c r="B58" s="7">
        <f>[1]Input!$Y129</f>
        <v>0</v>
      </c>
      <c r="C58" s="7">
        <v>0</v>
      </c>
      <c r="D58" s="7" t="s">
        <v>379</v>
      </c>
      <c r="E58" s="7" t="s">
        <v>379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-3.7252902984619141E-12</v>
      </c>
      <c r="O58" s="7">
        <v>0</v>
      </c>
      <c r="P58" s="7">
        <v>0</v>
      </c>
      <c r="Q58" s="7">
        <v>-3.7252902984619141E-12</v>
      </c>
      <c r="R58" s="7">
        <v>0</v>
      </c>
      <c r="S58" s="7">
        <v>-3.7252902984619141E-12</v>
      </c>
      <c r="T58" s="7">
        <v>-3.7252902984619141E-12</v>
      </c>
    </row>
    <row r="59" spans="1:20" collapsed="1" x14ac:dyDescent="0.2">
      <c r="A59" s="6" t="s">
        <v>70</v>
      </c>
      <c r="B59" s="7">
        <f>[1]Input!$Y130</f>
        <v>9119</v>
      </c>
      <c r="C59" s="7">
        <v>7838</v>
      </c>
      <c r="D59" s="7">
        <v>6870</v>
      </c>
      <c r="E59" s="7">
        <v>6235</v>
      </c>
      <c r="F59" s="7">
        <v>5497.7669999999998</v>
      </c>
      <c r="G59" s="7">
        <v>4731.9350000000004</v>
      </c>
      <c r="H59" s="7">
        <v>4148</v>
      </c>
      <c r="I59" s="7">
        <v>5499</v>
      </c>
      <c r="J59" s="7">
        <v>5144</v>
      </c>
      <c r="K59" s="7">
        <v>5255</v>
      </c>
      <c r="L59" s="7">
        <v>3635</v>
      </c>
      <c r="M59" s="7">
        <v>3191</v>
      </c>
      <c r="N59" s="7">
        <v>3380.4170100000001</v>
      </c>
      <c r="O59" s="7">
        <v>2775.7782700000007</v>
      </c>
      <c r="P59" s="7">
        <v>2297.5998</v>
      </c>
      <c r="Q59" s="7">
        <v>1128.2353400000002</v>
      </c>
      <c r="R59" s="7">
        <v>1752.0246086107879</v>
      </c>
      <c r="S59" s="7">
        <v>1371.0778735673698</v>
      </c>
      <c r="T59" s="7">
        <v>993.13236000000006</v>
      </c>
    </row>
    <row r="60" spans="1:20" hidden="1" outlineLevel="1" x14ac:dyDescent="0.2">
      <c r="A60" s="6" t="s">
        <v>71</v>
      </c>
      <c r="B60" s="7">
        <f>[1]Input!$Y131</f>
        <v>0</v>
      </c>
      <c r="C60" s="7">
        <v>0</v>
      </c>
      <c r="D60" s="7" t="s">
        <v>379</v>
      </c>
      <c r="E60" s="7" t="s">
        <v>379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</row>
    <row r="61" spans="1:20" collapsed="1" x14ac:dyDescent="0.2">
      <c r="A61" s="6" t="s">
        <v>72</v>
      </c>
      <c r="B61" s="7">
        <f>[1]Input!$Y132</f>
        <v>81565</v>
      </c>
      <c r="C61" s="7">
        <v>92669</v>
      </c>
      <c r="D61" s="7">
        <v>102312</v>
      </c>
      <c r="E61" s="7">
        <v>111408</v>
      </c>
      <c r="F61" s="7">
        <v>93718.547000000006</v>
      </c>
      <c r="G61" s="7">
        <v>98351.451000000001</v>
      </c>
      <c r="H61" s="7">
        <v>102127</v>
      </c>
      <c r="I61" s="7">
        <v>104593</v>
      </c>
      <c r="J61" s="7">
        <v>105745</v>
      </c>
      <c r="K61" s="7">
        <v>99877</v>
      </c>
      <c r="L61" s="7">
        <v>17654</v>
      </c>
      <c r="M61" s="7">
        <v>16597</v>
      </c>
      <c r="N61" s="7">
        <v>16261.57676</v>
      </c>
      <c r="O61" s="7">
        <v>30959.297730000002</v>
      </c>
      <c r="P61" s="7">
        <v>35602.20521</v>
      </c>
      <c r="Q61" s="7">
        <v>29466.111840000001</v>
      </c>
      <c r="R61" s="7">
        <v>37694.23301089531</v>
      </c>
      <c r="S61" s="7">
        <v>46432.259874805946</v>
      </c>
      <c r="T61" s="7">
        <v>47606.847329999997</v>
      </c>
    </row>
    <row r="62" spans="1:20" x14ac:dyDescent="0.2">
      <c r="A62" s="6" t="s">
        <v>73</v>
      </c>
      <c r="B62" s="7">
        <f>[1]Input!$Y133</f>
        <v>7062</v>
      </c>
      <c r="C62" s="7">
        <v>6255</v>
      </c>
      <c r="D62" s="7">
        <v>5693</v>
      </c>
      <c r="E62" s="7">
        <v>5343</v>
      </c>
      <c r="F62" s="7">
        <v>6891.0360000000001</v>
      </c>
      <c r="G62" s="7">
        <v>6636.72</v>
      </c>
      <c r="H62" s="7">
        <v>6494</v>
      </c>
      <c r="I62" s="7">
        <v>6388</v>
      </c>
      <c r="J62" s="7">
        <v>6297</v>
      </c>
      <c r="K62" s="7">
        <v>6272</v>
      </c>
      <c r="L62" s="7">
        <v>6420</v>
      </c>
      <c r="M62" s="7">
        <v>6549</v>
      </c>
      <c r="N62" s="7">
        <v>6021.9597199999998</v>
      </c>
      <c r="O62" s="7">
        <v>4999.5879599999998</v>
      </c>
      <c r="P62" s="7">
        <v>4220.2360899999994</v>
      </c>
      <c r="Q62" s="7">
        <v>3832.4119799999999</v>
      </c>
      <c r="R62" s="7">
        <v>3325.3693900000003</v>
      </c>
      <c r="S62" s="7">
        <v>2859.5059500000002</v>
      </c>
      <c r="T62" s="7">
        <v>2338.6715199999999</v>
      </c>
    </row>
    <row r="63" spans="1:20" x14ac:dyDescent="0.2">
      <c r="A63" s="6" t="s">
        <v>45</v>
      </c>
      <c r="B63" s="7">
        <f>[1]Input!$Y134</f>
        <v>3130</v>
      </c>
      <c r="C63" s="7">
        <v>3947</v>
      </c>
      <c r="D63" s="7">
        <v>2982</v>
      </c>
      <c r="E63" s="7">
        <v>2251</v>
      </c>
      <c r="F63" s="7">
        <v>2585.7939999999999</v>
      </c>
      <c r="G63" s="7">
        <v>6348.8069999999998</v>
      </c>
      <c r="H63" s="7">
        <v>5085</v>
      </c>
      <c r="I63" s="7">
        <v>4450</v>
      </c>
      <c r="J63" s="7">
        <v>5992</v>
      </c>
      <c r="K63" s="7">
        <v>8816</v>
      </c>
      <c r="L63" s="7">
        <v>5640</v>
      </c>
      <c r="M63" s="7">
        <v>4912</v>
      </c>
      <c r="N63" s="7">
        <v>3048.9039699999998</v>
      </c>
      <c r="O63" s="7">
        <v>2166</v>
      </c>
      <c r="P63" s="7">
        <v>7280.0844399999996</v>
      </c>
      <c r="Q63" s="7">
        <v>6978.8336800000016</v>
      </c>
      <c r="R63" s="7">
        <v>5942.9278074193426</v>
      </c>
      <c r="S63" s="7">
        <v>5829.1391800000001</v>
      </c>
      <c r="T63" s="7">
        <v>4259.6383399999995</v>
      </c>
    </row>
    <row r="64" spans="1:20" x14ac:dyDescent="0.2">
      <c r="A64" s="6" t="s">
        <v>74</v>
      </c>
      <c r="B64" s="7">
        <f>[1]Input!$Y135</f>
        <v>89270</v>
      </c>
      <c r="C64" s="7">
        <v>113349</v>
      </c>
      <c r="D64" s="7">
        <v>93181</v>
      </c>
      <c r="E64" s="7">
        <v>91531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18528.590780000002</v>
      </c>
      <c r="O64" s="7">
        <v>13897.27729</v>
      </c>
      <c r="P64" s="7">
        <v>22386.520989999997</v>
      </c>
      <c r="Q64" s="7">
        <v>22515.307529999998</v>
      </c>
      <c r="R64" s="7">
        <v>22515.307529999998</v>
      </c>
      <c r="S64" s="7">
        <v>22515.307530000002</v>
      </c>
      <c r="T64" s="7">
        <v>22515.307529999998</v>
      </c>
    </row>
    <row r="65" spans="1:20" x14ac:dyDescent="0.2">
      <c r="A65" s="6" t="s">
        <v>47</v>
      </c>
      <c r="B65" s="7">
        <f>[1]Input!$Y136</f>
        <v>71179</v>
      </c>
      <c r="C65" s="7">
        <v>69698</v>
      </c>
      <c r="D65" s="7">
        <v>110339</v>
      </c>
      <c r="E65" s="7">
        <v>77406</v>
      </c>
      <c r="F65" s="7">
        <v>43401.623</v>
      </c>
      <c r="G65" s="7">
        <v>37120.468999999997</v>
      </c>
      <c r="H65" s="7">
        <v>18235</v>
      </c>
      <c r="I65" s="7">
        <v>18500</v>
      </c>
      <c r="J65" s="7">
        <v>24204</v>
      </c>
      <c r="K65" s="7">
        <v>25880</v>
      </c>
      <c r="L65" s="7">
        <v>13421</v>
      </c>
      <c r="M65" s="7">
        <v>13419</v>
      </c>
      <c r="N65" s="7">
        <v>13419.692930000023</v>
      </c>
      <c r="O65" s="7">
        <v>9200.000059999993</v>
      </c>
      <c r="P65" s="7">
        <v>9200.0000400000372</v>
      </c>
      <c r="Q65" s="7">
        <v>9200.0000300000029</v>
      </c>
      <c r="R65" s="7">
        <v>1.0000012814998627E-5</v>
      </c>
      <c r="S65" s="7">
        <v>3.637978807091713E-14</v>
      </c>
      <c r="T65" s="7">
        <v>-1.999998651444912E-5</v>
      </c>
    </row>
    <row r="66" spans="1:20" ht="12.75" thickBot="1" x14ac:dyDescent="0.25">
      <c r="A66" s="16" t="s">
        <v>75</v>
      </c>
      <c r="B66" s="15">
        <f t="shared" ref="B66" si="23">SUM(B54:B65)</f>
        <v>409725</v>
      </c>
      <c r="C66" s="15">
        <f t="shared" ref="C66:D66" si="24">SUM(C54:C65)</f>
        <v>358199</v>
      </c>
      <c r="D66" s="15">
        <f t="shared" si="24"/>
        <v>364806</v>
      </c>
      <c r="E66" s="15">
        <f t="shared" ref="E66:F66" si="25">SUM(E54:E65)</f>
        <v>337889</v>
      </c>
      <c r="F66" s="15">
        <f t="shared" si="25"/>
        <v>155317.07699999999</v>
      </c>
      <c r="G66" s="15">
        <f t="shared" ref="G66:T66" si="26">SUM(G54:G65)</f>
        <v>155565.527</v>
      </c>
      <c r="H66" s="15">
        <f t="shared" si="26"/>
        <v>138615</v>
      </c>
      <c r="I66" s="15">
        <f t="shared" si="26"/>
        <v>141992</v>
      </c>
      <c r="J66" s="15">
        <f t="shared" si="26"/>
        <v>199858</v>
      </c>
      <c r="K66" s="15">
        <f t="shared" si="26"/>
        <v>198686</v>
      </c>
      <c r="L66" s="15">
        <f t="shared" si="26"/>
        <v>99356</v>
      </c>
      <c r="M66" s="15">
        <f t="shared" si="26"/>
        <v>100347</v>
      </c>
      <c r="N66" s="15">
        <f t="shared" si="26"/>
        <v>112160.78580000001</v>
      </c>
      <c r="O66" s="15">
        <f t="shared" si="26"/>
        <v>115344.88653999999</v>
      </c>
      <c r="P66" s="15">
        <f t="shared" si="26"/>
        <v>132373.63236000005</v>
      </c>
      <c r="Q66" s="15">
        <f t="shared" si="26"/>
        <v>124229.38650999998</v>
      </c>
      <c r="R66" s="15">
        <f t="shared" si="26"/>
        <v>72472.353626925455</v>
      </c>
      <c r="S66" s="15">
        <f t="shared" si="26"/>
        <v>109769.13425837332</v>
      </c>
      <c r="T66" s="15">
        <f t="shared" si="26"/>
        <v>96074.762452260489</v>
      </c>
    </row>
    <row r="67" spans="1:20" ht="12.75" thickTop="1" x14ac:dyDescent="0.2">
      <c r="A67" s="6" t="s">
        <v>76</v>
      </c>
      <c r="B67" s="7">
        <f>[1]Input!$Y140</f>
        <v>1133581</v>
      </c>
      <c r="C67" s="7">
        <v>1133581</v>
      </c>
      <c r="D67" s="7">
        <v>1133581</v>
      </c>
      <c r="E67" s="7">
        <v>1133581</v>
      </c>
      <c r="F67" s="7">
        <v>1133580.652</v>
      </c>
      <c r="G67" s="7">
        <v>1133580.652</v>
      </c>
      <c r="H67" s="7">
        <v>1133581</v>
      </c>
      <c r="I67" s="7">
        <v>1133581</v>
      </c>
      <c r="J67" s="7">
        <v>1133581</v>
      </c>
      <c r="K67" s="7">
        <v>1133581</v>
      </c>
      <c r="L67" s="7">
        <v>1133581</v>
      </c>
      <c r="M67" s="7">
        <v>1133581</v>
      </c>
      <c r="N67" s="7">
        <v>1133580.652</v>
      </c>
      <c r="O67" s="7">
        <v>106516.652</v>
      </c>
      <c r="P67" s="7">
        <v>106516.652</v>
      </c>
      <c r="Q67" s="7">
        <v>102943.764</v>
      </c>
      <c r="R67" s="7">
        <v>57950.224000000009</v>
      </c>
      <c r="S67" s="7">
        <v>57950.224000000017</v>
      </c>
      <c r="T67" s="7">
        <v>57950.224000000009</v>
      </c>
    </row>
    <row r="68" spans="1:20" x14ac:dyDescent="0.2">
      <c r="A68" s="6" t="s">
        <v>92</v>
      </c>
      <c r="B68" s="7">
        <f>[1]Input!$Y141</f>
        <v>-44590</v>
      </c>
      <c r="C68" s="7">
        <v>-44590</v>
      </c>
      <c r="D68" s="7">
        <v>-44590</v>
      </c>
      <c r="E68" s="7">
        <v>-44590</v>
      </c>
      <c r="F68" s="7">
        <v>-44589.642</v>
      </c>
      <c r="G68" s="7">
        <v>-44589.642</v>
      </c>
      <c r="H68" s="7">
        <v>-44590</v>
      </c>
      <c r="I68" s="7">
        <v>-44590</v>
      </c>
      <c r="J68" s="7">
        <v>-44547</v>
      </c>
      <c r="K68" s="7">
        <v>-44210</v>
      </c>
      <c r="L68" s="7">
        <v>-44210</v>
      </c>
      <c r="M68" s="7">
        <v>-44210</v>
      </c>
      <c r="N68" s="7">
        <v>-41252.815740000005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</row>
    <row r="69" spans="1:20" hidden="1" outlineLevel="1" x14ac:dyDescent="0.2">
      <c r="A69" s="6" t="s">
        <v>77</v>
      </c>
      <c r="B69" s="7">
        <f>[1]Input!$Y142</f>
        <v>0</v>
      </c>
      <c r="C69" s="7">
        <v>0</v>
      </c>
      <c r="D69" s="7" t="s">
        <v>379</v>
      </c>
      <c r="E69" s="7" t="s">
        <v>379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</row>
    <row r="70" spans="1:20" collapsed="1" x14ac:dyDescent="0.2">
      <c r="A70" s="6" t="s">
        <v>78</v>
      </c>
      <c r="B70" s="7">
        <f>[1]Input!$Y143</f>
        <v>0</v>
      </c>
      <c r="C70" s="7">
        <v>0</v>
      </c>
      <c r="D70" s="7" t="s">
        <v>379</v>
      </c>
      <c r="E70" s="7" t="s">
        <v>379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512.53312285499999</v>
      </c>
      <c r="R70" s="7">
        <v>45506.084752854993</v>
      </c>
      <c r="S70" s="7">
        <v>43255.346192855002</v>
      </c>
      <c r="T70" s="7">
        <v>37571.378572855006</v>
      </c>
    </row>
    <row r="71" spans="1:20" x14ac:dyDescent="0.2">
      <c r="A71" s="6" t="s">
        <v>79</v>
      </c>
      <c r="B71" s="7">
        <f>[1]Input!$Y144</f>
        <v>-3</v>
      </c>
      <c r="C71" s="7">
        <v>-3</v>
      </c>
      <c r="D71" s="7">
        <v>-3</v>
      </c>
      <c r="E71" s="7">
        <v>-3</v>
      </c>
      <c r="F71" s="7">
        <v>-3.0640000000000001</v>
      </c>
      <c r="G71" s="7">
        <v>-3.0640000000000001</v>
      </c>
      <c r="H71" s="7">
        <v>-3</v>
      </c>
      <c r="I71" s="7">
        <v>-3</v>
      </c>
      <c r="J71" s="7">
        <v>-3</v>
      </c>
      <c r="K71" s="7">
        <v>-3</v>
      </c>
      <c r="L71" s="7">
        <v>-3</v>
      </c>
      <c r="M71" s="7">
        <v>-3</v>
      </c>
      <c r="N71" s="7">
        <v>-3.0643800000000003</v>
      </c>
      <c r="O71" s="7">
        <v>-3.0643800000000003</v>
      </c>
      <c r="P71" s="7">
        <v>-3.0643800000000003</v>
      </c>
      <c r="Q71" s="7">
        <v>-3.0643800000000003</v>
      </c>
      <c r="R71" s="7">
        <v>67.542400000000001</v>
      </c>
      <c r="S71" s="7">
        <v>-3.0646000000000058</v>
      </c>
      <c r="T71" s="7">
        <v>67.542400000000001</v>
      </c>
    </row>
    <row r="72" spans="1:20" hidden="1" outlineLevel="1" x14ac:dyDescent="0.2">
      <c r="A72" s="6" t="s">
        <v>80</v>
      </c>
      <c r="B72" s="7">
        <f>[1]Input!$Y145</f>
        <v>0</v>
      </c>
      <c r="C72" s="7">
        <v>0</v>
      </c>
      <c r="D72" s="7" t="s">
        <v>379</v>
      </c>
      <c r="E72" s="7" t="s">
        <v>379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</row>
    <row r="73" spans="1:20" collapsed="1" x14ac:dyDescent="0.2">
      <c r="A73" s="6" t="s">
        <v>81</v>
      </c>
      <c r="B73" s="7">
        <f>[1]Input!$Y146</f>
        <v>19307</v>
      </c>
      <c r="C73" s="7">
        <v>19307</v>
      </c>
      <c r="D73" s="7">
        <v>19307</v>
      </c>
      <c r="E73" s="7">
        <v>19307</v>
      </c>
      <c r="F73" s="7">
        <v>13562.816000000001</v>
      </c>
      <c r="G73" s="7">
        <v>13562.816000000001</v>
      </c>
      <c r="H73" s="7">
        <v>13563</v>
      </c>
      <c r="I73" s="7">
        <v>13563</v>
      </c>
      <c r="J73" s="7">
        <v>4676</v>
      </c>
      <c r="K73" s="7">
        <v>4676</v>
      </c>
      <c r="L73" s="7">
        <v>4676</v>
      </c>
      <c r="M73" s="7">
        <v>4676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</row>
    <row r="74" spans="1:20" x14ac:dyDescent="0.2">
      <c r="A74" s="6" t="s">
        <v>82</v>
      </c>
      <c r="B74" s="7">
        <f>[1]Input!$Y147</f>
        <v>45070</v>
      </c>
      <c r="C74" s="7">
        <v>45070</v>
      </c>
      <c r="D74" s="7">
        <v>45070</v>
      </c>
      <c r="E74" s="7">
        <v>45070</v>
      </c>
      <c r="F74" s="7">
        <v>0</v>
      </c>
      <c r="G74" s="7">
        <v>48713.091</v>
      </c>
      <c r="H74" s="7">
        <v>90214</v>
      </c>
      <c r="I74" s="7">
        <v>90214</v>
      </c>
      <c r="J74" s="7">
        <v>122997</v>
      </c>
      <c r="K74" s="7">
        <v>122997</v>
      </c>
      <c r="L74" s="7">
        <v>122997</v>
      </c>
      <c r="M74" s="7">
        <v>122996</v>
      </c>
      <c r="N74" s="7">
        <v>56360</v>
      </c>
      <c r="O74" s="7">
        <v>56361</v>
      </c>
      <c r="P74" s="7">
        <v>58160.006139999998</v>
      </c>
      <c r="Q74" s="7">
        <v>16887.080995392538</v>
      </c>
      <c r="R74" s="7">
        <v>13153.96549812</v>
      </c>
      <c r="S74" s="7">
        <v>13153.965498120002</v>
      </c>
      <c r="T74" s="7">
        <v>16810.384114892506</v>
      </c>
    </row>
    <row r="75" spans="1:20" x14ac:dyDescent="0.2">
      <c r="A75" s="6" t="s">
        <v>83</v>
      </c>
      <c r="B75" s="7">
        <f>[1]Input!$Y148</f>
        <v>-19154</v>
      </c>
      <c r="C75" s="7">
        <v>-19154</v>
      </c>
      <c r="D75" s="7">
        <v>-19154</v>
      </c>
      <c r="E75" s="7">
        <v>-19154</v>
      </c>
      <c r="F75" s="7">
        <v>-19153.679</v>
      </c>
      <c r="G75" s="7">
        <v>-19153.679</v>
      </c>
      <c r="H75" s="7">
        <v>-27385</v>
      </c>
      <c r="I75" s="7">
        <v>-14632</v>
      </c>
      <c r="J75" s="7">
        <v>-7272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</row>
    <row r="76" spans="1:20" x14ac:dyDescent="0.2">
      <c r="A76" s="6" t="s">
        <v>364</v>
      </c>
      <c r="B76" s="7">
        <f>[1]Input!$Y149</f>
        <v>0</v>
      </c>
      <c r="C76" s="7">
        <v>0</v>
      </c>
      <c r="D76" s="7">
        <v>0</v>
      </c>
      <c r="E76" s="7">
        <v>35000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</row>
    <row r="77" spans="1:20" x14ac:dyDescent="0.2">
      <c r="A77" s="6" t="s">
        <v>84</v>
      </c>
      <c r="B77" s="7">
        <f>[1]Input!$Y150</f>
        <v>120806</v>
      </c>
      <c r="C77" s="7">
        <v>88660</v>
      </c>
      <c r="D77" s="7">
        <v>25609</v>
      </c>
      <c r="E77" s="7">
        <v>0</v>
      </c>
      <c r="F77" s="7">
        <v>53344.68299999999</v>
      </c>
      <c r="G77" s="7">
        <v>37012.826000000001</v>
      </c>
      <c r="H77" s="7">
        <v>21080</v>
      </c>
      <c r="I77" s="7">
        <v>0</v>
      </c>
      <c r="J77" s="7">
        <v>153229</v>
      </c>
      <c r="K77" s="7">
        <v>107595</v>
      </c>
      <c r="L77" s="7">
        <v>17053</v>
      </c>
      <c r="M77" s="7">
        <v>0</v>
      </c>
      <c r="N77" s="7">
        <v>40096.507879999997</v>
      </c>
      <c r="O77" s="7">
        <v>22456.251250000008</v>
      </c>
      <c r="P77" s="7">
        <v>8999.02441</v>
      </c>
      <c r="Q77" s="7">
        <v>51186.588191914983</v>
      </c>
      <c r="R77" s="7">
        <v>31532.622440402425</v>
      </c>
      <c r="S77" s="7">
        <v>20932.258394716027</v>
      </c>
      <c r="T77" s="7">
        <v>-2259.5159022849975</v>
      </c>
    </row>
    <row r="78" spans="1:20" x14ac:dyDescent="0.2">
      <c r="A78" s="6" t="s">
        <v>85</v>
      </c>
      <c r="B78" s="7">
        <f>[1]Input!$Y151</f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-1442.2384399999999</v>
      </c>
      <c r="Q78" s="7">
        <v>-6859.607006832498</v>
      </c>
      <c r="R78" s="7">
        <v>-3582.085332797501</v>
      </c>
      <c r="S78" s="7">
        <v>-2039.6695513825002</v>
      </c>
      <c r="T78" s="7">
        <v>-4564.0707564199993</v>
      </c>
    </row>
    <row r="79" spans="1:20" x14ac:dyDescent="0.2">
      <c r="A79" s="6" t="s">
        <v>86</v>
      </c>
      <c r="B79" s="7">
        <f>[1]Input!$Y152</f>
        <v>6216</v>
      </c>
      <c r="C79" s="7">
        <v>6312</v>
      </c>
      <c r="D79" s="7">
        <v>4664</v>
      </c>
      <c r="E79" s="7">
        <v>2480</v>
      </c>
      <c r="F79" s="7">
        <v>6383.7579999999998</v>
      </c>
      <c r="G79" s="7">
        <v>2774.4110000000001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</row>
    <row r="80" spans="1:20" ht="12.75" thickBot="1" x14ac:dyDescent="0.25">
      <c r="A80" s="16" t="s">
        <v>87</v>
      </c>
      <c r="B80" s="15">
        <f t="shared" ref="B80" si="27">SUM(B67:B79)</f>
        <v>1261233</v>
      </c>
      <c r="C80" s="15">
        <f t="shared" ref="C80:D80" si="28">SUM(C67:C79)</f>
        <v>1229183</v>
      </c>
      <c r="D80" s="15">
        <f t="shared" si="28"/>
        <v>1164484</v>
      </c>
      <c r="E80" s="15">
        <f t="shared" ref="E80:F80" si="29">SUM(E67:E79)</f>
        <v>1171691</v>
      </c>
      <c r="F80" s="15">
        <f t="shared" si="29"/>
        <v>1143125.524</v>
      </c>
      <c r="G80" s="15">
        <f t="shared" ref="G80:T80" si="30">SUM(G67:G79)</f>
        <v>1171897.4110000001</v>
      </c>
      <c r="H80" s="15">
        <f t="shared" si="30"/>
        <v>1186460</v>
      </c>
      <c r="I80" s="15">
        <f t="shared" si="30"/>
        <v>1178133</v>
      </c>
      <c r="J80" s="15">
        <f t="shared" si="30"/>
        <v>1362661</v>
      </c>
      <c r="K80" s="15">
        <f t="shared" si="30"/>
        <v>1324636</v>
      </c>
      <c r="L80" s="15">
        <f t="shared" si="30"/>
        <v>1234094</v>
      </c>
      <c r="M80" s="15">
        <f t="shared" si="30"/>
        <v>1217040</v>
      </c>
      <c r="N80" s="15">
        <f t="shared" si="30"/>
        <v>1188781.2797599998</v>
      </c>
      <c r="O80" s="15">
        <f t="shared" si="30"/>
        <v>185330.83887000001</v>
      </c>
      <c r="P80" s="15">
        <f t="shared" si="30"/>
        <v>172230.37973000004</v>
      </c>
      <c r="Q80" s="15">
        <f t="shared" si="30"/>
        <v>164667.29492333002</v>
      </c>
      <c r="R80" s="15">
        <f t="shared" si="30"/>
        <v>144628.35375857993</v>
      </c>
      <c r="S80" s="15">
        <f t="shared" si="30"/>
        <v>133249.05993430855</v>
      </c>
      <c r="T80" s="15">
        <f t="shared" si="30"/>
        <v>105575.94242904254</v>
      </c>
    </row>
    <row r="81" spans="1:20" ht="12.75" thickTop="1" x14ac:dyDescent="0.2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x14ac:dyDescent="0.2">
      <c r="A82" s="6" t="s">
        <v>88</v>
      </c>
      <c r="B82" s="7">
        <f>[1]Input!$Y153</f>
        <v>70142</v>
      </c>
      <c r="C82" s="7">
        <v>82495</v>
      </c>
      <c r="D82" s="7">
        <v>83973</v>
      </c>
      <c r="E82" s="7">
        <v>84366</v>
      </c>
      <c r="F82" s="7">
        <v>84361.660999999993</v>
      </c>
      <c r="G82" s="7">
        <v>79656.160000000003</v>
      </c>
      <c r="H82" s="7">
        <v>80181</v>
      </c>
      <c r="I82" s="7">
        <v>71829</v>
      </c>
      <c r="J82" s="7">
        <v>79551</v>
      </c>
      <c r="K82" s="7">
        <v>89827</v>
      </c>
      <c r="L82" s="7">
        <v>82975</v>
      </c>
      <c r="M82" s="7">
        <v>83300</v>
      </c>
      <c r="N82" s="7">
        <v>89735.141492098905</v>
      </c>
      <c r="O82" s="7">
        <v>80925</v>
      </c>
      <c r="P82" s="7">
        <v>78066.878757280778</v>
      </c>
      <c r="Q82" s="7">
        <v>76220.665435810952</v>
      </c>
      <c r="R82" s="7">
        <v>70696.237046137219</v>
      </c>
      <c r="S82" s="7">
        <v>66696.026225808484</v>
      </c>
      <c r="T82" s="7">
        <v>63329.844886111227</v>
      </c>
    </row>
    <row r="83" spans="1:20" x14ac:dyDescent="0.2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 ht="12.75" thickBot="1" x14ac:dyDescent="0.25">
      <c r="A84" s="16" t="s">
        <v>89</v>
      </c>
      <c r="B84" s="15">
        <f t="shared" ref="B84" si="31">+B80+B82</f>
        <v>1331375</v>
      </c>
      <c r="C84" s="15">
        <f t="shared" ref="C84:D84" si="32">+C80+C82</f>
        <v>1311678</v>
      </c>
      <c r="D84" s="15">
        <f t="shared" si="32"/>
        <v>1248457</v>
      </c>
      <c r="E84" s="15">
        <f t="shared" ref="E84:F84" si="33">+E80+E82</f>
        <v>1256057</v>
      </c>
      <c r="F84" s="15">
        <f t="shared" si="33"/>
        <v>1227487.1850000001</v>
      </c>
      <c r="G84" s="15">
        <f t="shared" ref="G84:O84" si="34">+G80+G82</f>
        <v>1251553.571</v>
      </c>
      <c r="H84" s="15">
        <f t="shared" si="34"/>
        <v>1266641</v>
      </c>
      <c r="I84" s="15">
        <f t="shared" si="34"/>
        <v>1249962</v>
      </c>
      <c r="J84" s="15">
        <f t="shared" si="34"/>
        <v>1442212</v>
      </c>
      <c r="K84" s="15">
        <f t="shared" si="34"/>
        <v>1414463</v>
      </c>
      <c r="L84" s="15">
        <f t="shared" si="34"/>
        <v>1317069</v>
      </c>
      <c r="M84" s="15">
        <f t="shared" si="34"/>
        <v>1300340</v>
      </c>
      <c r="N84" s="15">
        <f t="shared" si="34"/>
        <v>1278516.4212520986</v>
      </c>
      <c r="O84" s="15">
        <f t="shared" si="34"/>
        <v>266255.83886999998</v>
      </c>
      <c r="P84" s="15">
        <f t="shared" ref="P84:T84" si="35">+P80+P82</f>
        <v>250297.25848728081</v>
      </c>
      <c r="Q84" s="15">
        <f t="shared" si="35"/>
        <v>240887.96035914097</v>
      </c>
      <c r="R84" s="15">
        <f t="shared" si="35"/>
        <v>215324.59080471715</v>
      </c>
      <c r="S84" s="15">
        <f t="shared" si="35"/>
        <v>199945.08616011703</v>
      </c>
      <c r="T84" s="15">
        <f t="shared" si="35"/>
        <v>168905.78731515375</v>
      </c>
    </row>
    <row r="85" spans="1:20" ht="12.75" thickTop="1" x14ac:dyDescent="0.2">
      <c r="A85" s="6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 ht="12.75" thickBot="1" x14ac:dyDescent="0.25">
      <c r="A86" s="16" t="s">
        <v>90</v>
      </c>
      <c r="B86" s="15">
        <f t="shared" ref="B86" si="36">+B84+B53+B66</f>
        <v>2198322</v>
      </c>
      <c r="C86" s="15">
        <f t="shared" ref="C86:D86" si="37">+C84+C53+C66</f>
        <v>2031994</v>
      </c>
      <c r="D86" s="15">
        <f t="shared" si="37"/>
        <v>1964512</v>
      </c>
      <c r="E86" s="15">
        <f t="shared" ref="E86:F86" si="38">+E84+E53+E66</f>
        <v>1928664</v>
      </c>
      <c r="F86" s="15">
        <f t="shared" si="38"/>
        <v>1790264.355</v>
      </c>
      <c r="G86" s="15">
        <f t="shared" ref="G86:T86" si="39">+G84+G53+G66</f>
        <v>1794882.1089999999</v>
      </c>
      <c r="H86" s="15">
        <f t="shared" si="39"/>
        <v>1778449</v>
      </c>
      <c r="I86" s="15">
        <f t="shared" si="39"/>
        <v>1751041</v>
      </c>
      <c r="J86" s="15">
        <f t="shared" si="39"/>
        <v>1943035</v>
      </c>
      <c r="K86" s="15">
        <f t="shared" si="39"/>
        <v>1884420</v>
      </c>
      <c r="L86" s="15">
        <f t="shared" si="39"/>
        <v>1685384</v>
      </c>
      <c r="M86" s="15">
        <f t="shared" si="39"/>
        <v>1693791</v>
      </c>
      <c r="N86" s="15">
        <f t="shared" si="39"/>
        <v>1616145.2260820987</v>
      </c>
      <c r="O86" s="15">
        <f t="shared" si="39"/>
        <v>602103.79035999998</v>
      </c>
      <c r="P86" s="15">
        <f t="shared" si="39"/>
        <v>607505.20251728082</v>
      </c>
      <c r="Q86" s="15">
        <f t="shared" si="39"/>
        <v>569270.84985914093</v>
      </c>
      <c r="R86" s="15">
        <f t="shared" si="39"/>
        <v>440013.23311891244</v>
      </c>
      <c r="S86" s="15">
        <f t="shared" si="39"/>
        <v>413063.15035794699</v>
      </c>
      <c r="T86" s="15">
        <f t="shared" si="39"/>
        <v>340032.99793556629</v>
      </c>
    </row>
    <row r="87" spans="1:20" ht="12.75" thickTop="1" x14ac:dyDescent="0.2">
      <c r="A87" s="6"/>
      <c r="B87" s="6"/>
      <c r="C87" s="6"/>
      <c r="D87" s="6"/>
      <c r="E87" s="6"/>
      <c r="F87" s="6"/>
      <c r="G87" s="6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 x14ac:dyDescent="0.2">
      <c r="A88" s="5" t="s">
        <v>351</v>
      </c>
      <c r="B88" s="3" t="str">
        <f>B36</f>
        <v>3T23</v>
      </c>
      <c r="C88" s="3" t="str">
        <f>C36</f>
        <v>2T23</v>
      </c>
      <c r="D88" s="3" t="str">
        <f>D36</f>
        <v>1T23</v>
      </c>
      <c r="E88" s="3" t="str">
        <f>E36</f>
        <v>4T22</v>
      </c>
      <c r="F88" s="3" t="str">
        <f>F36</f>
        <v>3T22</v>
      </c>
      <c r="G88" s="3" t="str">
        <f t="shared" ref="G88:T88" si="40">G36</f>
        <v>2T22</v>
      </c>
      <c r="H88" s="3" t="str">
        <f t="shared" si="40"/>
        <v>1T22</v>
      </c>
      <c r="I88" s="3" t="str">
        <f t="shared" si="40"/>
        <v>4T21</v>
      </c>
      <c r="J88" s="3" t="str">
        <f t="shared" si="40"/>
        <v>3T21</v>
      </c>
      <c r="K88" s="3" t="str">
        <f t="shared" si="40"/>
        <v>2T21</v>
      </c>
      <c r="L88" s="3" t="str">
        <f t="shared" si="40"/>
        <v>1T21</v>
      </c>
      <c r="M88" s="3" t="str">
        <f t="shared" si="40"/>
        <v>4T20</v>
      </c>
      <c r="N88" s="3" t="str">
        <f t="shared" si="40"/>
        <v>3T20</v>
      </c>
      <c r="O88" s="3" t="str">
        <f t="shared" si="40"/>
        <v>2T20</v>
      </c>
      <c r="P88" s="3" t="str">
        <f t="shared" si="40"/>
        <v>1T20</v>
      </c>
      <c r="Q88" s="3" t="str">
        <f t="shared" si="40"/>
        <v>4T19</v>
      </c>
      <c r="R88" s="3" t="str">
        <f t="shared" si="40"/>
        <v>3T19</v>
      </c>
      <c r="S88" s="3" t="str">
        <f t="shared" si="40"/>
        <v>2T19</v>
      </c>
      <c r="T88" s="3" t="str">
        <f t="shared" si="40"/>
        <v>1T19</v>
      </c>
    </row>
    <row r="89" spans="1:20" x14ac:dyDescent="0.2">
      <c r="A89" s="6" t="s">
        <v>339</v>
      </c>
      <c r="B89" s="7">
        <f>C89</f>
        <v>199534.35200000001</v>
      </c>
      <c r="C89" s="7">
        <f>D89</f>
        <v>199534.35200000001</v>
      </c>
      <c r="D89" s="7">
        <f>E89</f>
        <v>199534.35200000001</v>
      </c>
      <c r="E89" s="7">
        <f>F89</f>
        <v>199534.35200000001</v>
      </c>
      <c r="F89" s="7">
        <f>G89</f>
        <v>199534.35200000001</v>
      </c>
      <c r="G89" s="7">
        <v>199534.35200000001</v>
      </c>
      <c r="H89" s="7">
        <f>I89</f>
        <v>208191.25200000001</v>
      </c>
      <c r="I89" s="7">
        <v>208191.25200000001</v>
      </c>
      <c r="J89" s="7">
        <v>214628.652</v>
      </c>
      <c r="K89" s="7">
        <f>J89</f>
        <v>214628.652</v>
      </c>
      <c r="L89" s="7">
        <f t="shared" ref="L89:T89" si="41">K89</f>
        <v>214628.652</v>
      </c>
      <c r="M89" s="7">
        <f t="shared" si="41"/>
        <v>214628.652</v>
      </c>
      <c r="N89" s="7">
        <f t="shared" si="41"/>
        <v>214628.652</v>
      </c>
      <c r="O89" s="7">
        <v>0</v>
      </c>
      <c r="P89" s="7">
        <v>0</v>
      </c>
      <c r="Q89" s="7">
        <v>0</v>
      </c>
      <c r="R89" s="7">
        <f t="shared" si="41"/>
        <v>0</v>
      </c>
      <c r="S89" s="7">
        <f t="shared" si="41"/>
        <v>0</v>
      </c>
      <c r="T89" s="7">
        <f t="shared" si="41"/>
        <v>0</v>
      </c>
    </row>
    <row r="90" spans="1:20" x14ac:dyDescent="0.2">
      <c r="A90" s="6"/>
      <c r="B90" s="6"/>
      <c r="C90" s="6"/>
      <c r="D90" s="6"/>
      <c r="E90" s="6"/>
      <c r="F90" s="6"/>
      <c r="G90" s="6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 x14ac:dyDescent="0.2">
      <c r="A91" s="6"/>
      <c r="B91" s="6"/>
      <c r="C91" s="6"/>
      <c r="D91" s="6"/>
      <c r="E91" s="6"/>
      <c r="F91" s="6"/>
      <c r="G91" s="6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 x14ac:dyDescent="0.2">
      <c r="A92" s="6"/>
      <c r="B92" s="6"/>
      <c r="C92" s="6"/>
      <c r="D92" s="6"/>
      <c r="E92" s="6"/>
      <c r="F92" s="6"/>
      <c r="G92" s="6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 x14ac:dyDescent="0.2">
      <c r="A93" s="6"/>
      <c r="B93" s="6"/>
      <c r="C93" s="6"/>
      <c r="D93" s="6"/>
      <c r="E93" s="6"/>
      <c r="F93" s="6"/>
      <c r="G93" s="6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 x14ac:dyDescent="0.2">
      <c r="A94" s="6"/>
      <c r="B94" s="6"/>
      <c r="C94" s="6"/>
      <c r="D94" s="6"/>
      <c r="E94" s="6"/>
      <c r="F94" s="6"/>
      <c r="G94" s="6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 x14ac:dyDescent="0.2">
      <c r="A95" s="6"/>
      <c r="B95" s="6"/>
      <c r="C95" s="6"/>
      <c r="D95" s="6"/>
      <c r="E95" s="6"/>
      <c r="F95" s="6"/>
      <c r="G95" s="6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 x14ac:dyDescent="0.2">
      <c r="A96" s="6"/>
      <c r="B96" s="6"/>
      <c r="C96" s="6"/>
      <c r="D96" s="6"/>
      <c r="E96" s="6"/>
      <c r="F96" s="6"/>
      <c r="G96" s="6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 x14ac:dyDescent="0.2">
      <c r="A97" s="6"/>
      <c r="B97" s="6"/>
      <c r="C97" s="6"/>
      <c r="D97" s="6"/>
      <c r="E97" s="6"/>
      <c r="F97" s="6"/>
      <c r="G97" s="6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 x14ac:dyDescent="0.2">
      <c r="A98" s="6"/>
      <c r="B98" s="6"/>
      <c r="C98" s="6"/>
      <c r="D98" s="6"/>
      <c r="E98" s="6"/>
      <c r="F98" s="6"/>
      <c r="G98" s="6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 x14ac:dyDescent="0.2">
      <c r="A99" s="6"/>
      <c r="B99" s="6"/>
      <c r="C99" s="6"/>
      <c r="D99" s="6"/>
      <c r="E99" s="6"/>
      <c r="F99" s="6"/>
      <c r="G99" s="6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x14ac:dyDescent="0.2">
      <c r="A100" s="6"/>
      <c r="B100" s="6"/>
      <c r="C100" s="6"/>
      <c r="D100" s="6"/>
      <c r="E100" s="6"/>
      <c r="F100" s="6"/>
      <c r="G100" s="6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 x14ac:dyDescent="0.2">
      <c r="A101" s="6"/>
      <c r="B101" s="6"/>
      <c r="C101" s="6"/>
      <c r="D101" s="6"/>
      <c r="E101" s="6"/>
      <c r="F101" s="6"/>
      <c r="G101" s="6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x14ac:dyDescent="0.2">
      <c r="A102" s="6"/>
      <c r="B102" s="6"/>
      <c r="C102" s="6"/>
      <c r="D102" s="6"/>
      <c r="E102" s="6"/>
      <c r="F102" s="6"/>
      <c r="G102" s="6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 x14ac:dyDescent="0.2">
      <c r="A103" s="6"/>
      <c r="B103" s="6"/>
      <c r="C103" s="6"/>
      <c r="D103" s="6"/>
      <c r="E103" s="6"/>
      <c r="F103" s="6"/>
      <c r="G103" s="6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 x14ac:dyDescent="0.2">
      <c r="A104" s="6"/>
      <c r="B104" s="6"/>
      <c r="C104" s="6"/>
      <c r="D104" s="6"/>
      <c r="E104" s="6"/>
      <c r="F104" s="6"/>
      <c r="G104" s="6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 x14ac:dyDescent="0.2">
      <c r="A105" s="6"/>
      <c r="B105" s="6"/>
      <c r="C105" s="6"/>
      <c r="D105" s="6"/>
      <c r="E105" s="6"/>
      <c r="F105" s="6"/>
      <c r="G105" s="6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 x14ac:dyDescent="0.2">
      <c r="A106" s="6"/>
      <c r="B106" s="6"/>
      <c r="C106" s="6"/>
      <c r="D106" s="6"/>
      <c r="E106" s="6"/>
      <c r="F106" s="6"/>
      <c r="G106" s="6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 x14ac:dyDescent="0.2">
      <c r="A107" s="6"/>
      <c r="B107" s="6"/>
      <c r="C107" s="6"/>
      <c r="D107" s="6"/>
      <c r="E107" s="6"/>
      <c r="F107" s="6"/>
      <c r="G107" s="6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 x14ac:dyDescent="0.2">
      <c r="A108" s="6"/>
      <c r="B108" s="6"/>
      <c r="C108" s="6"/>
      <c r="D108" s="6"/>
      <c r="E108" s="6"/>
      <c r="F108" s="6"/>
      <c r="G108" s="6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 x14ac:dyDescent="0.2">
      <c r="A109" s="6"/>
      <c r="B109" s="6"/>
      <c r="C109" s="6"/>
      <c r="D109" s="6"/>
      <c r="E109" s="6"/>
      <c r="F109" s="6"/>
      <c r="G109" s="6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 x14ac:dyDescent="0.2">
      <c r="A110" s="6"/>
      <c r="B110" s="6"/>
      <c r="C110" s="6"/>
      <c r="D110" s="6"/>
      <c r="E110" s="6"/>
      <c r="F110" s="6"/>
      <c r="G110" s="6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 x14ac:dyDescent="0.2">
      <c r="A111" s="6"/>
      <c r="B111" s="6"/>
      <c r="C111" s="6"/>
      <c r="D111" s="6"/>
      <c r="E111" s="6"/>
      <c r="F111" s="6"/>
      <c r="G111" s="6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 x14ac:dyDescent="0.2">
      <c r="A112" s="6"/>
      <c r="B112" s="6"/>
      <c r="C112" s="6"/>
      <c r="D112" s="6"/>
      <c r="E112" s="6"/>
      <c r="F112" s="6"/>
      <c r="G112" s="6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 x14ac:dyDescent="0.2">
      <c r="A113" s="6"/>
      <c r="B113" s="6"/>
      <c r="C113" s="6"/>
      <c r="D113" s="6"/>
      <c r="E113" s="6"/>
      <c r="F113" s="6"/>
      <c r="G113" s="6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x14ac:dyDescent="0.2">
      <c r="A114" s="6"/>
      <c r="B114" s="6"/>
      <c r="C114" s="6"/>
      <c r="D114" s="6"/>
      <c r="E114" s="6"/>
      <c r="F114" s="6"/>
      <c r="G114" s="6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 x14ac:dyDescent="0.2">
      <c r="A115" s="6"/>
      <c r="B115" s="6"/>
      <c r="C115" s="6"/>
      <c r="D115" s="6"/>
      <c r="E115" s="6"/>
      <c r="F115" s="6"/>
      <c r="G115" s="6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 x14ac:dyDescent="0.2">
      <c r="A116" s="6"/>
      <c r="B116" s="6"/>
      <c r="C116" s="6"/>
      <c r="D116" s="6"/>
      <c r="E116" s="6"/>
      <c r="F116" s="6"/>
      <c r="G116" s="6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 x14ac:dyDescent="0.2">
      <c r="A117" s="6"/>
      <c r="B117" s="6"/>
      <c r="C117" s="6"/>
      <c r="D117" s="6"/>
      <c r="E117" s="6"/>
      <c r="F117" s="6"/>
      <c r="G117" s="6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 x14ac:dyDescent="0.2">
      <c r="A118" s="6"/>
      <c r="B118" s="6"/>
      <c r="C118" s="6"/>
      <c r="D118" s="6"/>
      <c r="E118" s="6"/>
      <c r="F118" s="6"/>
      <c r="G118" s="6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 x14ac:dyDescent="0.2">
      <c r="A119" s="6"/>
      <c r="B119" s="6"/>
      <c r="C119" s="6"/>
      <c r="D119" s="6"/>
      <c r="E119" s="6"/>
      <c r="F119" s="6"/>
      <c r="G119" s="6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x14ac:dyDescent="0.2">
      <c r="A120" s="6"/>
      <c r="B120" s="6"/>
      <c r="C120" s="6"/>
      <c r="D120" s="6"/>
      <c r="E120" s="6"/>
      <c r="F120" s="6"/>
      <c r="G120" s="6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 x14ac:dyDescent="0.2">
      <c r="A121" s="6"/>
      <c r="B121" s="6"/>
      <c r="C121" s="6"/>
      <c r="D121" s="6"/>
      <c r="E121" s="6"/>
      <c r="F121" s="6"/>
      <c r="G121" s="6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 x14ac:dyDescent="0.2">
      <c r="A122" s="6"/>
      <c r="B122" s="6"/>
      <c r="C122" s="6"/>
      <c r="D122" s="6"/>
      <c r="E122" s="6"/>
      <c r="F122" s="6"/>
      <c r="G122" s="6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 x14ac:dyDescent="0.2">
      <c r="A123" s="6"/>
      <c r="B123" s="6"/>
      <c r="C123" s="6"/>
      <c r="D123" s="6"/>
      <c r="E123" s="6"/>
      <c r="F123" s="6"/>
      <c r="G123" s="6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 x14ac:dyDescent="0.2">
      <c r="A124" s="6"/>
      <c r="B124" s="6"/>
      <c r="C124" s="6"/>
      <c r="D124" s="6"/>
      <c r="E124" s="6"/>
      <c r="F124" s="6"/>
      <c r="G124" s="6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 x14ac:dyDescent="0.2">
      <c r="A125" s="6"/>
      <c r="B125" s="6"/>
      <c r="C125" s="6"/>
      <c r="D125" s="6"/>
      <c r="E125" s="6"/>
      <c r="F125" s="6"/>
      <c r="G125" s="6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 x14ac:dyDescent="0.2">
      <c r="A126" s="6"/>
      <c r="B126" s="6"/>
      <c r="C126" s="6"/>
      <c r="D126" s="6"/>
      <c r="E126" s="6"/>
      <c r="F126" s="6"/>
      <c r="G126" s="6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 x14ac:dyDescent="0.2">
      <c r="A127" s="6"/>
      <c r="B127" s="6"/>
      <c r="C127" s="6"/>
      <c r="D127" s="6"/>
      <c r="E127" s="6"/>
      <c r="F127" s="6"/>
      <c r="G127" s="6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 x14ac:dyDescent="0.2">
      <c r="A128" s="6"/>
      <c r="B128" s="6"/>
      <c r="C128" s="6"/>
      <c r="D128" s="6"/>
      <c r="E128" s="6"/>
      <c r="F128" s="6"/>
      <c r="G128" s="6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 x14ac:dyDescent="0.2">
      <c r="A129" s="6"/>
      <c r="B129" s="6"/>
      <c r="C129" s="6"/>
      <c r="D129" s="6"/>
      <c r="E129" s="6"/>
      <c r="F129" s="6"/>
      <c r="G129" s="6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x14ac:dyDescent="0.2">
      <c r="A130" s="6"/>
      <c r="B130" s="6"/>
      <c r="C130" s="6"/>
      <c r="D130" s="6"/>
      <c r="E130" s="6"/>
      <c r="F130" s="6"/>
      <c r="G130" s="6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0" x14ac:dyDescent="0.2">
      <c r="A131" s="6"/>
      <c r="B131" s="6"/>
      <c r="C131" s="6"/>
      <c r="D131" s="6"/>
      <c r="E131" s="6"/>
      <c r="F131" s="6"/>
      <c r="G131" s="6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 x14ac:dyDescent="0.2">
      <c r="A132" s="6"/>
      <c r="B132" s="6"/>
      <c r="C132" s="6"/>
      <c r="D132" s="6"/>
      <c r="E132" s="6"/>
      <c r="F132" s="6"/>
      <c r="G132" s="6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1:20" x14ac:dyDescent="0.2">
      <c r="A133" s="6"/>
      <c r="B133" s="6"/>
      <c r="C133" s="6"/>
      <c r="D133" s="6"/>
      <c r="E133" s="6"/>
      <c r="F133" s="6"/>
      <c r="G133" s="6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 x14ac:dyDescent="0.2">
      <c r="A134" s="6"/>
      <c r="B134" s="6"/>
      <c r="C134" s="6"/>
      <c r="D134" s="6"/>
      <c r="E134" s="6"/>
      <c r="F134" s="6"/>
      <c r="G134" s="6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 x14ac:dyDescent="0.2">
      <c r="A135" s="6"/>
      <c r="B135" s="6"/>
      <c r="C135" s="6"/>
      <c r="D135" s="6"/>
      <c r="E135" s="6"/>
      <c r="F135" s="6"/>
      <c r="G135" s="6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 x14ac:dyDescent="0.2">
      <c r="A136" s="6"/>
      <c r="B136" s="6"/>
      <c r="C136" s="6"/>
      <c r="D136" s="6"/>
      <c r="E136" s="6"/>
      <c r="F136" s="6"/>
      <c r="G136" s="6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 x14ac:dyDescent="0.2">
      <c r="A137" s="6"/>
      <c r="B137" s="6"/>
      <c r="C137" s="6"/>
      <c r="D137" s="6"/>
      <c r="E137" s="6"/>
      <c r="F137" s="6"/>
      <c r="G137" s="6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0" x14ac:dyDescent="0.2">
      <c r="A138" s="6"/>
      <c r="B138" s="6"/>
      <c r="C138" s="6"/>
      <c r="D138" s="6"/>
      <c r="E138" s="6"/>
      <c r="F138" s="6"/>
      <c r="G138" s="6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1:20" x14ac:dyDescent="0.2">
      <c r="A139" s="6"/>
      <c r="B139" s="6"/>
      <c r="C139" s="6"/>
      <c r="D139" s="6"/>
      <c r="E139" s="6"/>
      <c r="F139" s="6"/>
      <c r="G139" s="6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1:20" x14ac:dyDescent="0.2">
      <c r="A140" s="6"/>
      <c r="B140" s="6"/>
      <c r="C140" s="6"/>
      <c r="D140" s="6"/>
      <c r="E140" s="6"/>
      <c r="F140" s="6"/>
      <c r="G140" s="6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1:20" x14ac:dyDescent="0.2">
      <c r="A141" s="6"/>
      <c r="B141" s="6"/>
      <c r="C141" s="6"/>
      <c r="D141" s="6"/>
      <c r="E141" s="6"/>
      <c r="F141" s="6"/>
      <c r="G141" s="6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1:20" x14ac:dyDescent="0.2">
      <c r="A142" s="6"/>
      <c r="B142" s="6"/>
      <c r="C142" s="6"/>
      <c r="D142" s="6"/>
      <c r="E142" s="6"/>
      <c r="F142" s="6"/>
      <c r="G142" s="6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1:20" x14ac:dyDescent="0.2">
      <c r="A143" s="6"/>
      <c r="B143" s="6"/>
      <c r="C143" s="6"/>
      <c r="D143" s="6"/>
      <c r="E143" s="6"/>
      <c r="F143" s="6"/>
      <c r="G143" s="6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1:20" x14ac:dyDescent="0.2">
      <c r="A144" s="6"/>
      <c r="B144" s="6"/>
      <c r="C144" s="6"/>
      <c r="D144" s="6"/>
      <c r="E144" s="6"/>
      <c r="F144" s="6"/>
      <c r="G144" s="6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1:20" x14ac:dyDescent="0.2">
      <c r="A145" s="6"/>
      <c r="B145" s="6"/>
      <c r="C145" s="6"/>
      <c r="D145" s="6"/>
      <c r="E145" s="6"/>
      <c r="F145" s="6"/>
      <c r="G145" s="6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1:20" x14ac:dyDescent="0.2">
      <c r="A146" s="6"/>
      <c r="B146" s="6"/>
      <c r="C146" s="6"/>
      <c r="D146" s="6"/>
      <c r="E146" s="6"/>
      <c r="F146" s="6"/>
      <c r="G146" s="6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1:20" x14ac:dyDescent="0.2">
      <c r="A147" s="6"/>
      <c r="B147" s="6"/>
      <c r="C147" s="6"/>
      <c r="D147" s="6"/>
      <c r="E147" s="6"/>
      <c r="F147" s="6"/>
      <c r="G147" s="6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x14ac:dyDescent="0.2">
      <c r="A148" s="6"/>
      <c r="B148" s="6"/>
      <c r="C148" s="6"/>
      <c r="D148" s="6"/>
      <c r="E148" s="6"/>
      <c r="F148" s="6"/>
      <c r="G148" s="6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363A-C3CB-45EF-AA13-CC3E63B58FE1}">
  <sheetPr>
    <tabColor rgb="FFC8A74B"/>
  </sheetPr>
  <dimension ref="A5:T31"/>
  <sheetViews>
    <sheetView showGridLines="0" zoomScaleNormal="100" workbookViewId="0"/>
  </sheetViews>
  <sheetFormatPr defaultColWidth="0" defaultRowHeight="15" x14ac:dyDescent="0.25"/>
  <cols>
    <col min="1" max="1" width="41" bestFit="1" customWidth="1"/>
    <col min="2" max="20" width="9.140625" customWidth="1"/>
    <col min="21" max="16384" width="9.140625" hidden="1"/>
  </cols>
  <sheetData>
    <row r="5" spans="1:20" x14ac:dyDescent="0.25">
      <c r="A5" s="5" t="s">
        <v>395</v>
      </c>
      <c r="B5" s="3" t="s">
        <v>380</v>
      </c>
      <c r="C5" s="3" t="s">
        <v>370</v>
      </c>
      <c r="D5" s="3" t="s">
        <v>368</v>
      </c>
      <c r="E5" s="3" t="s">
        <v>354</v>
      </c>
      <c r="F5" s="3" t="s">
        <v>331</v>
      </c>
      <c r="G5" s="3" t="s">
        <v>325</v>
      </c>
      <c r="H5" s="3" t="s">
        <v>309</v>
      </c>
      <c r="I5" s="3" t="s">
        <v>304</v>
      </c>
      <c r="J5" s="3" t="s">
        <v>296</v>
      </c>
      <c r="K5" s="3" t="s">
        <v>288</v>
      </c>
      <c r="L5" s="3" t="s">
        <v>286</v>
      </c>
      <c r="M5" s="3" t="s">
        <v>277</v>
      </c>
      <c r="N5" s="3" t="s">
        <v>2</v>
      </c>
      <c r="O5" s="3" t="s">
        <v>1</v>
      </c>
      <c r="P5" s="3" t="s">
        <v>4</v>
      </c>
      <c r="Q5" s="3" t="s">
        <v>3</v>
      </c>
      <c r="R5" s="3" t="s">
        <v>5</v>
      </c>
      <c r="S5" s="3" t="s">
        <v>6</v>
      </c>
      <c r="T5" s="3" t="s">
        <v>7</v>
      </c>
    </row>
    <row r="6" spans="1:20" x14ac:dyDescent="0.25">
      <c r="A6" s="6" t="s">
        <v>263</v>
      </c>
      <c r="B6" s="7">
        <f>'Balanço Patrimonial'!B38</f>
        <v>35072</v>
      </c>
      <c r="C6" s="7">
        <f>'Balanço Patrimonial'!C38</f>
        <v>884</v>
      </c>
      <c r="D6" s="7">
        <f>'Balanço Patrimonial'!D38</f>
        <v>653</v>
      </c>
      <c r="E6" s="7">
        <f>'Balanço Patrimonial'!E38</f>
        <v>325</v>
      </c>
      <c r="F6" s="7">
        <f>'Balanço Patrimonial'!F38</f>
        <v>12.159000000000001</v>
      </c>
      <c r="G6" s="7">
        <f>'Balanço Patrimonial'!G38</f>
        <v>4.694</v>
      </c>
      <c r="H6" s="7">
        <f>'Balanço Patrimonial'!H38</f>
        <v>0</v>
      </c>
      <c r="I6" s="7">
        <f>'Balanço Patrimonial'!I38</f>
        <v>1</v>
      </c>
      <c r="J6" s="7">
        <f>'Balanço Patrimonial'!J38</f>
        <v>628</v>
      </c>
      <c r="K6" s="7">
        <f>'Balanço Patrimonial'!K38</f>
        <v>267</v>
      </c>
      <c r="L6" s="7">
        <f>'Balanço Patrimonial'!L38</f>
        <v>543</v>
      </c>
      <c r="M6" s="7">
        <f>'Balanço Patrimonial'!M38</f>
        <v>3004</v>
      </c>
      <c r="N6" s="7">
        <f>'Balanço Patrimonial'!N38</f>
        <v>620.73636999999997</v>
      </c>
      <c r="O6" s="7">
        <f>'Balanço Patrimonial'!O38</f>
        <v>137.62628999999995</v>
      </c>
      <c r="P6" s="7">
        <f>'Balanço Patrimonial'!P38</f>
        <v>12409.1574</v>
      </c>
      <c r="Q6" s="7">
        <f>'Balanço Patrimonial'!Q38</f>
        <v>13363.714749999999</v>
      </c>
      <c r="R6" s="7">
        <f>'Balanço Patrimonial'!R38</f>
        <v>25361.415619999996</v>
      </c>
      <c r="S6" s="7">
        <f>'Balanço Patrimonial'!S38</f>
        <v>328.20314000000008</v>
      </c>
      <c r="T6" s="7">
        <f>'Balanço Patrimonial'!T38</f>
        <v>5245.5618581520366</v>
      </c>
    </row>
    <row r="7" spans="1:20" x14ac:dyDescent="0.25">
      <c r="A7" s="48" t="s">
        <v>264</v>
      </c>
      <c r="B7" s="7">
        <f>'Balanço Patrimonial'!B54</f>
        <v>147001</v>
      </c>
      <c r="C7" s="7">
        <f>'Balanço Patrimonial'!C54</f>
        <v>63357</v>
      </c>
      <c r="D7" s="7">
        <f>'Balanço Patrimonial'!D54</f>
        <v>42142</v>
      </c>
      <c r="E7" s="7">
        <f>'Balanço Patrimonial'!E54</f>
        <v>42243</v>
      </c>
      <c r="F7" s="7">
        <f>'Balanço Patrimonial'!F54</f>
        <v>1524.9580000000001</v>
      </c>
      <c r="G7" s="7">
        <f>'Balanço Patrimonial'!G54</f>
        <v>515.03099999999995</v>
      </c>
      <c r="H7" s="7">
        <f>'Balanço Patrimonial'!H54</f>
        <v>508</v>
      </c>
      <c r="I7" s="7">
        <f>'Balanço Patrimonial'!I54</f>
        <v>413</v>
      </c>
      <c r="J7" s="7">
        <f>'Balanço Patrimonial'!J54</f>
        <v>50204</v>
      </c>
      <c r="K7" s="7">
        <f>'Balanço Patrimonial'!K54</f>
        <v>50204</v>
      </c>
      <c r="L7" s="7">
        <f>'Balanço Patrimonial'!L54</f>
        <v>50204</v>
      </c>
      <c r="M7" s="7">
        <f>'Balanço Patrimonial'!M54</f>
        <v>54200</v>
      </c>
      <c r="N7" s="7">
        <f>'Balanço Patrimonial'!N54</f>
        <v>50200</v>
      </c>
      <c r="O7" s="7">
        <f>'Balanço Patrimonial'!O54</f>
        <v>50000</v>
      </c>
      <c r="P7" s="7">
        <f>'Balanço Patrimonial'!P54</f>
        <v>51386.985789999999</v>
      </c>
      <c r="Q7" s="7">
        <f>'Balanço Patrimonial'!Q54</f>
        <v>51108.486109999998</v>
      </c>
      <c r="R7" s="7">
        <f>'Balanço Patrimonial'!R54</f>
        <v>1242.49127</v>
      </c>
      <c r="S7" s="7">
        <f>'Balanço Patrimonial'!S54</f>
        <v>30761.843849999997</v>
      </c>
      <c r="T7" s="7">
        <f>'Balanço Patrimonial'!T54</f>
        <v>18361.165392260471</v>
      </c>
    </row>
    <row r="8" spans="1:20" x14ac:dyDescent="0.25">
      <c r="A8" s="9" t="s">
        <v>265</v>
      </c>
      <c r="B8" s="50">
        <f>SUM(B6:B7)</f>
        <v>182073</v>
      </c>
      <c r="C8" s="50">
        <f t="shared" ref="C8:T8" si="0">SUM(C6:C7)</f>
        <v>64241</v>
      </c>
      <c r="D8" s="50">
        <f t="shared" si="0"/>
        <v>42795</v>
      </c>
      <c r="E8" s="50">
        <f t="shared" si="0"/>
        <v>42568</v>
      </c>
      <c r="F8" s="50">
        <f t="shared" si="0"/>
        <v>1537.1170000000002</v>
      </c>
      <c r="G8" s="50">
        <f t="shared" si="0"/>
        <v>519.72499999999991</v>
      </c>
      <c r="H8" s="50">
        <f t="shared" si="0"/>
        <v>508</v>
      </c>
      <c r="I8" s="50">
        <f t="shared" si="0"/>
        <v>414</v>
      </c>
      <c r="J8" s="50">
        <f t="shared" si="0"/>
        <v>50832</v>
      </c>
      <c r="K8" s="50">
        <f t="shared" si="0"/>
        <v>50471</v>
      </c>
      <c r="L8" s="50">
        <f t="shared" si="0"/>
        <v>50747</v>
      </c>
      <c r="M8" s="50">
        <f t="shared" si="0"/>
        <v>57204</v>
      </c>
      <c r="N8" s="50">
        <f t="shared" si="0"/>
        <v>50820.736369999999</v>
      </c>
      <c r="O8" s="50">
        <f t="shared" si="0"/>
        <v>50137.62629</v>
      </c>
      <c r="P8" s="50">
        <f t="shared" si="0"/>
        <v>63796.143190000003</v>
      </c>
      <c r="Q8" s="50">
        <f t="shared" si="0"/>
        <v>64472.200859999997</v>
      </c>
      <c r="R8" s="50">
        <f t="shared" si="0"/>
        <v>26603.906889999995</v>
      </c>
      <c r="S8" s="50">
        <f t="shared" si="0"/>
        <v>31090.046989999999</v>
      </c>
      <c r="T8" s="50">
        <f t="shared" si="0"/>
        <v>23606.727250412507</v>
      </c>
    </row>
    <row r="9" spans="1:20" ht="8.25" customHeight="1" x14ac:dyDescent="0.25"/>
    <row r="10" spans="1:20" x14ac:dyDescent="0.25">
      <c r="A10" s="6" t="s">
        <v>28</v>
      </c>
      <c r="B10" s="7">
        <f>'Balanço Patrimonial'!B7</f>
        <v>16204</v>
      </c>
      <c r="C10" s="7">
        <f>'Balanço Patrimonial'!C7</f>
        <v>33473</v>
      </c>
      <c r="D10" s="7">
        <f>'Balanço Patrimonial'!D7</f>
        <v>32215</v>
      </c>
      <c r="E10" s="7">
        <f>'Balanço Patrimonial'!E7</f>
        <v>32685</v>
      </c>
      <c r="F10" s="7">
        <f>'Balanço Patrimonial'!F7</f>
        <v>15916.277</v>
      </c>
      <c r="G10" s="7">
        <f>'Balanço Patrimonial'!G7</f>
        <v>14831.493</v>
      </c>
      <c r="H10" s="7">
        <f>'Balanço Patrimonial'!H7</f>
        <v>2257</v>
      </c>
      <c r="I10" s="7">
        <f>'Balanço Patrimonial'!I7</f>
        <v>4620</v>
      </c>
      <c r="J10" s="7">
        <f>'Balanço Patrimonial'!J7</f>
        <v>2686</v>
      </c>
      <c r="K10" s="7">
        <f>'Balanço Patrimonial'!K7</f>
        <v>792431</v>
      </c>
      <c r="L10" s="7">
        <f>'Balanço Patrimonial'!L7</f>
        <v>811605</v>
      </c>
      <c r="M10" s="7">
        <f>'Balanço Patrimonial'!M7</f>
        <v>899712</v>
      </c>
      <c r="N10" s="7">
        <f>'Balanço Patrimonial'!N7</f>
        <v>1012152.2677099999</v>
      </c>
      <c r="O10" s="7">
        <f>'Balanço Patrimonial'!O7</f>
        <v>37645</v>
      </c>
      <c r="P10" s="7">
        <f>'Balanço Patrimonial'!P7</f>
        <v>47284.666120000009</v>
      </c>
      <c r="Q10" s="7">
        <f>'Balanço Patrimonial'!Q7</f>
        <v>76499.729099999997</v>
      </c>
      <c r="R10" s="7">
        <f>'Balanço Patrimonial'!R7</f>
        <v>49939.039660000002</v>
      </c>
      <c r="S10" s="7">
        <f>'Balanço Patrimonial'!S7</f>
        <v>39288.536120000004</v>
      </c>
      <c r="T10" s="7">
        <f>'Balanço Patrimonial'!T7</f>
        <v>30567.598810000003</v>
      </c>
    </row>
    <row r="11" spans="1:20" x14ac:dyDescent="0.25">
      <c r="A11" s="48" t="s">
        <v>396</v>
      </c>
      <c r="B11" s="7">
        <f>'Balanço Patrimonial'!B9+'Balanço Patrimonial'!B21</f>
        <v>481433</v>
      </c>
      <c r="C11" s="7">
        <f>'Balanço Patrimonial'!C9+'Balanço Patrimonial'!C21</f>
        <v>510953</v>
      </c>
      <c r="D11" s="7">
        <f>'Balanço Patrimonial'!D9+'Balanço Patrimonial'!D21</f>
        <v>479392</v>
      </c>
      <c r="E11" s="7">
        <f>'Balanço Patrimonial'!E9+'Balanço Patrimonial'!E21</f>
        <v>503399</v>
      </c>
      <c r="F11" s="7">
        <f>'Balanço Patrimonial'!F9+'Balanço Patrimonial'!F21</f>
        <v>580942.27</v>
      </c>
      <c r="G11" s="7">
        <f>'Balanço Patrimonial'!G9+'Balanço Patrimonial'!G21</f>
        <v>614481.77799999993</v>
      </c>
      <c r="H11" s="7">
        <f>'Balanço Patrimonial'!H9+'Balanço Patrimonial'!H21</f>
        <v>624066</v>
      </c>
      <c r="I11" s="7">
        <f>'Balanço Patrimonial'!I9+'Balanço Patrimonial'!I21</f>
        <v>566812</v>
      </c>
      <c r="J11" s="7">
        <f>'Balanço Patrimonial'!J9+'Balanço Patrimonial'!J21</f>
        <v>750932</v>
      </c>
      <c r="K11" s="7">
        <f>'Balanço Patrimonial'!K9+'Balanço Patrimonial'!K21</f>
        <v>114211</v>
      </c>
      <c r="L11" s="7">
        <f>'Balanço Patrimonial'!L9+'Balanço Patrimonial'!L21</f>
        <v>123177</v>
      </c>
      <c r="M11" s="7">
        <f>'Balanço Patrimonial'!M9+'Balanço Patrimonial'!M21</f>
        <v>122723</v>
      </c>
      <c r="N11" s="7">
        <f>'Balanço Patrimonial'!N9+'Balanço Patrimonial'!N21</f>
        <v>0</v>
      </c>
      <c r="O11" s="7">
        <f>'Balanço Patrimonial'!O9+'Balanço Patrimonial'!O21</f>
        <v>0</v>
      </c>
      <c r="P11" s="7">
        <f>'Balanço Patrimonial'!P9+'Balanço Patrimonial'!P21</f>
        <v>1436.9810199999999</v>
      </c>
      <c r="Q11" s="7">
        <f>'Balanço Patrimonial'!Q9+'Balanço Patrimonial'!Q21</f>
        <v>0</v>
      </c>
      <c r="R11" s="7">
        <f>'Balanço Patrimonial'!R9+'Balanço Patrimonial'!R21</f>
        <v>1784.5393200000001</v>
      </c>
      <c r="S11" s="7">
        <f>'Balanço Patrimonial'!S9+'Balanço Patrimonial'!S21</f>
        <v>3587.1229299999995</v>
      </c>
      <c r="T11" s="7">
        <f>'Balanço Patrimonial'!T9+'Balanço Patrimonial'!T21</f>
        <v>3946.9974500000003</v>
      </c>
    </row>
    <row r="12" spans="1:20" x14ac:dyDescent="0.25">
      <c r="A12" s="9" t="s">
        <v>397</v>
      </c>
      <c r="B12" s="50">
        <f>SUM(B10:B11)</f>
        <v>497637</v>
      </c>
      <c r="C12" s="50">
        <f t="shared" ref="C12" si="1">SUM(C10:C11)</f>
        <v>544426</v>
      </c>
      <c r="D12" s="50">
        <f t="shared" ref="D12" si="2">SUM(D10:D11)</f>
        <v>511607</v>
      </c>
      <c r="E12" s="50">
        <f t="shared" ref="E12" si="3">SUM(E10:E11)</f>
        <v>536084</v>
      </c>
      <c r="F12" s="50">
        <f t="shared" ref="F12" si="4">SUM(F10:F11)</f>
        <v>596858.54700000002</v>
      </c>
      <c r="G12" s="50">
        <f t="shared" ref="G12" si="5">SUM(G10:G11)</f>
        <v>629313.27099999995</v>
      </c>
      <c r="H12" s="50">
        <f t="shared" ref="H12" si="6">SUM(H10:H11)</f>
        <v>626323</v>
      </c>
      <c r="I12" s="50">
        <f t="shared" ref="I12" si="7">SUM(I10:I11)</f>
        <v>571432</v>
      </c>
      <c r="J12" s="50">
        <f t="shared" ref="J12" si="8">SUM(J10:J11)</f>
        <v>753618</v>
      </c>
      <c r="K12" s="50">
        <f t="shared" ref="K12" si="9">SUM(K10:K11)</f>
        <v>906642</v>
      </c>
      <c r="L12" s="50">
        <f t="shared" ref="L12" si="10">SUM(L10:L11)</f>
        <v>934782</v>
      </c>
      <c r="M12" s="50">
        <f t="shared" ref="M12" si="11">SUM(M10:M11)</f>
        <v>1022435</v>
      </c>
      <c r="N12" s="50">
        <f t="shared" ref="N12" si="12">SUM(N10:N11)</f>
        <v>1012152.2677099999</v>
      </c>
      <c r="O12" s="50">
        <f t="shared" ref="O12" si="13">SUM(O10:O11)</f>
        <v>37645</v>
      </c>
      <c r="P12" s="50">
        <f t="shared" ref="P12" si="14">SUM(P10:P11)</f>
        <v>48721.647140000008</v>
      </c>
      <c r="Q12" s="50">
        <f t="shared" ref="Q12" si="15">SUM(Q10:Q11)</f>
        <v>76499.729099999997</v>
      </c>
      <c r="R12" s="50">
        <f t="shared" ref="R12" si="16">SUM(R10:R11)</f>
        <v>51723.578980000006</v>
      </c>
      <c r="S12" s="50">
        <f t="shared" ref="S12" si="17">SUM(S10:S11)</f>
        <v>42875.659050000002</v>
      </c>
      <c r="T12" s="50">
        <f t="shared" ref="T12" si="18">SUM(T10:T11)</f>
        <v>34514.596260000006</v>
      </c>
    </row>
    <row r="14" spans="1:20" x14ac:dyDescent="0.25">
      <c r="A14" s="46" t="s">
        <v>398</v>
      </c>
      <c r="B14" s="39">
        <f>+B8-B12</f>
        <v>-315564</v>
      </c>
      <c r="C14" s="39">
        <f t="shared" ref="C14:S14" si="19">+C8-C12</f>
        <v>-480185</v>
      </c>
      <c r="D14" s="39">
        <f t="shared" si="19"/>
        <v>-468812</v>
      </c>
      <c r="E14" s="39">
        <f t="shared" si="19"/>
        <v>-493516</v>
      </c>
      <c r="F14" s="39">
        <f t="shared" si="19"/>
        <v>-595321.43000000005</v>
      </c>
      <c r="G14" s="39">
        <f t="shared" si="19"/>
        <v>-628793.54599999997</v>
      </c>
      <c r="H14" s="39">
        <f t="shared" si="19"/>
        <v>-625815</v>
      </c>
      <c r="I14" s="39">
        <f t="shared" si="19"/>
        <v>-571018</v>
      </c>
      <c r="J14" s="39">
        <f t="shared" si="19"/>
        <v>-702786</v>
      </c>
      <c r="K14" s="39">
        <f t="shared" si="19"/>
        <v>-856171</v>
      </c>
      <c r="L14" s="39">
        <f t="shared" si="19"/>
        <v>-884035</v>
      </c>
      <c r="M14" s="39">
        <f t="shared" si="19"/>
        <v>-965231</v>
      </c>
      <c r="N14" s="39">
        <f t="shared" si="19"/>
        <v>-961331.53133999999</v>
      </c>
      <c r="O14" s="39">
        <f t="shared" si="19"/>
        <v>12492.62629</v>
      </c>
      <c r="P14" s="39">
        <f t="shared" si="19"/>
        <v>15074.496049999994</v>
      </c>
      <c r="Q14" s="39">
        <f t="shared" si="19"/>
        <v>-12027.52824</v>
      </c>
      <c r="R14" s="39">
        <f t="shared" si="19"/>
        <v>-25119.672090000011</v>
      </c>
      <c r="S14" s="39">
        <f t="shared" si="19"/>
        <v>-11785.612060000003</v>
      </c>
      <c r="T14" s="39">
        <f>T8-T12</f>
        <v>-10907.869009587499</v>
      </c>
    </row>
    <row r="15" spans="1:20" ht="15.75" thickBot="1" x14ac:dyDescent="0.3">
      <c r="A15" s="16" t="s">
        <v>399</v>
      </c>
      <c r="B15" s="20">
        <f t="shared" ref="B15:M15" si="20">-(B14-C14)</f>
        <v>-164621</v>
      </c>
      <c r="C15" s="20">
        <f t="shared" si="20"/>
        <v>11373</v>
      </c>
      <c r="D15" s="20">
        <f t="shared" si="20"/>
        <v>-24704</v>
      </c>
      <c r="E15" s="20">
        <f t="shared" si="20"/>
        <v>-101805.43000000005</v>
      </c>
      <c r="F15" s="20">
        <f t="shared" si="20"/>
        <v>-33472.115999999922</v>
      </c>
      <c r="G15" s="20">
        <f t="shared" si="20"/>
        <v>2978.545999999973</v>
      </c>
      <c r="H15" s="20">
        <f t="shared" si="20"/>
        <v>54797</v>
      </c>
      <c r="I15" s="20">
        <f t="shared" si="20"/>
        <v>-131768</v>
      </c>
      <c r="J15" s="20">
        <f t="shared" si="20"/>
        <v>-153385</v>
      </c>
      <c r="K15" s="20">
        <f t="shared" si="20"/>
        <v>-27864</v>
      </c>
      <c r="L15" s="20">
        <f t="shared" si="20"/>
        <v>-81196</v>
      </c>
      <c r="M15" s="20">
        <f t="shared" si="20"/>
        <v>3899.4686600000132</v>
      </c>
      <c r="N15" s="20">
        <f>-(N14-O14)-976000</f>
        <v>-2175.8423699999694</v>
      </c>
      <c r="O15" s="20">
        <f>-(O14-P14)</f>
        <v>2581.8697599999941</v>
      </c>
      <c r="P15" s="20">
        <f t="shared" ref="P15:S15" si="21">-(P14-Q14)</f>
        <v>-27102.024289999994</v>
      </c>
      <c r="Q15" s="20">
        <f t="shared" si="21"/>
        <v>-13092.143850000011</v>
      </c>
      <c r="R15" s="20">
        <f t="shared" si="21"/>
        <v>13334.060030000008</v>
      </c>
      <c r="S15" s="20">
        <f t="shared" si="21"/>
        <v>877.74305041250409</v>
      </c>
      <c r="T15" s="20">
        <f>-(T14--22449)</f>
        <v>-11541.130990412501</v>
      </c>
    </row>
    <row r="16" spans="1:20" ht="15.75" thickTop="1" x14ac:dyDescent="0.25"/>
    <row r="17" spans="1:20" x14ac:dyDescent="0.25">
      <c r="A17" s="6" t="s">
        <v>400</v>
      </c>
      <c r="B17" s="7">
        <f>INDEX([1]Input!$347:$347,MATCH(B$5,[1]Input!$3:$3,0))</f>
        <v>16420</v>
      </c>
      <c r="C17" s="7">
        <f>INDEX([1]Input!$347:$347,MATCH(C$5,[1]Input!$3:$3,0))</f>
        <v>6082</v>
      </c>
      <c r="D17" s="7">
        <f>INDEX([1]Input!$347:$347,MATCH(D$5,[1]Input!$3:$3,0))</f>
        <v>35000</v>
      </c>
      <c r="E17" s="7">
        <f>INDEX([1]Input!$347:$347,MATCH(E$5,[1]Input!$3:$3,0))</f>
        <v>0</v>
      </c>
      <c r="F17" s="7">
        <f>INDEX([1]Input!$347:$347,MATCH(F$5,[1]Input!$3:$3,0))</f>
        <v>60000</v>
      </c>
      <c r="G17" s="7">
        <f>INDEX([1]Input!$347:$347,MATCH(G$5,[1]Input!$3:$3,0))</f>
        <v>60000</v>
      </c>
      <c r="H17" s="7">
        <f>INDEX([1]Input!$347:$347,MATCH(H$5,[1]Input!$3:$3,0))</f>
        <v>0</v>
      </c>
      <c r="I17" s="7">
        <f>INDEX([1]Input!$347:$347,MATCH(I$5,[1]Input!$3:$3,0))</f>
        <v>120000</v>
      </c>
      <c r="J17" s="7">
        <f>INDEX([1]Input!$347:$347,MATCH(J$5,[1]Input!$3:$3,0))</f>
        <v>0</v>
      </c>
      <c r="K17" s="7">
        <f>INDEX([1]Input!$347:$347,MATCH(K$5,[1]Input!$3:$3,0))</f>
        <v>22212</v>
      </c>
      <c r="L17" s="7">
        <f>INDEX([1]Input!$347:$347,MATCH(L$5,[1]Input!$3:$3,0))</f>
        <v>0</v>
      </c>
      <c r="M17" s="7">
        <f>INDEX([1]Input!$347:$347,MATCH(M$5,[1]Input!$3:$3,0))</f>
        <v>0</v>
      </c>
      <c r="N17" s="7">
        <f>INDEX([1]Input!$347:$347,MATCH(N$5,[1]Input!$3:$3,0))</f>
        <v>0</v>
      </c>
      <c r="O17" s="7">
        <f>INDEX([1]Input!$347:$347,MATCH(O$5,[1]Input!$3:$3,0))</f>
        <v>0</v>
      </c>
      <c r="P17" s="7">
        <f>INDEX([1]Input!$347:$347,MATCH(P$5,[1]Input!$3:$3,0))</f>
        <v>0</v>
      </c>
      <c r="Q17" s="7">
        <f>INDEX([1]Input!$347:$347,MATCH(Q$5,[1]Input!$3:$3,0))</f>
        <v>0</v>
      </c>
      <c r="R17" s="7">
        <f>INDEX([1]Input!$347:$347,MATCH(R$5,[1]Input!$3:$3,0))</f>
        <v>0</v>
      </c>
      <c r="S17" s="7">
        <f>INDEX([1]Input!$347:$347,MATCH(S$5,[1]Input!$3:$3,0))</f>
        <v>0</v>
      </c>
      <c r="T17" s="7">
        <f>INDEX([1]Input!$347:$347,MATCH(T$5,[1]Input!$3:$3,0))</f>
        <v>0</v>
      </c>
    </row>
    <row r="18" spans="1:20" x14ac:dyDescent="0.25">
      <c r="A18" s="6" t="s">
        <v>404</v>
      </c>
      <c r="B18" s="7">
        <f>INDEX([1]Input!$346:$346,MATCH(B$5,[1]Input!$3:$3,0))</f>
        <v>0</v>
      </c>
      <c r="C18" s="7">
        <f>INDEX([1]Input!$346:$346,MATCH(C$5,[1]Input!$3:$3,0))</f>
        <v>0</v>
      </c>
      <c r="D18" s="7">
        <f>INDEX([1]Input!$346:$346,MATCH(D$5,[1]Input!$3:$3,0))</f>
        <v>0</v>
      </c>
      <c r="E18" s="7">
        <f>INDEX([1]Input!$346:$346,MATCH(E$5,[1]Input!$3:$3,0))</f>
        <v>0</v>
      </c>
      <c r="F18" s="7">
        <f>INDEX([1]Input!$346:$346,MATCH(F$5,[1]Input!$3:$3,0))</f>
        <v>0</v>
      </c>
      <c r="G18" s="7">
        <f>INDEX([1]Input!$346:$346,MATCH(G$5,[1]Input!$3:$3,0))</f>
        <v>33270</v>
      </c>
      <c r="H18" s="7">
        <f>INDEX([1]Input!$346:$346,MATCH(H$5,[1]Input!$3:$3,0))</f>
        <v>12753</v>
      </c>
      <c r="I18" s="7">
        <f>INDEX([1]Input!$346:$346,MATCH(I$5,[1]Input!$3:$3,0))</f>
        <v>46776</v>
      </c>
      <c r="J18" s="7">
        <f>INDEX([1]Input!$346:$346,MATCH(J$5,[1]Input!$3:$3,0))</f>
        <v>7272</v>
      </c>
      <c r="K18" s="7">
        <f>INDEX([1]Input!$346:$346,MATCH(K$5,[1]Input!$3:$3,0))</f>
        <v>0</v>
      </c>
      <c r="L18" s="7">
        <f>INDEX([1]Input!$346:$346,MATCH(L$5,[1]Input!$3:$3,0))</f>
        <v>0</v>
      </c>
      <c r="M18" s="7">
        <f>INDEX([1]Input!$346:$346,MATCH(M$5,[1]Input!$3:$3,0))</f>
        <v>0</v>
      </c>
      <c r="N18" s="7">
        <f>INDEX([1]Input!$346:$346,MATCH(N$5,[1]Input!$3:$3,0))</f>
        <v>0</v>
      </c>
      <c r="O18" s="7">
        <f>INDEX([1]Input!$346:$346,MATCH(O$5,[1]Input!$3:$3,0))</f>
        <v>0</v>
      </c>
      <c r="P18" s="7">
        <f>INDEX([1]Input!$346:$346,MATCH(P$5,[1]Input!$3:$3,0))</f>
        <v>0</v>
      </c>
      <c r="Q18" s="7">
        <f>INDEX([1]Input!$346:$346,MATCH(Q$5,[1]Input!$3:$3,0))</f>
        <v>0</v>
      </c>
      <c r="R18" s="7">
        <f>INDEX([1]Input!$346:$346,MATCH(R$5,[1]Input!$3:$3,0))</f>
        <v>0</v>
      </c>
      <c r="S18" s="7">
        <f>INDEX([1]Input!$346:$346,MATCH(S$5,[1]Input!$3:$3,0))</f>
        <v>0</v>
      </c>
      <c r="T18" s="7">
        <f>INDEX([1]Input!$346:$346,MATCH(T$5,[1]Input!$3:$3,0))</f>
        <v>0</v>
      </c>
    </row>
    <row r="19" spans="1:20" x14ac:dyDescent="0.25">
      <c r="A19" s="49" t="s">
        <v>401</v>
      </c>
      <c r="B19" s="50">
        <f>B15+B17+B18</f>
        <v>-148201</v>
      </c>
      <c r="C19" s="50">
        <f t="shared" ref="C19:T19" si="22">C15+C17+C18</f>
        <v>17455</v>
      </c>
      <c r="D19" s="50">
        <f t="shared" si="22"/>
        <v>10296</v>
      </c>
      <c r="E19" s="50">
        <f t="shared" si="22"/>
        <v>-101805.43000000005</v>
      </c>
      <c r="F19" s="50">
        <f t="shared" si="22"/>
        <v>26527.884000000078</v>
      </c>
      <c r="G19" s="50">
        <f t="shared" si="22"/>
        <v>96248.545999999973</v>
      </c>
      <c r="H19" s="50">
        <f t="shared" si="22"/>
        <v>67550</v>
      </c>
      <c r="I19" s="50">
        <f t="shared" si="22"/>
        <v>35008</v>
      </c>
      <c r="J19" s="50">
        <f t="shared" si="22"/>
        <v>-146113</v>
      </c>
      <c r="K19" s="50">
        <f t="shared" si="22"/>
        <v>-5652</v>
      </c>
      <c r="L19" s="50">
        <f t="shared" si="22"/>
        <v>-81196</v>
      </c>
      <c r="M19" s="50">
        <f t="shared" si="22"/>
        <v>3899.4686600000132</v>
      </c>
      <c r="N19" s="50">
        <f t="shared" si="22"/>
        <v>-2175.8423699999694</v>
      </c>
      <c r="O19" s="50">
        <f t="shared" si="22"/>
        <v>2581.8697599999941</v>
      </c>
      <c r="P19" s="50">
        <f t="shared" si="22"/>
        <v>-27102.024289999994</v>
      </c>
      <c r="Q19" s="50">
        <f t="shared" si="22"/>
        <v>-13092.143850000011</v>
      </c>
      <c r="R19" s="50">
        <f t="shared" si="22"/>
        <v>13334.060030000008</v>
      </c>
      <c r="S19" s="50">
        <f t="shared" si="22"/>
        <v>877.74305041250409</v>
      </c>
      <c r="T19" s="50">
        <f t="shared" si="22"/>
        <v>-11541.130990412501</v>
      </c>
    </row>
    <row r="21" spans="1:20" x14ac:dyDescent="0.25">
      <c r="A21" s="48" t="s">
        <v>402</v>
      </c>
      <c r="B21" s="7">
        <f>-INDEX('[1]Input Geração Cx Prévia'!$28:$28,MATCH(B$5,'[1]Input Geração Cx Prévia'!$2:$2,0))-INDEX('[1]Input Geração Cx Prévia'!$27:$27,MATCH(B$5,'[1]Input Geração Cx Prévia'!$2:$2,0))</f>
        <v>-166063.69879999998</v>
      </c>
      <c r="C21" s="7">
        <f>-INDEX('[1]Input Geração Cx Prévia'!$28:$28,MATCH(C$5,'[1]Input Geração Cx Prévia'!$2:$2,0))-INDEX('[1]Input Geração Cx Prévia'!$27:$27,MATCH(C$5,'[1]Input Geração Cx Prévia'!$2:$2,0))</f>
        <v>-38915.303060329999</v>
      </c>
      <c r="D21" s="7">
        <f>-INDEX('[1]Input Geração Cx Prévia'!$28:$28,MATCH(D$5,'[1]Input Geração Cx Prévia'!$2:$2,0))-INDEX('[1]Input Geração Cx Prévia'!$27:$27,MATCH(D$5,'[1]Input Geração Cx Prévia'!$2:$2,0))</f>
        <v>-27726.044600659363</v>
      </c>
      <c r="E21" s="7">
        <f>-INDEX('[1]Input Geração Cx Prévia'!$28:$28,MATCH(E$5,'[1]Input Geração Cx Prévia'!$2:$2,0))-INDEX('[1]Input Geração Cx Prévia'!$27:$27,MATCH(E$5,'[1]Input Geração Cx Prévia'!$2:$2,0))</f>
        <v>-167244.01999999999</v>
      </c>
      <c r="F21" s="7">
        <f>-INDEX('[1]Input Geração Cx Prévia'!$28:$28,MATCH(F$5,'[1]Input Geração Cx Prévia'!$2:$2,0))-INDEX('[1]Input Geração Cx Prévia'!$27:$27,MATCH(F$5,'[1]Input Geração Cx Prévia'!$2:$2,0))</f>
        <v>-8827.6795500000007</v>
      </c>
      <c r="G21" s="7">
        <f>-INDEX('[1]Input Geração Cx Prévia'!$28:$28,MATCH(G$5,'[1]Input Geração Cx Prévia'!$2:$2,0))-INDEX('[1]Input Geração Cx Prévia'!$27:$27,MATCH(G$5,'[1]Input Geração Cx Prévia'!$2:$2,0))</f>
        <v>-12839.43147</v>
      </c>
      <c r="H21" s="7">
        <f>-INDEX('[1]Input Geração Cx Prévia'!$28:$28,MATCH(H$5,'[1]Input Geração Cx Prévia'!$2:$2,0))-INDEX('[1]Input Geração Cx Prévia'!$27:$27,MATCH(H$5,'[1]Input Geração Cx Prévia'!$2:$2,0))</f>
        <v>-16221.444690000002</v>
      </c>
      <c r="I21" s="55">
        <f>-INDEX('[2]Input Geração Cx Prévia'!$28:$28,MATCH(I$5,'[2]Input Geração Cx Prévia'!$2:$2,0))-INDEX('[2]Input Geração Cx Prévia'!$27:$27,MATCH(I$5,'[2]Input Geração Cx Prévia'!$2:$2,0))</f>
        <v>-35326.273419999998</v>
      </c>
      <c r="J21" s="55" t="s">
        <v>424</v>
      </c>
      <c r="K21" s="55" t="s">
        <v>424</v>
      </c>
      <c r="L21" s="55" t="s">
        <v>424</v>
      </c>
      <c r="M21" s="55" t="s">
        <v>424</v>
      </c>
      <c r="N21" s="55" t="s">
        <v>424</v>
      </c>
      <c r="O21" s="55" t="s">
        <v>424</v>
      </c>
      <c r="P21" s="55" t="s">
        <v>424</v>
      </c>
      <c r="Q21" s="55" t="s">
        <v>424</v>
      </c>
      <c r="R21" s="55" t="s">
        <v>424</v>
      </c>
      <c r="S21" s="55" t="s">
        <v>424</v>
      </c>
      <c r="T21" s="55" t="s">
        <v>424</v>
      </c>
    </row>
    <row r="22" spans="1:20" x14ac:dyDescent="0.25">
      <c r="A22" s="9" t="s">
        <v>403</v>
      </c>
      <c r="B22" s="50">
        <f>B19-B21</f>
        <v>17862.698799999984</v>
      </c>
      <c r="C22" s="50">
        <f t="shared" ref="C22:H22" si="23">C19-C21</f>
        <v>56370.303060329999</v>
      </c>
      <c r="D22" s="50">
        <f t="shared" si="23"/>
        <v>38022.044600659363</v>
      </c>
      <c r="E22" s="50">
        <f t="shared" si="23"/>
        <v>65438.589999999938</v>
      </c>
      <c r="F22" s="50">
        <f t="shared" si="23"/>
        <v>35355.563550000079</v>
      </c>
      <c r="G22" s="50">
        <f t="shared" si="23"/>
        <v>109087.97746999997</v>
      </c>
      <c r="H22" s="50">
        <f t="shared" si="23"/>
        <v>83771.444690000004</v>
      </c>
      <c r="I22" s="50">
        <f>I19-I21</f>
        <v>70334.273419999998</v>
      </c>
      <c r="J22" s="14" t="s">
        <v>424</v>
      </c>
      <c r="K22" s="14" t="s">
        <v>424</v>
      </c>
      <c r="L22" s="14" t="s">
        <v>424</v>
      </c>
      <c r="M22" s="14" t="s">
        <v>424</v>
      </c>
      <c r="N22" s="14" t="s">
        <v>424</v>
      </c>
      <c r="O22" s="14" t="s">
        <v>424</v>
      </c>
      <c r="P22" s="14" t="s">
        <v>424</v>
      </c>
      <c r="Q22" s="14" t="s">
        <v>424</v>
      </c>
      <c r="R22" s="14" t="s">
        <v>424</v>
      </c>
      <c r="S22" s="14" t="s">
        <v>424</v>
      </c>
      <c r="T22" s="14" t="s">
        <v>424</v>
      </c>
    </row>
    <row r="24" spans="1:20" x14ac:dyDescent="0.25">
      <c r="A24" s="9" t="s">
        <v>267</v>
      </c>
      <c r="B24" s="14">
        <f>'Balanço Patrimonial'!B84</f>
        <v>1331375</v>
      </c>
      <c r="C24" s="14">
        <f>'Balanço Patrimonial'!C84</f>
        <v>1311678</v>
      </c>
      <c r="D24" s="14">
        <f>'Balanço Patrimonial'!D84</f>
        <v>1248457</v>
      </c>
      <c r="E24" s="14">
        <f>'Balanço Patrimonial'!E84</f>
        <v>1256057</v>
      </c>
      <c r="F24" s="14">
        <f>'Balanço Patrimonial'!F84</f>
        <v>1227487.1850000001</v>
      </c>
      <c r="G24" s="14">
        <f>'Balanço Patrimonial'!G84</f>
        <v>1251553.571</v>
      </c>
      <c r="H24" s="14">
        <f>'Balanço Patrimonial'!H84</f>
        <v>1266641</v>
      </c>
      <c r="I24" s="14">
        <f>'Balanço Patrimonial'!I84</f>
        <v>1249962</v>
      </c>
      <c r="J24" s="14">
        <f>'Balanço Patrimonial'!J84</f>
        <v>1442212</v>
      </c>
      <c r="K24" s="14">
        <f>'Balanço Patrimonial'!K84</f>
        <v>1414463</v>
      </c>
      <c r="L24" s="14">
        <f>'Balanço Patrimonial'!L84</f>
        <v>1317069</v>
      </c>
      <c r="M24" s="14">
        <f>'Balanço Patrimonial'!M84</f>
        <v>1300340</v>
      </c>
      <c r="N24" s="14">
        <f>'Balanço Patrimonial'!N84</f>
        <v>1278516.4212520986</v>
      </c>
      <c r="O24" s="14">
        <f>'Balanço Patrimonial'!O84</f>
        <v>266255.83886999998</v>
      </c>
      <c r="P24" s="14">
        <f>'Balanço Patrimonial'!P84</f>
        <v>250297.25848728081</v>
      </c>
      <c r="Q24" s="14">
        <f>'Balanço Patrimonial'!Q84</f>
        <v>240887.96035914097</v>
      </c>
      <c r="R24" s="14">
        <f>'Balanço Patrimonial'!R84</f>
        <v>215324.59080471715</v>
      </c>
      <c r="S24" s="14">
        <f>'Balanço Patrimonial'!S84</f>
        <v>199945.08616011703</v>
      </c>
      <c r="T24" s="14">
        <f>'Balanço Patrimonial'!T84</f>
        <v>168905.78731515375</v>
      </c>
    </row>
    <row r="25" spans="1:20" x14ac:dyDescent="0.25">
      <c r="A25" s="6" t="s">
        <v>268</v>
      </c>
      <c r="B25" s="38">
        <f>B14/B24</f>
        <v>-0.23702112477701623</v>
      </c>
      <c r="C25" s="38">
        <f t="shared" ref="C25:T25" si="24">C14/C24</f>
        <v>-0.36608451159507133</v>
      </c>
      <c r="D25" s="38">
        <f t="shared" si="24"/>
        <v>-0.37551313341188364</v>
      </c>
      <c r="E25" s="38">
        <f t="shared" si="24"/>
        <v>-0.39290892053465726</v>
      </c>
      <c r="F25" s="38">
        <f t="shared" si="24"/>
        <v>-0.48499197162697877</v>
      </c>
      <c r="G25" s="38">
        <f t="shared" si="24"/>
        <v>-0.50241041260230634</v>
      </c>
      <c r="H25" s="38">
        <f t="shared" si="24"/>
        <v>-0.49407448519351577</v>
      </c>
      <c r="I25" s="38">
        <f t="shared" si="24"/>
        <v>-0.45682828757994243</v>
      </c>
      <c r="J25" s="38">
        <f t="shared" si="24"/>
        <v>-0.48729729055090376</v>
      </c>
      <c r="K25" s="38">
        <f t="shared" si="24"/>
        <v>-0.60529755815457875</v>
      </c>
      <c r="L25" s="38">
        <f t="shared" si="24"/>
        <v>-0.67121388476989441</v>
      </c>
      <c r="M25" s="38">
        <f t="shared" si="24"/>
        <v>-0.74229124690465575</v>
      </c>
      <c r="N25" s="38">
        <f t="shared" si="24"/>
        <v>-0.75191175909851227</v>
      </c>
      <c r="O25" s="38">
        <f t="shared" si="24"/>
        <v>4.6919633173188563E-2</v>
      </c>
      <c r="P25" s="38">
        <f t="shared" si="24"/>
        <v>6.0226372997872944E-2</v>
      </c>
      <c r="Q25" s="38">
        <f t="shared" si="24"/>
        <v>-4.9929968363998357E-2</v>
      </c>
      <c r="R25" s="38">
        <f t="shared" si="24"/>
        <v>-0.116659560322962</v>
      </c>
      <c r="S25" s="38">
        <f t="shared" si="24"/>
        <v>-5.894424457404282E-2</v>
      </c>
      <c r="T25" s="38">
        <f t="shared" si="24"/>
        <v>-6.4579604896752255E-2</v>
      </c>
    </row>
    <row r="27" spans="1:20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x14ac:dyDescent="0.25"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31" spans="1:20" x14ac:dyDescent="0.25">
      <c r="L31" s="52"/>
    </row>
  </sheetData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138BF-0775-4BCE-924F-0EF1ECFBC0CD}">
  <sheetPr>
    <tabColor rgb="FFC8A74B"/>
  </sheetPr>
  <dimension ref="A1:AJ39"/>
  <sheetViews>
    <sheetView showGridLines="0" zoomScaleNormal="100" workbookViewId="0"/>
  </sheetViews>
  <sheetFormatPr defaultColWidth="0" defaultRowHeight="12" x14ac:dyDescent="0.2"/>
  <cols>
    <col min="1" max="1" width="33" style="1" bestFit="1" customWidth="1"/>
    <col min="2" max="7" width="8.85546875" style="1" customWidth="1"/>
    <col min="8" max="28" width="8.85546875" style="2" customWidth="1"/>
    <col min="29" max="29" width="8.85546875" style="1" hidden="1" customWidth="1"/>
    <col min="30" max="36" width="0" style="1" hidden="1" customWidth="1"/>
    <col min="37" max="16384" width="8.85546875" style="1" hidden="1"/>
  </cols>
  <sheetData>
    <row r="1" spans="1:28" x14ac:dyDescent="0.2">
      <c r="H1" s="1"/>
      <c r="I1" s="1"/>
      <c r="J1" s="1"/>
    </row>
    <row r="2" spans="1:28" ht="15" x14ac:dyDescent="0.25">
      <c r="A2"/>
      <c r="H2" s="1"/>
      <c r="I2" s="1"/>
      <c r="J2" s="1"/>
    </row>
    <row r="5" spans="1:28" x14ac:dyDescent="0.2">
      <c r="A5" s="5" t="s">
        <v>93</v>
      </c>
      <c r="B5" s="3" t="s">
        <v>380</v>
      </c>
      <c r="C5" s="3" t="s">
        <v>370</v>
      </c>
      <c r="D5" s="3" t="s">
        <v>368</v>
      </c>
      <c r="E5" s="3" t="s">
        <v>354</v>
      </c>
      <c r="F5" s="3" t="s">
        <v>331</v>
      </c>
      <c r="G5" s="3" t="s">
        <v>325</v>
      </c>
      <c r="H5" s="3" t="s">
        <v>309</v>
      </c>
      <c r="I5" s="3" t="s">
        <v>304</v>
      </c>
      <c r="J5" s="3" t="s">
        <v>296</v>
      </c>
      <c r="K5" s="3" t="s">
        <v>288</v>
      </c>
      <c r="L5" s="3" t="s">
        <v>286</v>
      </c>
      <c r="M5" s="3" t="s">
        <v>277</v>
      </c>
      <c r="N5" s="3" t="s">
        <v>2</v>
      </c>
      <c r="O5" s="3" t="s">
        <v>1</v>
      </c>
      <c r="P5" s="3" t="s">
        <v>4</v>
      </c>
      <c r="Q5" s="3" t="s">
        <v>3</v>
      </c>
      <c r="R5" s="3" t="s">
        <v>5</v>
      </c>
      <c r="S5" s="3" t="s">
        <v>6</v>
      </c>
      <c r="T5" s="3" t="s">
        <v>7</v>
      </c>
      <c r="U5" s="3" t="s">
        <v>8</v>
      </c>
      <c r="V5" s="3" t="s">
        <v>96</v>
      </c>
      <c r="W5" s="3" t="s">
        <v>97</v>
      </c>
      <c r="X5" s="3" t="s">
        <v>98</v>
      </c>
      <c r="Y5" s="3" t="s">
        <v>101</v>
      </c>
      <c r="Z5" s="3" t="s">
        <v>102</v>
      </c>
      <c r="AA5" s="3" t="s">
        <v>103</v>
      </c>
      <c r="AB5" s="3" t="s">
        <v>104</v>
      </c>
    </row>
    <row r="6" spans="1:28" x14ac:dyDescent="0.2">
      <c r="A6" s="6" t="s">
        <v>94</v>
      </c>
      <c r="B6" s="7">
        <f>[1]Input!$Y$11</f>
        <v>0</v>
      </c>
      <c r="C6" s="7">
        <v>1</v>
      </c>
      <c r="D6" s="7">
        <v>1</v>
      </c>
      <c r="E6" s="7">
        <v>2</v>
      </c>
      <c r="F6" s="7">
        <v>1</v>
      </c>
      <c r="G6" s="7">
        <v>2</v>
      </c>
      <c r="H6" s="7">
        <v>1</v>
      </c>
      <c r="I6" s="7">
        <v>1</v>
      </c>
      <c r="J6" s="7">
        <v>1</v>
      </c>
      <c r="K6" s="7">
        <v>1</v>
      </c>
      <c r="L6" s="7">
        <v>0</v>
      </c>
      <c r="M6" s="7">
        <v>2</v>
      </c>
      <c r="N6" s="7">
        <v>0</v>
      </c>
      <c r="O6" s="7">
        <v>0</v>
      </c>
      <c r="P6" s="7">
        <v>0</v>
      </c>
      <c r="Q6" s="7">
        <v>1</v>
      </c>
      <c r="R6" s="7">
        <v>0</v>
      </c>
      <c r="S6" s="7">
        <v>2</v>
      </c>
      <c r="T6" s="7">
        <v>0</v>
      </c>
      <c r="U6" s="7">
        <v>1</v>
      </c>
      <c r="V6" s="7">
        <v>0</v>
      </c>
      <c r="W6" s="7">
        <v>1</v>
      </c>
      <c r="X6" s="7">
        <v>0</v>
      </c>
      <c r="Y6" s="7">
        <v>0</v>
      </c>
      <c r="Z6" s="7">
        <v>1</v>
      </c>
      <c r="AA6" s="7">
        <v>1</v>
      </c>
      <c r="AB6" s="7">
        <v>0</v>
      </c>
    </row>
    <row r="7" spans="1:28" x14ac:dyDescent="0.2">
      <c r="A7" s="1" t="s">
        <v>105</v>
      </c>
      <c r="B7" s="7">
        <f>[1]Input!$Y$12</f>
        <v>0</v>
      </c>
      <c r="C7" s="7">
        <v>29548.82</v>
      </c>
      <c r="D7" s="7">
        <v>27406.9</v>
      </c>
      <c r="E7" s="7">
        <v>113461</v>
      </c>
      <c r="F7" s="7">
        <v>20954.400000000001</v>
      </c>
      <c r="G7" s="7">
        <v>54916</v>
      </c>
      <c r="H7" s="7">
        <v>28115.98</v>
      </c>
      <c r="I7" s="7">
        <v>13502</v>
      </c>
      <c r="J7" s="7">
        <v>36786</v>
      </c>
      <c r="K7" s="7">
        <v>31961</v>
      </c>
      <c r="L7" s="7">
        <v>0</v>
      </c>
      <c r="M7" s="7">
        <v>51993.82</v>
      </c>
      <c r="N7" s="7">
        <v>0</v>
      </c>
      <c r="O7" s="7">
        <v>0</v>
      </c>
      <c r="P7" s="7">
        <v>0</v>
      </c>
      <c r="Q7" s="7">
        <v>15633.25</v>
      </c>
      <c r="R7" s="7">
        <v>0</v>
      </c>
      <c r="S7" s="7">
        <v>41739.040000000001</v>
      </c>
      <c r="T7" s="7">
        <v>0</v>
      </c>
      <c r="U7" s="7">
        <v>7737.52</v>
      </c>
      <c r="V7" s="7">
        <v>0</v>
      </c>
      <c r="W7" s="7">
        <v>14308.27</v>
      </c>
      <c r="X7" s="7">
        <v>0</v>
      </c>
      <c r="Y7" s="7">
        <v>0</v>
      </c>
      <c r="Z7" s="7">
        <v>6675.03</v>
      </c>
      <c r="AA7" s="7">
        <v>28127.45</v>
      </c>
      <c r="AB7" s="7">
        <v>0</v>
      </c>
    </row>
    <row r="8" spans="1:28" x14ac:dyDescent="0.2">
      <c r="A8" s="1" t="s">
        <v>353</v>
      </c>
      <c r="B8" s="7">
        <f>[1]Input!$Y6</f>
        <v>0</v>
      </c>
      <c r="C8" s="7">
        <v>887209.84690160002</v>
      </c>
      <c r="D8" s="7">
        <v>436092.85416000005</v>
      </c>
      <c r="E8" s="7">
        <v>1458668.55724</v>
      </c>
      <c r="F8" s="7">
        <v>239927.88000000003</v>
      </c>
      <c r="G8" s="7">
        <v>628354</v>
      </c>
      <c r="H8" s="7">
        <v>230269</v>
      </c>
      <c r="I8" s="7">
        <v>210840.96600000001</v>
      </c>
      <c r="J8" s="7">
        <v>331072</v>
      </c>
      <c r="K8" s="7">
        <v>704768</v>
      </c>
      <c r="L8" s="7">
        <v>0</v>
      </c>
      <c r="M8" s="7">
        <v>497542</v>
      </c>
      <c r="N8" s="7">
        <v>0</v>
      </c>
      <c r="O8" s="7">
        <v>0</v>
      </c>
      <c r="P8" s="7">
        <v>0</v>
      </c>
      <c r="Q8" s="7">
        <v>189700</v>
      </c>
      <c r="R8" s="7">
        <v>0</v>
      </c>
      <c r="S8" s="7">
        <v>359200</v>
      </c>
      <c r="T8" s="7">
        <v>0</v>
      </c>
      <c r="U8" s="7">
        <v>100904</v>
      </c>
      <c r="V8" s="7">
        <v>0</v>
      </c>
      <c r="W8" s="7">
        <v>157705</v>
      </c>
      <c r="X8" s="7">
        <v>0</v>
      </c>
      <c r="Y8" s="7">
        <v>0</v>
      </c>
      <c r="Z8" s="7">
        <v>47807</v>
      </c>
      <c r="AA8" s="7">
        <v>169036</v>
      </c>
      <c r="AB8" s="7">
        <v>0</v>
      </c>
    </row>
    <row r="9" spans="1:28" x14ac:dyDescent="0.2">
      <c r="A9" s="1" t="s">
        <v>297</v>
      </c>
      <c r="B9" s="7">
        <f>[1]Input!$Y7</f>
        <v>0</v>
      </c>
      <c r="C9" s="7">
        <v>812513.80910983705</v>
      </c>
      <c r="D9" s="7">
        <v>185997.96322778158</v>
      </c>
      <c r="E9" s="7">
        <v>806870.9984131424</v>
      </c>
      <c r="F9" s="7">
        <v>171769.584</v>
      </c>
      <c r="G9" s="7">
        <v>555810.72</v>
      </c>
      <c r="H9" s="7">
        <v>110390.9586</v>
      </c>
      <c r="I9" s="7">
        <v>144161.10000000009</v>
      </c>
      <c r="J9" s="7">
        <v>255451.58</v>
      </c>
      <c r="K9" s="7">
        <v>603420.31999999995</v>
      </c>
      <c r="L9" s="7">
        <v>0</v>
      </c>
      <c r="M9" s="7">
        <v>329687</v>
      </c>
      <c r="N9" s="7">
        <v>0</v>
      </c>
      <c r="O9" s="7">
        <v>0</v>
      </c>
      <c r="P9" s="7">
        <v>0</v>
      </c>
      <c r="Q9" s="7">
        <v>135158.16076</v>
      </c>
      <c r="R9" s="7">
        <v>0</v>
      </c>
      <c r="S9" s="7">
        <v>223010</v>
      </c>
      <c r="T9" s="7">
        <v>0</v>
      </c>
      <c r="U9" s="7">
        <v>63227</v>
      </c>
      <c r="V9" s="7">
        <v>0</v>
      </c>
      <c r="W9" s="7">
        <v>119287</v>
      </c>
      <c r="X9" s="7">
        <v>0</v>
      </c>
      <c r="Y9" s="7">
        <v>0</v>
      </c>
      <c r="Z9" s="7">
        <v>47807</v>
      </c>
      <c r="AA9" s="7">
        <v>81251</v>
      </c>
      <c r="AB9" s="7">
        <v>0</v>
      </c>
    </row>
    <row r="10" spans="1:28" x14ac:dyDescent="0.2">
      <c r="A10" s="1" t="s">
        <v>99</v>
      </c>
      <c r="B10" s="7" t="str">
        <f>[1]Input!$Y9</f>
        <v>-</v>
      </c>
      <c r="C10" s="21">
        <v>1</v>
      </c>
      <c r="D10" s="21">
        <v>0.45</v>
      </c>
      <c r="E10" s="21">
        <v>0.69375597406851164</v>
      </c>
      <c r="F10" s="21">
        <v>0.8</v>
      </c>
      <c r="G10" s="21">
        <v>1</v>
      </c>
      <c r="H10" s="21">
        <f>IF(H8=0,0,+H9/H8)</f>
        <v>0.47939999999999999</v>
      </c>
      <c r="I10" s="21">
        <f>IF(I8=0,0,+I9/I8)</f>
        <v>0.68374331011175538</v>
      </c>
      <c r="J10" s="21">
        <f>IF(J8=0,0,+J9/J8)</f>
        <v>0.77158920114053742</v>
      </c>
      <c r="K10" s="21">
        <f>IF(K8=0,0,+K9/K8)</f>
        <v>0.85619710316018882</v>
      </c>
      <c r="L10" s="7">
        <f>IF(L8=0,0,+#REF!/L8)</f>
        <v>0</v>
      </c>
      <c r="M10" s="21">
        <f>IF(M8=0,0,+M9/M8)</f>
        <v>0.66263149643648178</v>
      </c>
      <c r="N10" s="7">
        <f>IF(N8=0,0,+#REF!/N8)</f>
        <v>0</v>
      </c>
      <c r="O10" s="7">
        <f>IF(O8=0,0,+#REF!/O8)</f>
        <v>0</v>
      </c>
      <c r="P10" s="7">
        <f>IF(P8=0,0,+#REF!/P8)</f>
        <v>0</v>
      </c>
      <c r="Q10" s="21">
        <f>IF(Q8=0,0,+Q9/Q8)</f>
        <v>0.71248371512915132</v>
      </c>
      <c r="R10" s="7">
        <f>IF(R8=0,0,+#REF!/R8)</f>
        <v>0</v>
      </c>
      <c r="S10" s="21">
        <f>IF(S8=0,0,+S9/S8)</f>
        <v>0.62085189309576838</v>
      </c>
      <c r="T10" s="7">
        <f>IF(T8=0,0,+#REF!/T8)</f>
        <v>0</v>
      </c>
      <c r="U10" s="21">
        <f>IF(U8=0,0,+U9/U8)</f>
        <v>0.62660548640291758</v>
      </c>
      <c r="V10" s="7">
        <f>IF(V8=0,0,+#REF!/V8)</f>
        <v>0</v>
      </c>
      <c r="W10" s="21">
        <f>IF(W8=0,0,+W9/W8)</f>
        <v>0.75639326590786593</v>
      </c>
      <c r="X10" s="7">
        <f>IF(X8=0,0,+#REF!/X8)</f>
        <v>0</v>
      </c>
      <c r="Y10" s="7">
        <f>IF(Y8=0,0,+#REF!/Y8)</f>
        <v>0</v>
      </c>
      <c r="Z10" s="21">
        <f>IF(Z8=0,0,+Z9/Z8)</f>
        <v>1</v>
      </c>
      <c r="AA10" s="21">
        <f>IF(AA8=0,0,+AA9/AA8)</f>
        <v>0.48067275609929244</v>
      </c>
      <c r="AB10" s="7">
        <f>IF(AB8=0,0,+#REF!/AB8)</f>
        <v>0</v>
      </c>
    </row>
    <row r="11" spans="1:28" x14ac:dyDescent="0.2">
      <c r="A11" s="1" t="s">
        <v>298</v>
      </c>
      <c r="B11" s="7">
        <f>[1]Input!$Y10</f>
        <v>0</v>
      </c>
      <c r="C11" s="7">
        <v>153</v>
      </c>
      <c r="D11" s="7">
        <v>268</v>
      </c>
      <c r="E11" s="7">
        <v>1341</v>
      </c>
      <c r="F11" s="7">
        <v>343</v>
      </c>
      <c r="G11" s="7">
        <v>582</v>
      </c>
      <c r="H11" s="7">
        <v>258</v>
      </c>
      <c r="I11" s="7">
        <v>408</v>
      </c>
      <c r="J11" s="7">
        <v>576</v>
      </c>
      <c r="K11" s="7">
        <v>409</v>
      </c>
      <c r="L11" s="7">
        <v>0</v>
      </c>
      <c r="M11" s="7">
        <v>642</v>
      </c>
      <c r="N11" s="7">
        <v>0</v>
      </c>
      <c r="O11" s="7">
        <v>0</v>
      </c>
      <c r="P11" s="7">
        <v>0</v>
      </c>
      <c r="Q11" s="7">
        <v>120</v>
      </c>
      <c r="R11" s="7">
        <v>0</v>
      </c>
      <c r="S11" s="7">
        <v>417</v>
      </c>
      <c r="T11" s="7">
        <v>0</v>
      </c>
      <c r="U11" s="7">
        <v>273</v>
      </c>
      <c r="V11" s="7">
        <v>0</v>
      </c>
      <c r="W11" s="7">
        <v>99</v>
      </c>
      <c r="X11" s="7">
        <v>0</v>
      </c>
      <c r="Y11" s="7">
        <v>0</v>
      </c>
      <c r="Z11" s="7">
        <v>258</v>
      </c>
      <c r="AA11" s="7">
        <v>400</v>
      </c>
      <c r="AB11" s="7">
        <v>0</v>
      </c>
    </row>
    <row r="12" spans="1:28" x14ac:dyDescent="0.2">
      <c r="A12" s="1" t="s">
        <v>106</v>
      </c>
      <c r="B12" s="7">
        <f>'[1]Destaques ER'!$C$11</f>
        <v>0</v>
      </c>
      <c r="C12" s="7">
        <v>30025.220868434004</v>
      </c>
      <c r="D12" s="7">
        <v>15911.790613312705</v>
      </c>
      <c r="E12" s="7">
        <v>12856.122872528887</v>
      </c>
      <c r="F12" s="7">
        <v>11450</v>
      </c>
      <c r="G12" s="7">
        <v>11442.093378978803</v>
      </c>
      <c r="H12" s="7">
        <f t="shared" ref="H12" si="0">IF(H8=0,0,H8*1000/H7)</f>
        <v>8189.9688362276547</v>
      </c>
      <c r="I12" s="7">
        <f t="shared" ref="I12:J12" si="1">IF(I8=0,0,I8*1000/I7)</f>
        <v>15615.535920604354</v>
      </c>
      <c r="J12" s="7">
        <f t="shared" si="1"/>
        <v>8999.94563149024</v>
      </c>
      <c r="K12" s="7">
        <f t="shared" ref="K12:AB12" si="2">IF(K8=0,0,K8*1000/K7)</f>
        <v>22050.874503300896</v>
      </c>
      <c r="L12" s="7">
        <f t="shared" si="2"/>
        <v>0</v>
      </c>
      <c r="M12" s="7">
        <f t="shared" si="2"/>
        <v>9569.2526534884346</v>
      </c>
      <c r="N12" s="7">
        <f t="shared" si="2"/>
        <v>0</v>
      </c>
      <c r="O12" s="7">
        <f t="shared" si="2"/>
        <v>0</v>
      </c>
      <c r="P12" s="7">
        <f t="shared" si="2"/>
        <v>0</v>
      </c>
      <c r="Q12" s="7">
        <f t="shared" si="2"/>
        <v>12134.39304047463</v>
      </c>
      <c r="R12" s="7">
        <f t="shared" si="2"/>
        <v>0</v>
      </c>
      <c r="S12" s="7">
        <f t="shared" si="2"/>
        <v>8605.8519793459545</v>
      </c>
      <c r="T12" s="7">
        <f t="shared" si="2"/>
        <v>0</v>
      </c>
      <c r="U12" s="7">
        <f t="shared" si="2"/>
        <v>13040.87097674707</v>
      </c>
      <c r="V12" s="7">
        <f t="shared" si="2"/>
        <v>0</v>
      </c>
      <c r="W12" s="7">
        <f t="shared" si="2"/>
        <v>11021.947447175655</v>
      </c>
      <c r="X12" s="7">
        <f t="shared" si="2"/>
        <v>0</v>
      </c>
      <c r="Y12" s="7">
        <f t="shared" si="2"/>
        <v>0</v>
      </c>
      <c r="Z12" s="7">
        <f t="shared" si="2"/>
        <v>7162.065189220124</v>
      </c>
      <c r="AA12" s="7">
        <f t="shared" si="2"/>
        <v>6009.6453820022789</v>
      </c>
      <c r="AB12" s="7">
        <f t="shared" si="2"/>
        <v>0</v>
      </c>
    </row>
    <row r="13" spans="1:28" x14ac:dyDescent="0.2">
      <c r="A13" s="1" t="s">
        <v>107</v>
      </c>
      <c r="B13" s="7">
        <f>IF(B8=0,0,B8*1000/B11)</f>
        <v>0</v>
      </c>
      <c r="C13" s="7">
        <f>IF(C8=0,0,C8*1000/C11)</f>
        <v>5798757.1692915037</v>
      </c>
      <c r="D13" s="7">
        <f t="shared" ref="D13" si="3">IF(D8=0,0,D8*1000/D11)</f>
        <v>1627212.1423880598</v>
      </c>
      <c r="E13" s="7">
        <f t="shared" ref="E13:F13" si="4">IF(E8=0,0,E8*1000/E11)</f>
        <v>1087746.8734079045</v>
      </c>
      <c r="F13" s="7">
        <f t="shared" si="4"/>
        <v>699498.19241982512</v>
      </c>
      <c r="G13" s="7">
        <f t="shared" ref="G13:H13" si="5">IF(G8=0,0,G8*1000/G11)</f>
        <v>1079646.0481099656</v>
      </c>
      <c r="H13" s="7">
        <f t="shared" si="5"/>
        <v>892515.50387596898</v>
      </c>
      <c r="I13" s="7">
        <f t="shared" ref="I13:J13" si="6">IF(I8=0,0,I8*1000/I11)</f>
        <v>516767.07352941175</v>
      </c>
      <c r="J13" s="7">
        <f t="shared" si="6"/>
        <v>574777.77777777775</v>
      </c>
      <c r="K13" s="7">
        <f t="shared" ref="K13:AB13" si="7">IF(K8=0,0,K8*1000/K11)</f>
        <v>1723149.1442542786</v>
      </c>
      <c r="L13" s="7">
        <f t="shared" si="7"/>
        <v>0</v>
      </c>
      <c r="M13" s="7">
        <f t="shared" si="7"/>
        <v>774987.53894081002</v>
      </c>
      <c r="N13" s="7">
        <f t="shared" si="7"/>
        <v>0</v>
      </c>
      <c r="O13" s="7">
        <f t="shared" si="7"/>
        <v>0</v>
      </c>
      <c r="P13" s="7">
        <f t="shared" si="7"/>
        <v>0</v>
      </c>
      <c r="Q13" s="7">
        <f t="shared" si="7"/>
        <v>1580833.3333333333</v>
      </c>
      <c r="R13" s="7">
        <f t="shared" si="7"/>
        <v>0</v>
      </c>
      <c r="S13" s="7">
        <f t="shared" si="7"/>
        <v>861390.88729016786</v>
      </c>
      <c r="T13" s="7">
        <f t="shared" si="7"/>
        <v>0</v>
      </c>
      <c r="U13" s="7">
        <f t="shared" si="7"/>
        <v>369611.72161172162</v>
      </c>
      <c r="V13" s="7">
        <f t="shared" si="7"/>
        <v>0</v>
      </c>
      <c r="W13" s="7">
        <f t="shared" si="7"/>
        <v>1592979.7979797979</v>
      </c>
      <c r="X13" s="7">
        <f t="shared" si="7"/>
        <v>0</v>
      </c>
      <c r="Y13" s="7">
        <f t="shared" si="7"/>
        <v>0</v>
      </c>
      <c r="Z13" s="7">
        <f t="shared" si="7"/>
        <v>185298.44961240311</v>
      </c>
      <c r="AA13" s="7">
        <f t="shared" si="7"/>
        <v>422590</v>
      </c>
      <c r="AB13" s="7">
        <f t="shared" si="7"/>
        <v>0</v>
      </c>
    </row>
    <row r="14" spans="1:28" x14ac:dyDescent="0.2">
      <c r="B14" s="2"/>
      <c r="C14" s="2"/>
      <c r="D14" s="2"/>
      <c r="E14" s="2"/>
      <c r="F14" s="2"/>
      <c r="G14" s="2"/>
    </row>
    <row r="15" spans="1:28" x14ac:dyDescent="0.2">
      <c r="A15" s="5" t="s">
        <v>100</v>
      </c>
      <c r="B15" s="3" t="str">
        <f>+B5</f>
        <v>3T23</v>
      </c>
      <c r="C15" s="3" t="str">
        <f>+C5</f>
        <v>2T23</v>
      </c>
      <c r="D15" s="3" t="str">
        <f t="shared" ref="D15" si="8">+D5</f>
        <v>1T23</v>
      </c>
      <c r="E15" s="3" t="str">
        <f t="shared" ref="E15:F15" si="9">+E5</f>
        <v>4T22</v>
      </c>
      <c r="F15" s="3" t="str">
        <f t="shared" si="9"/>
        <v>3T22</v>
      </c>
      <c r="G15" s="3" t="str">
        <f t="shared" ref="G15:K15" si="10">+G5</f>
        <v>2T22</v>
      </c>
      <c r="H15" s="3" t="str">
        <f t="shared" si="10"/>
        <v>1T22</v>
      </c>
      <c r="I15" s="3" t="str">
        <f t="shared" si="10"/>
        <v>4T21</v>
      </c>
      <c r="J15" s="3" t="str">
        <f t="shared" si="10"/>
        <v>3T21</v>
      </c>
      <c r="K15" s="3" t="str">
        <f t="shared" si="10"/>
        <v>2T21</v>
      </c>
      <c r="L15" s="3" t="str">
        <f t="shared" ref="L15:AB15" si="11">+L5</f>
        <v>1T21</v>
      </c>
      <c r="M15" s="3" t="str">
        <f t="shared" si="11"/>
        <v>4T20</v>
      </c>
      <c r="N15" s="3" t="str">
        <f t="shared" si="11"/>
        <v>3T20</v>
      </c>
      <c r="O15" s="3" t="str">
        <f t="shared" si="11"/>
        <v>2T20</v>
      </c>
      <c r="P15" s="3" t="str">
        <f t="shared" si="11"/>
        <v>1T20</v>
      </c>
      <c r="Q15" s="3" t="str">
        <f t="shared" si="11"/>
        <v>4T19</v>
      </c>
      <c r="R15" s="3" t="str">
        <f t="shared" si="11"/>
        <v>3T19</v>
      </c>
      <c r="S15" s="3" t="str">
        <f t="shared" si="11"/>
        <v>2T19</v>
      </c>
      <c r="T15" s="3" t="str">
        <f t="shared" si="11"/>
        <v>1T19</v>
      </c>
      <c r="U15" s="3" t="str">
        <f t="shared" si="11"/>
        <v>4T18</v>
      </c>
      <c r="V15" s="3" t="str">
        <f t="shared" si="11"/>
        <v>3T18</v>
      </c>
      <c r="W15" s="3" t="str">
        <f t="shared" si="11"/>
        <v>2T18</v>
      </c>
      <c r="X15" s="3" t="str">
        <f t="shared" si="11"/>
        <v>1T18</v>
      </c>
      <c r="Y15" s="3" t="str">
        <f t="shared" si="11"/>
        <v>4T17</v>
      </c>
      <c r="Z15" s="3" t="str">
        <f t="shared" si="11"/>
        <v>3T17</v>
      </c>
      <c r="AA15" s="3" t="str">
        <f t="shared" si="11"/>
        <v>2T17</v>
      </c>
      <c r="AB15" s="3" t="str">
        <f t="shared" si="11"/>
        <v>1T17</v>
      </c>
    </row>
    <row r="16" spans="1:28" x14ac:dyDescent="0.2">
      <c r="A16" s="1" t="s">
        <v>284</v>
      </c>
      <c r="B16" s="7">
        <f>[1]Input!$Y15</f>
        <v>280929.44673625007</v>
      </c>
      <c r="C16" s="7">
        <v>485885.77679416665</v>
      </c>
      <c r="D16" s="7">
        <v>233128.27793749998</v>
      </c>
      <c r="E16" s="7">
        <v>1022321.8078742643</v>
      </c>
      <c r="F16" s="7">
        <v>117342.82354449932</v>
      </c>
      <c r="G16" s="7">
        <v>450328.80644728482</v>
      </c>
      <c r="H16" s="7">
        <v>162472.72159991018</v>
      </c>
      <c r="I16" s="7">
        <v>155354.00634399123</v>
      </c>
      <c r="J16" s="7">
        <v>191881.37458130298</v>
      </c>
      <c r="K16" s="7">
        <v>507455.80112676823</v>
      </c>
      <c r="L16" s="7">
        <v>86107.022446865652</v>
      </c>
      <c r="M16" s="7">
        <v>353886</v>
      </c>
      <c r="N16" s="7">
        <v>33752</v>
      </c>
      <c r="O16" s="7">
        <v>12920</v>
      </c>
      <c r="P16" s="7">
        <v>27085</v>
      </c>
      <c r="Q16" s="7">
        <v>97043</v>
      </c>
      <c r="R16" s="7">
        <v>175007</v>
      </c>
      <c r="S16" s="7">
        <v>215303</v>
      </c>
      <c r="T16" s="7">
        <v>-1815</v>
      </c>
      <c r="U16" s="7">
        <v>105704.11139000003</v>
      </c>
      <c r="V16" s="7">
        <v>9084.9324100000013</v>
      </c>
      <c r="W16" s="7">
        <v>153927.14700000003</v>
      </c>
      <c r="X16" s="7">
        <v>7005.9240399999999</v>
      </c>
      <c r="Y16" s="7">
        <v>38271.825529999987</v>
      </c>
      <c r="Z16" s="7">
        <v>63091</v>
      </c>
      <c r="AA16" s="7">
        <v>2350</v>
      </c>
      <c r="AB16" s="7">
        <v>24260</v>
      </c>
    </row>
    <row r="17" spans="1:29" x14ac:dyDescent="0.2">
      <c r="A17" s="1" t="s">
        <v>231</v>
      </c>
      <c r="B17" s="7">
        <f>[1]Input!$Y17</f>
        <v>192859.05322749802</v>
      </c>
      <c r="C17" s="7">
        <v>389662.1805737</v>
      </c>
      <c r="D17" s="7">
        <v>145874.08209210803</v>
      </c>
      <c r="E17" s="7">
        <v>526417.39100498403</v>
      </c>
      <c r="F17" s="7">
        <v>83470.803476811998</v>
      </c>
      <c r="G17" s="7">
        <v>358718.50847335596</v>
      </c>
      <c r="H17" s="7">
        <v>91108.569163412001</v>
      </c>
      <c r="I17" s="7">
        <v>109591.38953983397</v>
      </c>
      <c r="J17" s="7">
        <v>119478.52703695805</v>
      </c>
      <c r="K17" s="7">
        <v>399872.49987139809</v>
      </c>
      <c r="L17" s="7">
        <v>61270.670880241989</v>
      </c>
      <c r="M17" s="7">
        <v>221708.45397343801</v>
      </c>
      <c r="N17" s="7">
        <v>18521.025977937999</v>
      </c>
      <c r="O17" s="7">
        <v>5064.245259446001</v>
      </c>
      <c r="P17" s="7">
        <v>19044.267056122</v>
      </c>
      <c r="Q17" s="7">
        <v>70290.809643950022</v>
      </c>
      <c r="R17" s="7">
        <v>98923.917626384005</v>
      </c>
      <c r="S17" s="7">
        <v>188754.48327184602</v>
      </c>
      <c r="T17" s="7">
        <v>-1372.3322828600003</v>
      </c>
      <c r="U17" s="7">
        <v>73795.388404678015</v>
      </c>
      <c r="V17" s="7">
        <v>5476.4544037560008</v>
      </c>
      <c r="W17" s="7">
        <v>122712.31932942002</v>
      </c>
      <c r="X17" s="7">
        <v>6247.2084801279998</v>
      </c>
      <c r="Y17" s="7">
        <v>35277.982099051995</v>
      </c>
      <c r="Z17" s="7">
        <v>32621.723925208003</v>
      </c>
      <c r="AA17" s="7">
        <v>1197.8461763160001</v>
      </c>
      <c r="AB17" s="7">
        <v>12367.596324304001</v>
      </c>
    </row>
    <row r="18" spans="1:29" x14ac:dyDescent="0.2">
      <c r="A18" s="1" t="s">
        <v>95</v>
      </c>
      <c r="B18" s="7">
        <f>[1]Input!$Y21</f>
        <v>135</v>
      </c>
      <c r="C18" s="7">
        <v>246</v>
      </c>
      <c r="D18" s="7">
        <v>165</v>
      </c>
      <c r="E18" s="7">
        <v>1166</v>
      </c>
      <c r="F18" s="7">
        <v>183</v>
      </c>
      <c r="G18" s="7">
        <v>420</v>
      </c>
      <c r="H18" s="7">
        <v>208</v>
      </c>
      <c r="I18" s="7">
        <v>262</v>
      </c>
      <c r="J18" s="7">
        <v>212</v>
      </c>
      <c r="K18" s="7">
        <v>354</v>
      </c>
      <c r="L18" s="7">
        <v>107</v>
      </c>
      <c r="M18" s="7">
        <v>338</v>
      </c>
      <c r="N18" s="7">
        <v>59</v>
      </c>
      <c r="O18" s="7">
        <v>27</v>
      </c>
      <c r="P18" s="7">
        <v>36</v>
      </c>
      <c r="Q18" s="7">
        <v>98</v>
      </c>
      <c r="R18" s="7">
        <v>130</v>
      </c>
      <c r="S18" s="7">
        <v>298</v>
      </c>
      <c r="T18" s="7">
        <v>-2</v>
      </c>
      <c r="U18" s="7">
        <v>305</v>
      </c>
      <c r="V18" s="7">
        <v>23</v>
      </c>
      <c r="W18" s="7">
        <v>125</v>
      </c>
      <c r="X18" s="7">
        <v>34</v>
      </c>
      <c r="Y18" s="7">
        <v>183</v>
      </c>
      <c r="Z18" s="7">
        <v>46</v>
      </c>
      <c r="AA18" s="7">
        <v>128</v>
      </c>
      <c r="AB18" s="7">
        <v>39</v>
      </c>
    </row>
    <row r="19" spans="1:29" x14ac:dyDescent="0.2">
      <c r="B19" s="2"/>
      <c r="C19" s="2"/>
      <c r="D19" s="2"/>
      <c r="E19" s="2"/>
      <c r="F19" s="2"/>
      <c r="G19" s="2"/>
    </row>
    <row r="20" spans="1:29" x14ac:dyDescent="0.2">
      <c r="A20" s="5" t="s">
        <v>246</v>
      </c>
      <c r="B20" s="3" t="str">
        <f>B15</f>
        <v>3T23</v>
      </c>
      <c r="C20" s="3" t="str">
        <f>C15</f>
        <v>2T23</v>
      </c>
      <c r="D20" s="3" t="str">
        <f t="shared" ref="D20" si="12">D15</f>
        <v>1T23</v>
      </c>
      <c r="E20" s="3" t="str">
        <f t="shared" ref="E20:F20" si="13">E15</f>
        <v>4T22</v>
      </c>
      <c r="F20" s="3" t="str">
        <f t="shared" si="13"/>
        <v>3T22</v>
      </c>
      <c r="G20" s="3" t="str">
        <f t="shared" ref="G20:K20" si="14">G15</f>
        <v>2T22</v>
      </c>
      <c r="H20" s="3" t="str">
        <f t="shared" si="14"/>
        <v>1T22</v>
      </c>
      <c r="I20" s="3" t="str">
        <f t="shared" si="14"/>
        <v>4T21</v>
      </c>
      <c r="J20" s="3" t="str">
        <f t="shared" si="14"/>
        <v>3T21</v>
      </c>
      <c r="K20" s="3" t="str">
        <f t="shared" si="14"/>
        <v>2T21</v>
      </c>
      <c r="L20" s="3" t="str">
        <f t="shared" ref="L20" si="15">L15</f>
        <v>1T21</v>
      </c>
      <c r="M20" s="3" t="str">
        <f t="shared" ref="M20:AB20" si="16">M15</f>
        <v>4T20</v>
      </c>
      <c r="N20" s="3" t="str">
        <f t="shared" si="16"/>
        <v>3T20</v>
      </c>
      <c r="O20" s="3" t="str">
        <f t="shared" si="16"/>
        <v>2T20</v>
      </c>
      <c r="P20" s="3" t="str">
        <f t="shared" si="16"/>
        <v>1T20</v>
      </c>
      <c r="Q20" s="3" t="str">
        <f t="shared" si="16"/>
        <v>4T19</v>
      </c>
      <c r="R20" s="3" t="str">
        <f t="shared" si="16"/>
        <v>3T19</v>
      </c>
      <c r="S20" s="3" t="str">
        <f t="shared" si="16"/>
        <v>2T19</v>
      </c>
      <c r="T20" s="3" t="str">
        <f t="shared" si="16"/>
        <v>1T19</v>
      </c>
      <c r="U20" s="3" t="str">
        <f t="shared" si="16"/>
        <v>4T18</v>
      </c>
      <c r="V20" s="3" t="str">
        <f t="shared" si="16"/>
        <v>3T18</v>
      </c>
      <c r="W20" s="3" t="str">
        <f t="shared" si="16"/>
        <v>2T18</v>
      </c>
      <c r="X20" s="3" t="str">
        <f t="shared" si="16"/>
        <v>1T18</v>
      </c>
      <c r="Y20" s="3" t="str">
        <f t="shared" si="16"/>
        <v>4T17</v>
      </c>
      <c r="Z20" s="3" t="str">
        <f t="shared" si="16"/>
        <v>3T17</v>
      </c>
      <c r="AA20" s="3" t="str">
        <f t="shared" si="16"/>
        <v>2T17</v>
      </c>
      <c r="AB20" s="3" t="str">
        <f t="shared" si="16"/>
        <v>1T17</v>
      </c>
    </row>
    <row r="21" spans="1:29" x14ac:dyDescent="0.2">
      <c r="A21" s="1" t="s">
        <v>247</v>
      </c>
      <c r="B21" s="7">
        <v>0</v>
      </c>
      <c r="C21" s="7">
        <v>0</v>
      </c>
      <c r="D21" s="7">
        <v>189935.62830000001</v>
      </c>
      <c r="E21" s="7">
        <v>0</v>
      </c>
      <c r="F21" s="7">
        <v>0</v>
      </c>
      <c r="G21" s="7">
        <v>0</v>
      </c>
      <c r="H21" s="7">
        <v>241527.37700000001</v>
      </c>
      <c r="I21" s="7">
        <v>0</v>
      </c>
      <c r="J21" s="7">
        <v>258608.72244999997</v>
      </c>
      <c r="K21" s="7">
        <v>0</v>
      </c>
      <c r="L21" s="7">
        <v>0</v>
      </c>
      <c r="M21" s="7">
        <v>0</v>
      </c>
      <c r="N21" s="7">
        <v>169036.4944</v>
      </c>
      <c r="O21" s="7">
        <v>47806.564859999999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</row>
    <row r="22" spans="1:29" x14ac:dyDescent="0.2">
      <c r="A22" s="1" t="s">
        <v>248</v>
      </c>
      <c r="B22" s="7">
        <v>0</v>
      </c>
      <c r="C22" s="7">
        <v>0</v>
      </c>
      <c r="D22" s="7">
        <v>151948.50263999999</v>
      </c>
      <c r="E22" s="7">
        <v>0</v>
      </c>
      <c r="F22" s="7">
        <v>0</v>
      </c>
      <c r="G22" s="7">
        <v>0</v>
      </c>
      <c r="H22" s="7">
        <v>227035.73438000001</v>
      </c>
      <c r="I22" s="7">
        <v>0</v>
      </c>
      <c r="J22" s="7">
        <v>196796.58926000001</v>
      </c>
      <c r="K22" s="7">
        <v>0</v>
      </c>
      <c r="L22" s="7">
        <v>0</v>
      </c>
      <c r="M22" s="7">
        <v>0</v>
      </c>
      <c r="N22" s="7">
        <v>86174.804845120001</v>
      </c>
      <c r="O22" s="7">
        <v>47806.564859999999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</row>
    <row r="23" spans="1:29" x14ac:dyDescent="0.2">
      <c r="A23" s="1" t="s">
        <v>249</v>
      </c>
      <c r="B23" s="7">
        <v>0</v>
      </c>
      <c r="C23" s="7">
        <v>0</v>
      </c>
      <c r="D23" s="7">
        <v>120</v>
      </c>
      <c r="E23" s="7">
        <v>0</v>
      </c>
      <c r="F23" s="7">
        <v>0</v>
      </c>
      <c r="G23" s="7">
        <v>0</v>
      </c>
      <c r="H23" s="7">
        <v>352</v>
      </c>
      <c r="I23" s="7">
        <v>0</v>
      </c>
      <c r="J23" s="7">
        <v>372</v>
      </c>
      <c r="K23" s="7">
        <v>0</v>
      </c>
      <c r="L23" s="7">
        <v>0</v>
      </c>
      <c r="M23" s="7">
        <v>0</v>
      </c>
      <c r="N23" s="7">
        <v>400</v>
      </c>
      <c r="O23" s="7">
        <v>258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</row>
    <row r="24" spans="1:29" x14ac:dyDescent="0.2">
      <c r="A24" s="1" t="s">
        <v>250</v>
      </c>
      <c r="B24" s="7">
        <v>0</v>
      </c>
      <c r="C24" s="7">
        <v>0</v>
      </c>
      <c r="D24" s="7">
        <v>15633.25</v>
      </c>
      <c r="E24" s="7">
        <v>0</v>
      </c>
      <c r="F24" s="7">
        <v>0</v>
      </c>
      <c r="G24" s="7">
        <v>0</v>
      </c>
      <c r="H24" s="7">
        <v>33127.29</v>
      </c>
      <c r="I24" s="7">
        <v>0</v>
      </c>
      <c r="J24" s="7">
        <v>22046</v>
      </c>
      <c r="K24" s="7">
        <v>0</v>
      </c>
      <c r="L24" s="7">
        <v>0</v>
      </c>
      <c r="M24" s="7">
        <v>0</v>
      </c>
      <c r="N24" s="7">
        <v>26166.639999999996</v>
      </c>
      <c r="O24" s="7">
        <v>6675.03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/>
    </row>
    <row r="25" spans="1:29" x14ac:dyDescent="0.2">
      <c r="B25" s="2"/>
      <c r="C25" s="2"/>
      <c r="D25" s="2"/>
      <c r="E25" s="2"/>
      <c r="F25" s="2"/>
      <c r="G25" s="2"/>
    </row>
    <row r="26" spans="1:29" x14ac:dyDescent="0.2">
      <c r="A26" s="5" t="s">
        <v>260</v>
      </c>
      <c r="B26" s="3" t="str">
        <f>B20</f>
        <v>3T23</v>
      </c>
      <c r="C26" s="3" t="str">
        <f>C20</f>
        <v>2T23</v>
      </c>
      <c r="D26" s="3" t="str">
        <f t="shared" ref="D26" si="17">D20</f>
        <v>1T23</v>
      </c>
      <c r="E26" s="3" t="str">
        <f t="shared" ref="E26:F26" si="18">E20</f>
        <v>4T22</v>
      </c>
      <c r="F26" s="3" t="str">
        <f t="shared" si="18"/>
        <v>3T22</v>
      </c>
      <c r="G26" s="3" t="str">
        <f t="shared" ref="G26:K26" si="19">G20</f>
        <v>2T22</v>
      </c>
      <c r="H26" s="3" t="str">
        <f t="shared" si="19"/>
        <v>1T22</v>
      </c>
      <c r="I26" s="3" t="str">
        <f t="shared" si="19"/>
        <v>4T21</v>
      </c>
      <c r="J26" s="3" t="str">
        <f t="shared" si="19"/>
        <v>3T21</v>
      </c>
      <c r="K26" s="3" t="str">
        <f t="shared" si="19"/>
        <v>2T21</v>
      </c>
      <c r="L26" s="3" t="str">
        <f>L20</f>
        <v>1T21</v>
      </c>
      <c r="M26" s="3" t="str">
        <f>M20</f>
        <v>4T20</v>
      </c>
      <c r="N26" s="3" t="str">
        <f>N20</f>
        <v>3T20</v>
      </c>
      <c r="O26" s="3" t="str">
        <f t="shared" ref="O26:AB26" si="20">O20</f>
        <v>2T20</v>
      </c>
      <c r="P26" s="3" t="str">
        <f t="shared" si="20"/>
        <v>1T20</v>
      </c>
      <c r="Q26" s="3" t="str">
        <f t="shared" si="20"/>
        <v>4T19</v>
      </c>
      <c r="R26" s="3" t="str">
        <f t="shared" si="20"/>
        <v>3T19</v>
      </c>
      <c r="S26" s="3" t="str">
        <f t="shared" si="20"/>
        <v>2T19</v>
      </c>
      <c r="T26" s="3" t="str">
        <f t="shared" si="20"/>
        <v>1T19</v>
      </c>
      <c r="U26" s="3" t="str">
        <f t="shared" si="20"/>
        <v>4T18</v>
      </c>
      <c r="V26" s="3" t="str">
        <f t="shared" si="20"/>
        <v>3T18</v>
      </c>
      <c r="W26" s="3" t="str">
        <f t="shared" si="20"/>
        <v>2T18</v>
      </c>
      <c r="X26" s="3" t="str">
        <f t="shared" si="20"/>
        <v>1T18</v>
      </c>
      <c r="Y26" s="3" t="str">
        <f t="shared" si="20"/>
        <v>4T17</v>
      </c>
      <c r="Z26" s="3" t="str">
        <f t="shared" si="20"/>
        <v>3T17</v>
      </c>
      <c r="AA26" s="3" t="str">
        <f t="shared" si="20"/>
        <v>2T17</v>
      </c>
      <c r="AB26" s="3" t="str">
        <f t="shared" si="20"/>
        <v>1T17</v>
      </c>
    </row>
    <row r="27" spans="1:29" x14ac:dyDescent="0.2">
      <c r="A27" s="1" t="s">
        <v>256</v>
      </c>
      <c r="B27" s="7">
        <f>[3]LandBank!$K$17</f>
        <v>4230.3030189900001</v>
      </c>
      <c r="C27" s="7">
        <v>3105.1487359900002</v>
      </c>
      <c r="D27" s="7">
        <v>3995</v>
      </c>
      <c r="E27" s="7">
        <v>4377.0002483999997</v>
      </c>
      <c r="F27" s="7">
        <v>3288</v>
      </c>
      <c r="G27" s="7">
        <v>3014</v>
      </c>
      <c r="H27" s="7">
        <v>3642</v>
      </c>
      <c r="I27" s="7">
        <v>4143</v>
      </c>
      <c r="J27" s="7">
        <v>4351</v>
      </c>
      <c r="K27" s="7">
        <v>3631</v>
      </c>
      <c r="L27" s="7">
        <v>3673</v>
      </c>
      <c r="M27" s="7">
        <v>3313</v>
      </c>
      <c r="N27" s="7">
        <v>2693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9" x14ac:dyDescent="0.2">
      <c r="A28" s="1" t="s">
        <v>257</v>
      </c>
      <c r="B28" s="7">
        <f>[3]LandBank!$K$18</f>
        <v>3059.3191585455002</v>
      </c>
      <c r="C28" s="7">
        <v>2350.0786755455001</v>
      </c>
      <c r="D28" s="7">
        <v>3239.3025734470998</v>
      </c>
      <c r="E28" s="7">
        <v>3387.5241292255</v>
      </c>
      <c r="F28" s="7">
        <v>3019.9789999999998</v>
      </c>
      <c r="G28" s="7">
        <v>2780</v>
      </c>
      <c r="H28" s="7">
        <v>3407</v>
      </c>
      <c r="I28" s="7">
        <v>3820</v>
      </c>
      <c r="J28" s="7">
        <v>3986</v>
      </c>
      <c r="K28" s="7">
        <v>3271</v>
      </c>
      <c r="L28" s="7">
        <v>3396</v>
      </c>
      <c r="M28" s="7">
        <v>3083</v>
      </c>
      <c r="N28" s="7">
        <v>2370</v>
      </c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9" x14ac:dyDescent="0.2">
      <c r="A29" s="1" t="s">
        <v>258</v>
      </c>
      <c r="B29" s="21">
        <f>+B28/B27</f>
        <v>0.72319149356726775</v>
      </c>
      <c r="C29" s="21">
        <f>+C28/C27</f>
        <v>0.75683288478490074</v>
      </c>
      <c r="D29" s="21">
        <f>+D28/D27</f>
        <v>0.81083919235221524</v>
      </c>
      <c r="E29" s="21">
        <f>+E28/E27</f>
        <v>0.77393738564757908</v>
      </c>
      <c r="F29" s="21">
        <f t="shared" ref="F29" si="21">+F28/F27</f>
        <v>0.91848509732360095</v>
      </c>
      <c r="G29" s="21">
        <f t="shared" ref="G29:N29" si="22">+G28/G27</f>
        <v>0.92236230922362306</v>
      </c>
      <c r="H29" s="21">
        <f t="shared" si="22"/>
        <v>0.93547501372872044</v>
      </c>
      <c r="I29" s="21">
        <f t="shared" si="22"/>
        <v>0.92203717113202988</v>
      </c>
      <c r="J29" s="21">
        <f t="shared" si="22"/>
        <v>0.91611123879567913</v>
      </c>
      <c r="K29" s="21">
        <f t="shared" si="22"/>
        <v>0.90085375929496003</v>
      </c>
      <c r="L29" s="21">
        <f t="shared" si="22"/>
        <v>0.92458480805880749</v>
      </c>
      <c r="M29" s="21">
        <f t="shared" si="22"/>
        <v>0.93057651675218833</v>
      </c>
      <c r="N29" s="21">
        <f t="shared" si="22"/>
        <v>0.8800594132937245</v>
      </c>
    </row>
    <row r="31" spans="1:29" x14ac:dyDescent="0.2">
      <c r="A31" s="5" t="s">
        <v>367</v>
      </c>
      <c r="B31" s="3" t="str">
        <f>B26</f>
        <v>3T23</v>
      </c>
      <c r="C31" s="3" t="str">
        <f>C26</f>
        <v>2T23</v>
      </c>
      <c r="D31" s="3" t="str">
        <f>D26</f>
        <v>1T23</v>
      </c>
      <c r="E31" s="3" t="str">
        <f>E26</f>
        <v>4T22</v>
      </c>
      <c r="F31" s="3" t="str">
        <f>F26</f>
        <v>3T22</v>
      </c>
      <c r="G31" s="3" t="str">
        <f t="shared" ref="G31:AB31" si="23">G26</f>
        <v>2T22</v>
      </c>
      <c r="H31" s="3" t="str">
        <f t="shared" si="23"/>
        <v>1T22</v>
      </c>
      <c r="I31" s="3" t="str">
        <f t="shared" si="23"/>
        <v>4T21</v>
      </c>
      <c r="J31" s="3" t="str">
        <f t="shared" si="23"/>
        <v>3T21</v>
      </c>
      <c r="K31" s="3" t="str">
        <f t="shared" si="23"/>
        <v>2T21</v>
      </c>
      <c r="L31" s="3" t="str">
        <f t="shared" si="23"/>
        <v>1T21</v>
      </c>
      <c r="M31" s="3" t="str">
        <f t="shared" si="23"/>
        <v>4T20</v>
      </c>
      <c r="N31" s="3" t="str">
        <f t="shared" si="23"/>
        <v>3T20</v>
      </c>
      <c r="O31" s="3" t="str">
        <f t="shared" si="23"/>
        <v>2T20</v>
      </c>
      <c r="P31" s="3" t="str">
        <f t="shared" si="23"/>
        <v>1T20</v>
      </c>
      <c r="Q31" s="3" t="str">
        <f t="shared" si="23"/>
        <v>4T19</v>
      </c>
      <c r="R31" s="3" t="str">
        <f t="shared" si="23"/>
        <v>3T19</v>
      </c>
      <c r="S31" s="3" t="str">
        <f t="shared" si="23"/>
        <v>2T19</v>
      </c>
      <c r="T31" s="3" t="str">
        <f t="shared" si="23"/>
        <v>1T19</v>
      </c>
      <c r="U31" s="3" t="str">
        <f t="shared" si="23"/>
        <v>4T18</v>
      </c>
      <c r="V31" s="3" t="str">
        <f t="shared" si="23"/>
        <v>3T18</v>
      </c>
      <c r="W31" s="3" t="str">
        <f t="shared" si="23"/>
        <v>2T18</v>
      </c>
      <c r="X31" s="3" t="str">
        <f t="shared" si="23"/>
        <v>1T18</v>
      </c>
      <c r="Y31" s="3" t="str">
        <f t="shared" si="23"/>
        <v>4T17</v>
      </c>
      <c r="Z31" s="3" t="str">
        <f t="shared" si="23"/>
        <v>3T17</v>
      </c>
      <c r="AA31" s="3" t="str">
        <f t="shared" si="23"/>
        <v>2T17</v>
      </c>
      <c r="AB31" s="3" t="str">
        <f t="shared" si="23"/>
        <v>1T17</v>
      </c>
    </row>
    <row r="32" spans="1:29" x14ac:dyDescent="0.2">
      <c r="A32" s="1" t="s">
        <v>345</v>
      </c>
      <c r="B32" s="7">
        <f>[1]Tables!$N$25</f>
        <v>1625159.3444876119</v>
      </c>
      <c r="C32" s="7">
        <v>1877268.3761783387</v>
      </c>
      <c r="D32" s="7">
        <v>1526407.2212265469</v>
      </c>
      <c r="E32" s="7">
        <v>1325692.7590222969</v>
      </c>
      <c r="F32" s="32">
        <v>893314.75572869729</v>
      </c>
      <c r="G32" s="32">
        <v>816838.33136734343</v>
      </c>
      <c r="H32" s="32">
        <v>626500</v>
      </c>
      <c r="I32" s="32">
        <v>567114</v>
      </c>
      <c r="J32" s="32">
        <v>504235</v>
      </c>
      <c r="K32" s="32">
        <v>366681</v>
      </c>
      <c r="L32" s="32">
        <v>161171</v>
      </c>
      <c r="M32" s="32">
        <v>241622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</row>
    <row r="33" spans="1:28" x14ac:dyDescent="0.2">
      <c r="A33" s="1" t="s">
        <v>347</v>
      </c>
      <c r="B33" s="7">
        <f>[1]Tables!$O$25</f>
        <v>1364488.688177892</v>
      </c>
      <c r="C33" s="7">
        <v>1566587.0005902569</v>
      </c>
      <c r="D33" s="7">
        <v>1156488.2495778662</v>
      </c>
      <c r="E33" s="7">
        <v>1112620.1887113692</v>
      </c>
      <c r="F33" s="32">
        <v>808349.75905892323</v>
      </c>
      <c r="G33" s="32">
        <v>759071.08763181488</v>
      </c>
      <c r="H33" s="32">
        <v>542191</v>
      </c>
      <c r="I33" s="32">
        <v>524805</v>
      </c>
      <c r="J33" s="32">
        <v>481600</v>
      </c>
      <c r="K33" s="32">
        <v>340947</v>
      </c>
      <c r="L33" s="32">
        <v>119117</v>
      </c>
      <c r="M33" s="32">
        <v>180230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</row>
    <row r="36" spans="1:28" x14ac:dyDescent="0.2">
      <c r="H36" s="1"/>
    </row>
    <row r="37" spans="1:28" x14ac:dyDescent="0.2">
      <c r="H37" s="1"/>
    </row>
    <row r="38" spans="1:28" x14ac:dyDescent="0.2">
      <c r="H38" s="1"/>
    </row>
    <row r="39" spans="1:28" x14ac:dyDescent="0.2">
      <c r="H39" s="1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CBCE-DD5B-4C80-95C9-E5B7E40A1E29}">
  <sheetPr>
    <tabColor rgb="FFC8A74B"/>
  </sheetPr>
  <dimension ref="A2:AI17"/>
  <sheetViews>
    <sheetView showGridLines="0" zoomScaleNormal="100" workbookViewId="0"/>
  </sheetViews>
  <sheetFormatPr defaultColWidth="0" defaultRowHeight="12" x14ac:dyDescent="0.2"/>
  <cols>
    <col min="1" max="1" width="33" style="1" bestFit="1" customWidth="1"/>
    <col min="2" max="7" width="8.85546875" style="1" customWidth="1"/>
    <col min="8" max="20" width="8.85546875" style="2" customWidth="1"/>
    <col min="21" max="21" width="8.85546875" style="1" hidden="1" customWidth="1"/>
    <col min="22" max="35" width="0" style="1" hidden="1" customWidth="1"/>
    <col min="36" max="16384" width="8.85546875" style="1" hidden="1"/>
  </cols>
  <sheetData>
    <row r="2" spans="1:20" ht="15" x14ac:dyDescent="0.25">
      <c r="A2"/>
      <c r="B2"/>
      <c r="C2"/>
      <c r="D2"/>
      <c r="E2"/>
      <c r="F2"/>
      <c r="G2"/>
    </row>
    <row r="5" spans="1:20" x14ac:dyDescent="0.2">
      <c r="A5" s="5" t="s">
        <v>262</v>
      </c>
      <c r="B5" s="3" t="s">
        <v>380</v>
      </c>
      <c r="C5" s="3" t="s">
        <v>370</v>
      </c>
      <c r="D5" s="3" t="s">
        <v>368</v>
      </c>
      <c r="E5" s="3" t="s">
        <v>354</v>
      </c>
      <c r="F5" s="3" t="s">
        <v>331</v>
      </c>
      <c r="G5" s="3" t="s">
        <v>325</v>
      </c>
      <c r="H5" s="3" t="s">
        <v>309</v>
      </c>
      <c r="I5" s="3" t="s">
        <v>304</v>
      </c>
      <c r="J5" s="3" t="s">
        <v>296</v>
      </c>
      <c r="K5" s="3" t="s">
        <v>288</v>
      </c>
      <c r="L5" s="3" t="s">
        <v>286</v>
      </c>
      <c r="M5" s="3" t="s">
        <v>277</v>
      </c>
      <c r="N5" s="3" t="s">
        <v>2</v>
      </c>
      <c r="O5" s="3" t="s">
        <v>1</v>
      </c>
      <c r="P5" s="3" t="s">
        <v>4</v>
      </c>
      <c r="Q5" s="3" t="s">
        <v>3</v>
      </c>
      <c r="R5" s="3" t="s">
        <v>5</v>
      </c>
      <c r="S5" s="3" t="s">
        <v>6</v>
      </c>
      <c r="T5" s="3" t="s">
        <v>7</v>
      </c>
    </row>
    <row r="6" spans="1:20" x14ac:dyDescent="0.2">
      <c r="A6" s="6" t="s">
        <v>263</v>
      </c>
      <c r="B6" s="7">
        <f>[1]Input!$Y$107</f>
        <v>35072</v>
      </c>
      <c r="C6" s="7">
        <v>884</v>
      </c>
      <c r="D6" s="7">
        <v>653</v>
      </c>
      <c r="E6" s="7">
        <v>325</v>
      </c>
      <c r="F6" s="7">
        <f>INDEX('Balanço Patrimonial'!$38:$38,MATCH(F$5,'Balanço Patrimonial'!$5:$5,0))+INDEX('Balanço Patrimonial'!$39:$39,MATCH(F$5,'Balanço Patrimonial'!$5:$5,0))+INDEX('Balanço Patrimonial'!$40:$40,MATCH(F$5,'Balanço Patrimonial'!$5:$5,0))</f>
        <v>12.159000000000001</v>
      </c>
      <c r="G6" s="7">
        <f>INDEX('Balanço Patrimonial'!$38:$38,MATCH(G$5,'Balanço Patrimonial'!$5:$5,0))+INDEX('Balanço Patrimonial'!$39:$39,MATCH(G$5,'Balanço Patrimonial'!$5:$5,0))+INDEX('Balanço Patrimonial'!$40:$40,MATCH(G$5,'Balanço Patrimonial'!$5:$5,0))</f>
        <v>4.694</v>
      </c>
      <c r="H6" s="7">
        <v>5.1999999999999998E-2</v>
      </c>
      <c r="I6" s="7">
        <v>1</v>
      </c>
      <c r="J6" s="7">
        <v>628</v>
      </c>
      <c r="K6" s="7">
        <v>267</v>
      </c>
      <c r="L6" s="7">
        <v>543</v>
      </c>
      <c r="M6" s="7">
        <v>3004</v>
      </c>
      <c r="N6" s="7">
        <f>INDEX('Balanço Patrimonial'!$38:$38,MATCH(N$5,'Balanço Patrimonial'!$5:$5,0))</f>
        <v>620.73636999999997</v>
      </c>
      <c r="O6" s="7">
        <f>INDEX('Balanço Patrimonial'!$38:$38,MATCH(O$5,'Balanço Patrimonial'!$5:$5,0))</f>
        <v>137.62628999999995</v>
      </c>
      <c r="P6" s="7">
        <f>INDEX('Balanço Patrimonial'!$38:$38,MATCH(P$5,'Balanço Patrimonial'!$5:$5,0))</f>
        <v>12409.1574</v>
      </c>
      <c r="Q6" s="7">
        <f>INDEX('Balanço Patrimonial'!$38:$38,MATCH(Q$5,'Balanço Patrimonial'!$5:$5,0))</f>
        <v>13363.714749999999</v>
      </c>
      <c r="R6" s="7">
        <f>INDEX('Balanço Patrimonial'!$38:$38,MATCH(R$5,'Balanço Patrimonial'!$5:$5,0))</f>
        <v>25361.415619999996</v>
      </c>
      <c r="S6" s="7">
        <f>INDEX('Balanço Patrimonial'!$38:$38,MATCH(S$5,'Balanço Patrimonial'!$5:$5,0))</f>
        <v>328.20314000000008</v>
      </c>
      <c r="T6" s="7">
        <f>INDEX('Balanço Patrimonial'!$38:$38,MATCH(T$5,'Balanço Patrimonial'!$5:$5,0))</f>
        <v>5245.5618581520366</v>
      </c>
    </row>
    <row r="7" spans="1:20" x14ac:dyDescent="0.2">
      <c r="A7" s="6" t="s">
        <v>264</v>
      </c>
      <c r="B7" s="7">
        <f>[1]Input!$Y$125</f>
        <v>147001</v>
      </c>
      <c r="C7" s="7">
        <v>63357</v>
      </c>
      <c r="D7" s="7">
        <v>42142</v>
      </c>
      <c r="E7" s="7">
        <v>42243</v>
      </c>
      <c r="F7" s="7">
        <f>INDEX('Balanço Patrimonial'!$54:$54,MATCH(F$5,'Balanço Patrimonial'!$5:$5,0))+INDEX('Balanço Patrimonial'!$55:$55,MATCH(F$5,'Balanço Patrimonial'!$5:$5,0))+INDEX('Balanço Patrimonial'!$56:$56,MATCH(F$5,'Balanço Patrimonial'!$5:$5,0))</f>
        <v>1524.9580000000001</v>
      </c>
      <c r="G7" s="7">
        <f>INDEX('Balanço Patrimonial'!$54:$54,MATCH(G$5,'Balanço Patrimonial'!$5:$5,0))+INDEX('Balanço Patrimonial'!$55:$55,MATCH(G$5,'Balanço Patrimonial'!$5:$5,0))+INDEX('Balanço Patrimonial'!$56:$56,MATCH(G$5,'Balanço Patrimonial'!$5:$5,0))</f>
        <v>515.03099999999995</v>
      </c>
      <c r="H7" s="7">
        <v>508</v>
      </c>
      <c r="I7" s="7">
        <v>413</v>
      </c>
      <c r="J7" s="7">
        <v>50204</v>
      </c>
      <c r="K7" s="7">
        <v>50204</v>
      </c>
      <c r="L7" s="7">
        <v>50204</v>
      </c>
      <c r="M7" s="7">
        <v>54200</v>
      </c>
      <c r="N7" s="7">
        <f>INDEX('Balanço Patrimonial'!$54:$54,MATCH(N$5,'Balanço Patrimonial'!$5:$5,0))</f>
        <v>50200</v>
      </c>
      <c r="O7" s="7">
        <f>INDEX('Balanço Patrimonial'!$54:$54,MATCH(O$5,'Balanço Patrimonial'!$5:$5,0))</f>
        <v>50000</v>
      </c>
      <c r="P7" s="7">
        <f>INDEX('Balanço Patrimonial'!$54:$54,MATCH(P$5,'Balanço Patrimonial'!$5:$5,0))</f>
        <v>51386.985789999999</v>
      </c>
      <c r="Q7" s="7">
        <f>INDEX('Balanço Patrimonial'!$54:$54,MATCH(Q$5,'Balanço Patrimonial'!$5:$5,0))</f>
        <v>51108.486109999998</v>
      </c>
      <c r="R7" s="7">
        <f>INDEX('Balanço Patrimonial'!$54:$54,MATCH(R$5,'Balanço Patrimonial'!$5:$5,0))</f>
        <v>1242.49127</v>
      </c>
      <c r="S7" s="7">
        <f>INDEX('Balanço Patrimonial'!$54:$54,MATCH(S$5,'Balanço Patrimonial'!$5:$5,0))</f>
        <v>30761.843849999997</v>
      </c>
      <c r="T7" s="7">
        <f>INDEX('Balanço Patrimonial'!$54:$54,MATCH(T$5,'Balanço Patrimonial'!$5:$5,0))</f>
        <v>18361.165392260471</v>
      </c>
    </row>
    <row r="8" spans="1:20" x14ac:dyDescent="0.2">
      <c r="A8" s="27" t="s">
        <v>265</v>
      </c>
      <c r="B8" s="28">
        <f>+B6+B7</f>
        <v>182073</v>
      </c>
      <c r="C8" s="28">
        <f>+C6+C7</f>
        <v>64241</v>
      </c>
      <c r="D8" s="28">
        <f>+D6+D7</f>
        <v>42795</v>
      </c>
      <c r="E8" s="28">
        <f>+E6+E7</f>
        <v>42568</v>
      </c>
      <c r="F8" s="28">
        <f t="shared" ref="F8" si="0">+F6+F7</f>
        <v>1537.1170000000002</v>
      </c>
      <c r="G8" s="28">
        <f t="shared" ref="G8:N8" si="1">+G6+G7</f>
        <v>519.72499999999991</v>
      </c>
      <c r="H8" s="28">
        <f t="shared" si="1"/>
        <v>508.05200000000002</v>
      </c>
      <c r="I8" s="28">
        <f t="shared" si="1"/>
        <v>414</v>
      </c>
      <c r="J8" s="28">
        <f t="shared" si="1"/>
        <v>50832</v>
      </c>
      <c r="K8" s="28">
        <f t="shared" si="1"/>
        <v>50471</v>
      </c>
      <c r="L8" s="28">
        <f t="shared" si="1"/>
        <v>50747</v>
      </c>
      <c r="M8" s="28">
        <f t="shared" si="1"/>
        <v>57204</v>
      </c>
      <c r="N8" s="28">
        <f t="shared" si="1"/>
        <v>50820.736369999999</v>
      </c>
      <c r="O8" s="28">
        <f t="shared" ref="O8:T8" si="2">+O6+O7</f>
        <v>50137.62629</v>
      </c>
      <c r="P8" s="28">
        <f t="shared" si="2"/>
        <v>63796.143190000003</v>
      </c>
      <c r="Q8" s="28">
        <f t="shared" si="2"/>
        <v>64472.200859999997</v>
      </c>
      <c r="R8" s="28">
        <f t="shared" si="2"/>
        <v>26603.906889999995</v>
      </c>
      <c r="S8" s="28">
        <f t="shared" si="2"/>
        <v>31090.046989999999</v>
      </c>
      <c r="T8" s="28">
        <f t="shared" si="2"/>
        <v>23606.727250412507</v>
      </c>
    </row>
    <row r="9" spans="1:20" ht="6" customHeight="1" x14ac:dyDescent="0.2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">
      <c r="A10" s="1" t="s">
        <v>28</v>
      </c>
      <c r="B10" s="7">
        <f>INDEX('Balanço Patrimonial'!$7:$7,MATCH(B$5,'Balanço Patrimonial'!$5:$5,0))+INDEX('Balanço Patrimonial'!$9:$9,MATCH(B$5,'Balanço Patrimonial'!$5:$5,0))+INDEX('Balanço Patrimonial'!$21:$21,MATCH(B$5,'Balanço Patrimonial'!$5:$5,0))</f>
        <v>497637</v>
      </c>
      <c r="C10" s="7">
        <f>INDEX('Balanço Patrimonial'!$7:$7,MATCH(C$5,'Balanço Patrimonial'!$5:$5,0))+INDEX('Balanço Patrimonial'!$9:$9,MATCH(C$5,'Balanço Patrimonial'!$5:$5,0))+INDEX('Balanço Patrimonial'!$21:$21,MATCH(C$5,'Balanço Patrimonial'!$5:$5,0))</f>
        <v>544426</v>
      </c>
      <c r="D10" s="7">
        <f>INDEX('Balanço Patrimonial'!$7:$7,MATCH(D$5,'Balanço Patrimonial'!$5:$5,0))+INDEX('Balanço Patrimonial'!$9:$9,MATCH(D$5,'Balanço Patrimonial'!$5:$5,0))+INDEX('Balanço Patrimonial'!$21:$21,MATCH(D$5,'Balanço Patrimonial'!$5:$5,0))</f>
        <v>511607</v>
      </c>
      <c r="E10" s="7">
        <f>INDEX('Balanço Patrimonial'!$7:$7,MATCH(E$5,'Balanço Patrimonial'!$5:$5,0))+INDEX('Balanço Patrimonial'!$9:$9,MATCH(E$5,'Balanço Patrimonial'!$5:$5,0))+INDEX('Balanço Patrimonial'!$21:$21,MATCH(E$5,'Balanço Patrimonial'!$5:$5,0))</f>
        <v>536084</v>
      </c>
      <c r="F10" s="7">
        <f>INDEX('Balanço Patrimonial'!$7:$7,MATCH(F$5,'Balanço Patrimonial'!$5:$5,0))+INDEX('Balanço Patrimonial'!$9:$9,MATCH(F$5,'Balanço Patrimonial'!$5:$5,0))+INDEX('Balanço Patrimonial'!$21:$21,MATCH(F$5,'Balanço Patrimonial'!$5:$5,0))</f>
        <v>596858.54700000002</v>
      </c>
      <c r="G10" s="7">
        <f>INDEX('Balanço Patrimonial'!$7:$7,MATCH(G$5,'Balanço Patrimonial'!$5:$5,0))+INDEX('Balanço Patrimonial'!$9:$9,MATCH(G$5,'Balanço Patrimonial'!$5:$5,0))+INDEX('Balanço Patrimonial'!$21:$21,MATCH(G$5,'Balanço Patrimonial'!$5:$5,0))</f>
        <v>629313.27099999995</v>
      </c>
      <c r="H10" s="7">
        <f>INDEX('Balanço Patrimonial'!$7:$7,MATCH(H$5,'Balanço Patrimonial'!$5:$5,0))+INDEX('Balanço Patrimonial'!$9:$9,MATCH(H$5,'Balanço Patrimonial'!$5:$5,0))+INDEX('Balanço Patrimonial'!$21:$21,MATCH(H$5,'Balanço Patrimonial'!$5:$5,0))</f>
        <v>626323</v>
      </c>
      <c r="I10" s="7">
        <f>INDEX('Balanço Patrimonial'!$7:$7,MATCH(I$5,'Balanço Patrimonial'!$5:$5,0))+INDEX('Balanço Patrimonial'!$9:$9,MATCH(I$5,'Balanço Patrimonial'!$5:$5,0))+INDEX('Balanço Patrimonial'!$21:$21,MATCH(I$5,'Balanço Patrimonial'!$5:$5,0))</f>
        <v>571432</v>
      </c>
      <c r="J10" s="7">
        <f>INDEX('Balanço Patrimonial'!$7:$7,MATCH(J$5,'Balanço Patrimonial'!$5:$5,0))+INDEX('Balanço Patrimonial'!$9:$9,MATCH(J$5,'Balanço Patrimonial'!$5:$5,0))+INDEX('Balanço Patrimonial'!$21:$21,MATCH(J$5,'Balanço Patrimonial'!$5:$5,0))</f>
        <v>753618</v>
      </c>
      <c r="K10" s="7">
        <f>INDEX('Balanço Patrimonial'!$7:$7,MATCH(K$5,'Balanço Patrimonial'!$5:$5,0))+INDEX('Balanço Patrimonial'!$9:$9,MATCH(K$5,'Balanço Patrimonial'!$5:$5,0))+INDEX('Balanço Patrimonial'!$21:$21,MATCH(K$5,'Balanço Patrimonial'!$5:$5,0))</f>
        <v>906642</v>
      </c>
      <c r="L10" s="7">
        <f>INDEX('Balanço Patrimonial'!$7:$7,MATCH(L$5,'Balanço Patrimonial'!$5:$5,0))+INDEX('Balanço Patrimonial'!$9:$9,MATCH(L$5,'Balanço Patrimonial'!$5:$5,0))+INDEX('Balanço Patrimonial'!$21:$21,MATCH(L$5,'Balanço Patrimonial'!$5:$5,0))</f>
        <v>934782</v>
      </c>
      <c r="M10" s="7">
        <f>INDEX('Balanço Patrimonial'!$7:$7,MATCH(M$5,'Balanço Patrimonial'!$5:$5,0))+INDEX('Balanço Patrimonial'!$9:$9,MATCH(M$5,'Balanço Patrimonial'!$5:$5,0))+INDEX('Balanço Patrimonial'!$21:$21,MATCH(M$5,'Balanço Patrimonial'!$5:$5,0))</f>
        <v>1022435</v>
      </c>
      <c r="N10" s="7">
        <f>INDEX('Balanço Patrimonial'!$7:$7,MATCH(N$5,'Balanço Patrimonial'!$5:$5,0))+INDEX('Balanço Patrimonial'!$9:$9,MATCH(N$5,'Balanço Patrimonial'!$5:$5,0))+INDEX('Balanço Patrimonial'!$21:$21,MATCH(N$5,'Balanço Patrimonial'!$5:$5,0))</f>
        <v>1012152.2677099999</v>
      </c>
      <c r="O10" s="7">
        <f>INDEX('Balanço Patrimonial'!$7:$7,MATCH(O$5,'Balanço Patrimonial'!$5:$5,0))+INDEX('Balanço Patrimonial'!$9:$9,MATCH(O$5,'Balanço Patrimonial'!$5:$5,0))+INDEX('Balanço Patrimonial'!$21:$21,MATCH(O$5,'Balanço Patrimonial'!$5:$5,0))</f>
        <v>37645</v>
      </c>
      <c r="P10" s="7">
        <f>INDEX('Balanço Patrimonial'!$7:$7,MATCH(P$5,'Balanço Patrimonial'!$5:$5,0))+INDEX('Balanço Patrimonial'!$9:$9,MATCH(P$5,'Balanço Patrimonial'!$5:$5,0))+INDEX('Balanço Patrimonial'!$21:$21,MATCH(P$5,'Balanço Patrimonial'!$5:$5,0))</f>
        <v>48721.647140000008</v>
      </c>
      <c r="Q10" s="7">
        <f>INDEX('Balanço Patrimonial'!$7:$7,MATCH(Q$5,'Balanço Patrimonial'!$5:$5,0))+INDEX('Balanço Patrimonial'!$9:$9,MATCH(Q$5,'Balanço Patrimonial'!$5:$5,0))+INDEX('Balanço Patrimonial'!$21:$21,MATCH(Q$5,'Balanço Patrimonial'!$5:$5,0))</f>
        <v>76499.729099999997</v>
      </c>
      <c r="R10" s="7">
        <f>INDEX('Balanço Patrimonial'!$7:$7,MATCH(R$5,'Balanço Patrimonial'!$5:$5,0))+INDEX('Balanço Patrimonial'!$9:$9,MATCH(R$5,'Balanço Patrimonial'!$5:$5,0))+INDEX('Balanço Patrimonial'!$21:$21,MATCH(R$5,'Balanço Patrimonial'!$5:$5,0))</f>
        <v>51723.578980000006</v>
      </c>
      <c r="S10" s="7">
        <f>INDEX('Balanço Patrimonial'!$7:$7,MATCH(S$5,'Balanço Patrimonial'!$5:$5,0))+INDEX('Balanço Patrimonial'!$9:$9,MATCH(S$5,'Balanço Patrimonial'!$5:$5,0))+INDEX('Balanço Patrimonial'!$21:$21,MATCH(S$5,'Balanço Patrimonial'!$5:$5,0))</f>
        <v>42875.659050000002</v>
      </c>
      <c r="T10" s="7">
        <f>INDEX('Balanço Patrimonial'!$7:$7,MATCH(T$5,'Balanço Patrimonial'!$5:$5,0))+INDEX('Balanço Patrimonial'!$9:$9,MATCH(T$5,'Balanço Patrimonial'!$5:$5,0))+INDEX('Balanço Patrimonial'!$21:$21,MATCH(T$5,'Balanço Patrimonial'!$5:$5,0))</f>
        <v>34514.596260000006</v>
      </c>
    </row>
    <row r="11" spans="1:20" ht="6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12.75" thickBot="1" x14ac:dyDescent="0.25">
      <c r="A12" s="29" t="s">
        <v>266</v>
      </c>
      <c r="B12" s="15">
        <f t="shared" ref="B12" si="3">+B8-B10</f>
        <v>-315564</v>
      </c>
      <c r="C12" s="15">
        <f t="shared" ref="C12:D12" si="4">+C8-C10</f>
        <v>-480185</v>
      </c>
      <c r="D12" s="15">
        <f t="shared" si="4"/>
        <v>-468812</v>
      </c>
      <c r="E12" s="15">
        <f t="shared" ref="E12:F12" si="5">+E8-E10</f>
        <v>-493516</v>
      </c>
      <c r="F12" s="15">
        <f t="shared" si="5"/>
        <v>-595321.43000000005</v>
      </c>
      <c r="G12" s="15">
        <f t="shared" ref="G12:T12" si="6">+G8-G10</f>
        <v>-628793.54599999997</v>
      </c>
      <c r="H12" s="15">
        <f t="shared" si="6"/>
        <v>-625814.94799999997</v>
      </c>
      <c r="I12" s="15">
        <f t="shared" si="6"/>
        <v>-571018</v>
      </c>
      <c r="J12" s="15">
        <f t="shared" si="6"/>
        <v>-702786</v>
      </c>
      <c r="K12" s="15">
        <f t="shared" si="6"/>
        <v>-856171</v>
      </c>
      <c r="L12" s="15">
        <f t="shared" si="6"/>
        <v>-884035</v>
      </c>
      <c r="M12" s="15">
        <f t="shared" si="6"/>
        <v>-965231</v>
      </c>
      <c r="N12" s="15">
        <f t="shared" si="6"/>
        <v>-961331.53133999999</v>
      </c>
      <c r="O12" s="15">
        <f t="shared" si="6"/>
        <v>12492.62629</v>
      </c>
      <c r="P12" s="15">
        <f t="shared" si="6"/>
        <v>15074.496049999994</v>
      </c>
      <c r="Q12" s="15">
        <f t="shared" si="6"/>
        <v>-12027.52824</v>
      </c>
      <c r="R12" s="15">
        <f t="shared" si="6"/>
        <v>-25119.672090000011</v>
      </c>
      <c r="S12" s="15">
        <f t="shared" si="6"/>
        <v>-11785.612060000003</v>
      </c>
      <c r="T12" s="15">
        <f t="shared" si="6"/>
        <v>-10907.869009587499</v>
      </c>
    </row>
    <row r="13" spans="1:20" ht="12.75" thickTop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x14ac:dyDescent="0.2">
      <c r="A14" s="1" t="s">
        <v>267</v>
      </c>
      <c r="B14" s="7">
        <f>INDEX('Balanço Patrimonial'!$84:$84,MATCH(B$5,'Balanço Patrimonial'!$5:$5,0))</f>
        <v>1331375</v>
      </c>
      <c r="C14" s="7">
        <f>INDEX('Balanço Patrimonial'!$84:$84,MATCH(C$5,'Balanço Patrimonial'!$5:$5,0))</f>
        <v>1311678</v>
      </c>
      <c r="D14" s="7">
        <f>INDEX('Balanço Patrimonial'!$84:$84,MATCH(D$5,'Balanço Patrimonial'!$5:$5,0))</f>
        <v>1248457</v>
      </c>
      <c r="E14" s="7">
        <f>INDEX('Balanço Patrimonial'!$84:$84,MATCH(E$5,'Balanço Patrimonial'!$5:$5,0))</f>
        <v>1256057</v>
      </c>
      <c r="F14" s="7">
        <f>INDEX('Balanço Patrimonial'!$84:$84,MATCH(F$5,'Balanço Patrimonial'!$5:$5,0))</f>
        <v>1227487.1850000001</v>
      </c>
      <c r="G14" s="7">
        <f>INDEX('Balanço Patrimonial'!$84:$84,MATCH(G$5,'Balanço Patrimonial'!$5:$5,0))</f>
        <v>1251553.571</v>
      </c>
      <c r="H14" s="7">
        <f>INDEX('Balanço Patrimonial'!$84:$84,MATCH(H$5,'Balanço Patrimonial'!$5:$5,0))</f>
        <v>1266641</v>
      </c>
      <c r="I14" s="7">
        <f>INDEX('Balanço Patrimonial'!$84:$84,MATCH(I$5,'Balanço Patrimonial'!$5:$5,0))</f>
        <v>1249962</v>
      </c>
      <c r="J14" s="7">
        <f>INDEX('Balanço Patrimonial'!$84:$84,MATCH(J$5,'Balanço Patrimonial'!$5:$5,0))</f>
        <v>1442212</v>
      </c>
      <c r="K14" s="7">
        <f>INDEX('Balanço Patrimonial'!$84:$84,MATCH(K$5,'Balanço Patrimonial'!$5:$5,0))</f>
        <v>1414463</v>
      </c>
      <c r="L14" s="7">
        <f>INDEX('Balanço Patrimonial'!$84:$84,MATCH(L$5,'Balanço Patrimonial'!$5:$5,0))</f>
        <v>1317069</v>
      </c>
      <c r="M14" s="7">
        <f>INDEX('Balanço Patrimonial'!$84:$84,MATCH(M$5,'Balanço Patrimonial'!$5:$5,0))</f>
        <v>1300340</v>
      </c>
      <c r="N14" s="7">
        <f>INDEX('Balanço Patrimonial'!$84:$84,MATCH(N$5,'Balanço Patrimonial'!$5:$5,0))</f>
        <v>1278516.4212520986</v>
      </c>
      <c r="O14" s="7">
        <f>INDEX('Balanço Patrimonial'!$84:$84,MATCH(O$5,'Balanço Patrimonial'!$5:$5,0))</f>
        <v>266255.83886999998</v>
      </c>
      <c r="P14" s="7">
        <f>INDEX('Balanço Patrimonial'!$84:$84,MATCH(P$5,'Balanço Patrimonial'!$5:$5,0))</f>
        <v>250297.25848728081</v>
      </c>
      <c r="Q14" s="7">
        <f>INDEX('Balanço Patrimonial'!$84:$84,MATCH(Q$5,'Balanço Patrimonial'!$5:$5,0))</f>
        <v>240887.96035914097</v>
      </c>
      <c r="R14" s="7">
        <f>INDEX('Balanço Patrimonial'!$84:$84,MATCH(R$5,'Balanço Patrimonial'!$5:$5,0))</f>
        <v>215324.59080471715</v>
      </c>
      <c r="S14" s="7">
        <f>INDEX('Balanço Patrimonial'!$84:$84,MATCH(S$5,'Balanço Patrimonial'!$5:$5,0))</f>
        <v>199945.08616011703</v>
      </c>
      <c r="T14" s="7">
        <f>INDEX('Balanço Patrimonial'!$84:$84,MATCH(T$5,'Balanço Patrimonial'!$5:$5,0))</f>
        <v>168905.78731515375</v>
      </c>
    </row>
    <row r="15" spans="1:20" x14ac:dyDescent="0.2">
      <c r="B15" s="2"/>
      <c r="C15" s="2"/>
      <c r="D15" s="2"/>
      <c r="E15" s="2"/>
      <c r="F15" s="2"/>
      <c r="G15" s="2"/>
    </row>
    <row r="16" spans="1:20" ht="12.75" thickBot="1" x14ac:dyDescent="0.25">
      <c r="A16" s="29" t="s">
        <v>268</v>
      </c>
      <c r="B16" s="30">
        <f t="shared" ref="B16" si="7">+B12/B14</f>
        <v>-0.23702112477701623</v>
      </c>
      <c r="C16" s="30">
        <f t="shared" ref="C16:D16" si="8">+C12/C14</f>
        <v>-0.36608451159507133</v>
      </c>
      <c r="D16" s="30">
        <f t="shared" si="8"/>
        <v>-0.37551313341188364</v>
      </c>
      <c r="E16" s="30">
        <f t="shared" ref="E16:F16" si="9">+E12/E14</f>
        <v>-0.39290892053465726</v>
      </c>
      <c r="F16" s="30">
        <f t="shared" si="9"/>
        <v>-0.48499197162697877</v>
      </c>
      <c r="G16" s="30">
        <f t="shared" ref="G16:N16" si="10">+G12/G14</f>
        <v>-0.50241041260230634</v>
      </c>
      <c r="H16" s="30">
        <f t="shared" si="10"/>
        <v>-0.4940744441400523</v>
      </c>
      <c r="I16" s="30">
        <f t="shared" si="10"/>
        <v>-0.45682828757994243</v>
      </c>
      <c r="J16" s="30">
        <f t="shared" si="10"/>
        <v>-0.48729729055090376</v>
      </c>
      <c r="K16" s="30">
        <f t="shared" si="10"/>
        <v>-0.60529755815457875</v>
      </c>
      <c r="L16" s="30">
        <f t="shared" si="10"/>
        <v>-0.67121388476989441</v>
      </c>
      <c r="M16" s="30">
        <f t="shared" si="10"/>
        <v>-0.74229124690465575</v>
      </c>
      <c r="N16" s="30">
        <f t="shared" si="10"/>
        <v>-0.75191175909851227</v>
      </c>
      <c r="O16" s="30">
        <f t="shared" ref="O16:T16" si="11">+O12/O14</f>
        <v>4.6919633173188563E-2</v>
      </c>
      <c r="P16" s="30">
        <f t="shared" si="11"/>
        <v>6.0226372997872944E-2</v>
      </c>
      <c r="Q16" s="30">
        <f t="shared" si="11"/>
        <v>-4.9929968363998357E-2</v>
      </c>
      <c r="R16" s="30">
        <f t="shared" si="11"/>
        <v>-0.116659560322962</v>
      </c>
      <c r="S16" s="30">
        <f t="shared" si="11"/>
        <v>-5.894424457404282E-2</v>
      </c>
      <c r="T16" s="30">
        <f t="shared" si="11"/>
        <v>-6.4579604896752255E-2</v>
      </c>
    </row>
    <row r="17" spans="8:11" ht="12.75" thickTop="1" x14ac:dyDescent="0.2">
      <c r="H17" s="25"/>
      <c r="I17" s="25"/>
      <c r="J17" s="25"/>
      <c r="K17" s="25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C4F0-8571-411B-BA8F-5A266BD1CC3B}">
  <sheetPr>
    <tabColor rgb="FFC8A74B"/>
  </sheetPr>
  <dimension ref="A2:Y39"/>
  <sheetViews>
    <sheetView showGridLines="0" zoomScaleNormal="100" workbookViewId="0"/>
  </sheetViews>
  <sheetFormatPr defaultColWidth="0" defaultRowHeight="12" x14ac:dyDescent="0.2"/>
  <cols>
    <col min="1" max="1" width="33" style="1" bestFit="1" customWidth="1"/>
    <col min="2" max="2" width="13" style="23" customWidth="1"/>
    <col min="3" max="3" width="14.7109375" style="23" bestFit="1" customWidth="1"/>
    <col min="4" max="4" width="11.42578125" style="23" customWidth="1"/>
    <col min="5" max="5" width="11.7109375" style="23" customWidth="1"/>
    <col min="6" max="6" width="45.28515625" style="23" customWidth="1"/>
    <col min="7" max="7" width="20.140625" style="23" customWidth="1"/>
    <col min="8" max="8" width="9.5703125" style="23" customWidth="1"/>
    <col min="9" max="9" width="15" style="23" customWidth="1"/>
    <col min="10" max="10" width="8.85546875" style="1" hidden="1" customWidth="1"/>
    <col min="11" max="25" width="0" style="1" hidden="1" customWidth="1"/>
    <col min="26" max="16384" width="8.85546875" style="1" hidden="1"/>
  </cols>
  <sheetData>
    <row r="2" spans="1:9" ht="15" x14ac:dyDescent="0.25">
      <c r="A2"/>
    </row>
    <row r="5" spans="1:9" x14ac:dyDescent="0.2">
      <c r="A5" s="22">
        <v>2016</v>
      </c>
      <c r="B5" s="3" t="s">
        <v>108</v>
      </c>
      <c r="C5" s="3" t="s">
        <v>109</v>
      </c>
      <c r="D5" s="3" t="s">
        <v>110</v>
      </c>
      <c r="E5" s="3" t="s">
        <v>111</v>
      </c>
      <c r="F5" s="3" t="s">
        <v>115</v>
      </c>
      <c r="G5" s="3" t="s">
        <v>112</v>
      </c>
      <c r="H5" s="3" t="s">
        <v>113</v>
      </c>
      <c r="I5" s="3" t="s">
        <v>114</v>
      </c>
    </row>
    <row r="6" spans="1:9" x14ac:dyDescent="0.2">
      <c r="A6" s="6" t="s">
        <v>118</v>
      </c>
      <c r="B6" s="24">
        <v>42491</v>
      </c>
      <c r="C6" s="7" t="s">
        <v>116</v>
      </c>
      <c r="D6" s="7" t="s">
        <v>117</v>
      </c>
      <c r="E6" s="7">
        <v>396</v>
      </c>
      <c r="F6" s="7" t="s">
        <v>127</v>
      </c>
      <c r="G6" s="7">
        <v>110600</v>
      </c>
      <c r="H6" s="21">
        <v>0.50980000000000003</v>
      </c>
      <c r="I6" s="24">
        <v>43622</v>
      </c>
    </row>
    <row r="7" spans="1:9" ht="4.1500000000000004" customHeight="1" x14ac:dyDescent="0.2">
      <c r="A7" s="6"/>
      <c r="B7" s="24"/>
      <c r="C7" s="7"/>
      <c r="D7" s="7"/>
      <c r="E7" s="7"/>
      <c r="F7" s="7"/>
      <c r="G7" s="7"/>
      <c r="H7" s="21"/>
      <c r="I7" s="24"/>
    </row>
    <row r="8" spans="1:9" x14ac:dyDescent="0.2">
      <c r="A8" s="22">
        <v>2017</v>
      </c>
      <c r="B8" s="3"/>
      <c r="C8" s="3"/>
      <c r="D8" s="3"/>
      <c r="E8" s="3"/>
      <c r="F8" s="3"/>
      <c r="G8" s="3"/>
      <c r="H8" s="3"/>
      <c r="I8" s="3"/>
    </row>
    <row r="9" spans="1:9" x14ac:dyDescent="0.2">
      <c r="A9" s="1" t="s">
        <v>119</v>
      </c>
      <c r="B9" s="24">
        <v>42887</v>
      </c>
      <c r="C9" s="7" t="s">
        <v>116</v>
      </c>
      <c r="D9" s="7" t="s">
        <v>117</v>
      </c>
      <c r="E9" s="7">
        <v>400</v>
      </c>
      <c r="F9" s="7" t="s">
        <v>128</v>
      </c>
      <c r="G9" s="7">
        <v>152600</v>
      </c>
      <c r="H9" s="21">
        <v>0.50980000000000003</v>
      </c>
      <c r="I9" s="24">
        <v>44013</v>
      </c>
    </row>
    <row r="10" spans="1:9" x14ac:dyDescent="0.2">
      <c r="A10" s="1" t="s">
        <v>120</v>
      </c>
      <c r="B10" s="24">
        <v>42979</v>
      </c>
      <c r="C10" s="7" t="s">
        <v>126</v>
      </c>
      <c r="D10" s="7" t="s">
        <v>117</v>
      </c>
      <c r="E10" s="7">
        <v>258</v>
      </c>
      <c r="F10" s="7" t="s">
        <v>129</v>
      </c>
      <c r="G10" s="7">
        <v>47800</v>
      </c>
      <c r="H10" s="21">
        <v>1</v>
      </c>
      <c r="I10" s="24">
        <v>43980</v>
      </c>
    </row>
    <row r="11" spans="1:9" ht="6.6" customHeight="1" x14ac:dyDescent="0.2"/>
    <row r="12" spans="1:9" x14ac:dyDescent="0.2">
      <c r="A12" s="22">
        <v>2018</v>
      </c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1" t="s">
        <v>121</v>
      </c>
      <c r="B13" s="24">
        <v>43221</v>
      </c>
      <c r="C13" s="7" t="s">
        <v>131</v>
      </c>
      <c r="D13" s="7" t="s">
        <v>130</v>
      </c>
      <c r="E13" s="7">
        <v>99</v>
      </c>
      <c r="F13" s="7" t="s">
        <v>135</v>
      </c>
      <c r="G13" s="7">
        <v>157700</v>
      </c>
      <c r="H13" s="21">
        <v>0.8</v>
      </c>
      <c r="I13" s="24">
        <v>44348</v>
      </c>
    </row>
    <row r="14" spans="1:9" x14ac:dyDescent="0.2">
      <c r="A14" s="1" t="s">
        <v>122</v>
      </c>
      <c r="B14" s="24">
        <v>43374</v>
      </c>
      <c r="C14" s="7" t="s">
        <v>132</v>
      </c>
      <c r="D14" s="7" t="s">
        <v>130</v>
      </c>
      <c r="E14" s="7">
        <v>273</v>
      </c>
      <c r="F14" s="7" t="s">
        <v>136</v>
      </c>
      <c r="G14" s="7">
        <v>100900</v>
      </c>
      <c r="H14" s="21">
        <v>0.7</v>
      </c>
      <c r="I14" s="24">
        <v>44409</v>
      </c>
    </row>
    <row r="15" spans="1:9" ht="3.6" customHeight="1" x14ac:dyDescent="0.2"/>
    <row r="16" spans="1:9" x14ac:dyDescent="0.2">
      <c r="A16" s="22">
        <v>2019</v>
      </c>
      <c r="B16" s="3"/>
      <c r="C16" s="3"/>
      <c r="D16" s="3"/>
      <c r="E16" s="3"/>
      <c r="F16" s="3"/>
      <c r="G16" s="3"/>
      <c r="H16" s="3"/>
      <c r="I16" s="3"/>
    </row>
    <row r="17" spans="1:9" x14ac:dyDescent="0.2">
      <c r="A17" s="1" t="s">
        <v>123</v>
      </c>
      <c r="B17" s="24">
        <v>43586</v>
      </c>
      <c r="C17" s="7" t="s">
        <v>133</v>
      </c>
      <c r="D17" s="7" t="s">
        <v>130</v>
      </c>
      <c r="E17" s="7">
        <v>352</v>
      </c>
      <c r="F17" s="7" t="s">
        <v>137</v>
      </c>
      <c r="G17" s="7">
        <v>241500</v>
      </c>
      <c r="H17" s="21">
        <v>0.94</v>
      </c>
      <c r="I17" s="24">
        <v>44621</v>
      </c>
    </row>
    <row r="18" spans="1:9" x14ac:dyDescent="0.2">
      <c r="A18" s="1" t="s">
        <v>124</v>
      </c>
      <c r="B18" s="24">
        <v>43617</v>
      </c>
      <c r="C18" s="7" t="s">
        <v>132</v>
      </c>
      <c r="D18" s="7" t="s">
        <v>130</v>
      </c>
      <c r="E18" s="7">
        <v>65</v>
      </c>
      <c r="F18" s="7" t="s">
        <v>138</v>
      </c>
      <c r="G18" s="7">
        <v>117700</v>
      </c>
      <c r="H18" s="21">
        <v>0.4</v>
      </c>
      <c r="I18" s="24">
        <v>44621</v>
      </c>
    </row>
    <row r="19" spans="1:9" x14ac:dyDescent="0.2">
      <c r="A19" s="1" t="s">
        <v>125</v>
      </c>
      <c r="B19" s="24">
        <v>43739</v>
      </c>
      <c r="C19" s="7" t="s">
        <v>134</v>
      </c>
      <c r="D19" s="7" t="s">
        <v>130</v>
      </c>
      <c r="E19" s="7">
        <v>120</v>
      </c>
      <c r="F19" s="7" t="s">
        <v>139</v>
      </c>
      <c r="G19" s="7">
        <v>189700</v>
      </c>
      <c r="H19" s="21">
        <v>0.8</v>
      </c>
      <c r="I19" s="24">
        <v>44896</v>
      </c>
    </row>
    <row r="20" spans="1:9" ht="3.6" customHeight="1" x14ac:dyDescent="0.2"/>
    <row r="21" spans="1:9" x14ac:dyDescent="0.2">
      <c r="A21" s="22">
        <v>2020</v>
      </c>
      <c r="B21" s="3"/>
      <c r="C21" s="3"/>
      <c r="D21" s="3"/>
      <c r="E21" s="3"/>
      <c r="F21" s="3"/>
      <c r="G21" s="3"/>
      <c r="H21" s="3"/>
      <c r="I21" s="3"/>
    </row>
    <row r="22" spans="1:9" x14ac:dyDescent="0.2">
      <c r="A22" s="1" t="s">
        <v>279</v>
      </c>
      <c r="B22" s="24">
        <v>44105</v>
      </c>
      <c r="C22" s="7" t="s">
        <v>116</v>
      </c>
      <c r="D22" s="7" t="s">
        <v>117</v>
      </c>
      <c r="E22" s="7">
        <v>272</v>
      </c>
      <c r="F22" s="7" t="s">
        <v>282</v>
      </c>
      <c r="G22" s="7">
        <v>187899.19399999999</v>
      </c>
      <c r="H22" s="21">
        <v>0.50980000000000003</v>
      </c>
      <c r="I22" s="24">
        <v>45231</v>
      </c>
    </row>
    <row r="23" spans="1:9" x14ac:dyDescent="0.2">
      <c r="A23" s="1" t="s">
        <v>280</v>
      </c>
      <c r="B23" s="24">
        <v>44136</v>
      </c>
      <c r="C23" s="7" t="s">
        <v>281</v>
      </c>
      <c r="D23" s="7" t="s">
        <v>130</v>
      </c>
      <c r="E23" s="7">
        <v>370</v>
      </c>
      <c r="F23" s="7" t="s">
        <v>283</v>
      </c>
      <c r="G23" s="7">
        <v>309645.07699999999</v>
      </c>
      <c r="H23" s="21">
        <v>1</v>
      </c>
      <c r="I23" s="24">
        <v>45352</v>
      </c>
    </row>
    <row r="24" spans="1:9" ht="3.6" customHeight="1" x14ac:dyDescent="0.2"/>
    <row r="25" spans="1:9" x14ac:dyDescent="0.2">
      <c r="A25" s="22">
        <v>2021</v>
      </c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1" t="s">
        <v>289</v>
      </c>
      <c r="B26" s="24">
        <v>44348</v>
      </c>
      <c r="C26" s="7" t="s">
        <v>132</v>
      </c>
      <c r="D26" s="7" t="s">
        <v>290</v>
      </c>
      <c r="E26" s="7">
        <v>409</v>
      </c>
      <c r="F26" s="7" t="s">
        <v>291</v>
      </c>
      <c r="G26" s="7">
        <v>704768</v>
      </c>
      <c r="H26" s="21">
        <v>1</v>
      </c>
      <c r="I26" s="24">
        <v>45689</v>
      </c>
    </row>
    <row r="27" spans="1:9" x14ac:dyDescent="0.2">
      <c r="A27" s="1" t="s">
        <v>299</v>
      </c>
      <c r="B27" s="24">
        <v>44438</v>
      </c>
      <c r="C27" s="7" t="s">
        <v>300</v>
      </c>
      <c r="D27" s="7" t="s">
        <v>117</v>
      </c>
      <c r="E27" s="7">
        <v>576</v>
      </c>
      <c r="F27" s="7" t="s">
        <v>301</v>
      </c>
      <c r="G27" s="7">
        <v>331072.38</v>
      </c>
      <c r="H27" s="21">
        <v>1</v>
      </c>
      <c r="I27" s="24">
        <v>45536</v>
      </c>
    </row>
    <row r="28" spans="1:9" x14ac:dyDescent="0.2">
      <c r="A28" s="1" t="s">
        <v>305</v>
      </c>
      <c r="B28" s="24">
        <v>44499</v>
      </c>
      <c r="C28" s="7" t="s">
        <v>132</v>
      </c>
      <c r="D28" s="7" t="s">
        <v>130</v>
      </c>
      <c r="E28" s="7">
        <v>408</v>
      </c>
      <c r="F28" s="7" t="s">
        <v>306</v>
      </c>
      <c r="G28" s="7">
        <v>210840.96600000001</v>
      </c>
      <c r="H28" s="21">
        <v>0.8</v>
      </c>
      <c r="I28" s="24">
        <v>45505</v>
      </c>
    </row>
    <row r="29" spans="1:9" ht="3.6" customHeight="1" x14ac:dyDescent="0.2"/>
    <row r="30" spans="1:9" x14ac:dyDescent="0.2">
      <c r="A30" s="22">
        <v>2022</v>
      </c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1" t="s">
        <v>310</v>
      </c>
      <c r="B31" s="24">
        <v>44593</v>
      </c>
      <c r="C31" s="7" t="s">
        <v>116</v>
      </c>
      <c r="D31" s="7" t="s">
        <v>117</v>
      </c>
      <c r="E31" s="7">
        <v>258</v>
      </c>
      <c r="F31" s="7" t="s">
        <v>314</v>
      </c>
      <c r="G31" s="7">
        <v>230269.8762</v>
      </c>
      <c r="H31" s="21">
        <v>0.51</v>
      </c>
      <c r="I31" s="24">
        <v>45839</v>
      </c>
    </row>
    <row r="32" spans="1:9" x14ac:dyDescent="0.2">
      <c r="A32" s="1" t="s">
        <v>311</v>
      </c>
      <c r="B32" s="24">
        <v>44652</v>
      </c>
      <c r="C32" s="7" t="s">
        <v>312</v>
      </c>
      <c r="D32" s="7" t="s">
        <v>313</v>
      </c>
      <c r="E32" s="7">
        <v>174</v>
      </c>
      <c r="F32" s="7" t="s">
        <v>315</v>
      </c>
      <c r="G32" s="7">
        <v>292081.90500000003</v>
      </c>
      <c r="H32" s="21">
        <v>1</v>
      </c>
      <c r="I32" s="24">
        <v>45778</v>
      </c>
    </row>
    <row r="33" spans="1:9" x14ac:dyDescent="0.2">
      <c r="A33" s="1" t="s">
        <v>326</v>
      </c>
      <c r="B33" s="24">
        <v>44713</v>
      </c>
      <c r="C33" s="7" t="s">
        <v>327</v>
      </c>
      <c r="D33" s="7" t="s">
        <v>313</v>
      </c>
      <c r="E33" s="7">
        <v>411</v>
      </c>
      <c r="F33" s="7" t="s">
        <v>328</v>
      </c>
      <c r="G33" s="7">
        <v>336272.09500000003</v>
      </c>
      <c r="H33" s="21">
        <v>1</v>
      </c>
      <c r="I33" s="24">
        <v>45962</v>
      </c>
    </row>
    <row r="34" spans="1:9" x14ac:dyDescent="0.2">
      <c r="A34" s="1" t="s">
        <v>333</v>
      </c>
      <c r="B34" s="24">
        <v>44774</v>
      </c>
      <c r="C34" s="7" t="s">
        <v>334</v>
      </c>
      <c r="D34" s="7" t="s">
        <v>313</v>
      </c>
      <c r="E34" s="7">
        <v>343</v>
      </c>
      <c r="F34" s="7" t="s">
        <v>349</v>
      </c>
      <c r="G34" s="7">
        <v>239927.88000000003</v>
      </c>
      <c r="H34" s="21">
        <v>0.8</v>
      </c>
      <c r="I34" s="24">
        <v>45992</v>
      </c>
    </row>
    <row r="35" spans="1:9" x14ac:dyDescent="0.2">
      <c r="A35" s="1" t="s">
        <v>355</v>
      </c>
      <c r="B35" s="24">
        <v>44866</v>
      </c>
      <c r="C35" s="7" t="s">
        <v>356</v>
      </c>
      <c r="D35" s="7" t="s">
        <v>130</v>
      </c>
      <c r="E35" s="7">
        <v>589</v>
      </c>
      <c r="F35" s="7" t="s">
        <v>357</v>
      </c>
      <c r="G35" s="7">
        <v>555761.179</v>
      </c>
      <c r="H35" s="21">
        <v>1</v>
      </c>
      <c r="I35" s="24">
        <v>46143</v>
      </c>
    </row>
    <row r="36" spans="1:9" x14ac:dyDescent="0.2">
      <c r="A36" s="1" t="s">
        <v>358</v>
      </c>
      <c r="B36" s="24">
        <v>44866</v>
      </c>
      <c r="C36" s="7" t="s">
        <v>359</v>
      </c>
      <c r="D36" s="7" t="s">
        <v>130</v>
      </c>
      <c r="E36" s="7">
        <v>752</v>
      </c>
      <c r="F36" s="7" t="s">
        <v>360</v>
      </c>
      <c r="G36" s="7">
        <v>902907.37823999999</v>
      </c>
      <c r="H36" s="21">
        <v>0.45</v>
      </c>
      <c r="I36" s="24">
        <v>46174</v>
      </c>
    </row>
    <row r="37" spans="1:9" x14ac:dyDescent="0.2">
      <c r="A37" s="22">
        <v>2023</v>
      </c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1" t="s">
        <v>358</v>
      </c>
      <c r="B38" s="24">
        <v>44986</v>
      </c>
      <c r="C38" s="7" t="s">
        <v>359</v>
      </c>
      <c r="D38" s="7" t="s">
        <v>130</v>
      </c>
      <c r="E38" s="7">
        <v>268</v>
      </c>
      <c r="F38" s="7" t="s">
        <v>360</v>
      </c>
      <c r="G38" s="7">
        <v>436092.85416000005</v>
      </c>
      <c r="H38" s="21">
        <v>0.45</v>
      </c>
      <c r="I38" s="24">
        <v>46174</v>
      </c>
    </row>
    <row r="39" spans="1:9" x14ac:dyDescent="0.2">
      <c r="A39" s="1" t="s">
        <v>372</v>
      </c>
      <c r="B39" s="24">
        <v>45047</v>
      </c>
      <c r="C39" s="7" t="s">
        <v>376</v>
      </c>
      <c r="D39" s="7" t="s">
        <v>377</v>
      </c>
      <c r="E39" s="7">
        <v>153</v>
      </c>
      <c r="F39" s="7" t="s">
        <v>378</v>
      </c>
      <c r="G39" s="7">
        <v>887209.84690160002</v>
      </c>
      <c r="H39" s="21">
        <v>1</v>
      </c>
      <c r="I39" s="24">
        <v>46235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FA166-E3A8-4218-B99F-B015AF67A3FA}">
  <sheetPr>
    <tabColor rgb="FF182842"/>
  </sheetPr>
  <dimension ref="A2:T40"/>
  <sheetViews>
    <sheetView showGridLines="0" zoomScaleNormal="100" workbookViewId="0"/>
  </sheetViews>
  <sheetFormatPr defaultColWidth="0" defaultRowHeight="12" x14ac:dyDescent="0.2"/>
  <cols>
    <col min="1" max="1" width="42.28515625" style="1" bestFit="1" customWidth="1"/>
    <col min="2" max="7" width="8.85546875" style="1" customWidth="1"/>
    <col min="8" max="20" width="8.85546875" style="2" customWidth="1"/>
    <col min="21" max="21" width="8.85546875" style="1" hidden="1" customWidth="1"/>
    <col min="22" max="16384" width="8.85546875" style="1" hidden="1"/>
  </cols>
  <sheetData>
    <row r="2" spans="1:20" ht="15" x14ac:dyDescent="0.25">
      <c r="A2"/>
      <c r="B2"/>
      <c r="C2"/>
      <c r="D2"/>
      <c r="E2"/>
      <c r="F2"/>
      <c r="G2"/>
      <c r="O2" s="26"/>
      <c r="R2" s="26"/>
    </row>
    <row r="3" spans="1:20" x14ac:dyDescent="0.2">
      <c r="H3" s="25"/>
      <c r="I3" s="25"/>
      <c r="J3" s="25"/>
      <c r="K3" s="25"/>
      <c r="L3" s="25"/>
      <c r="M3" s="25"/>
      <c r="N3" s="25"/>
      <c r="Q3" s="26"/>
      <c r="R3" s="25"/>
    </row>
    <row r="5" spans="1:20" x14ac:dyDescent="0.2">
      <c r="A5" s="5" t="s">
        <v>140</v>
      </c>
      <c r="B5" s="3" t="s">
        <v>381</v>
      </c>
      <c r="C5" s="3" t="s">
        <v>371</v>
      </c>
      <c r="D5" s="3" t="s">
        <v>369</v>
      </c>
      <c r="E5" s="3" t="s">
        <v>361</v>
      </c>
      <c r="F5" s="3" t="s">
        <v>332</v>
      </c>
      <c r="G5" s="3" t="s">
        <v>329</v>
      </c>
      <c r="H5" s="3" t="s">
        <v>316</v>
      </c>
      <c r="I5" s="3" t="s">
        <v>307</v>
      </c>
      <c r="J5" s="3" t="s">
        <v>302</v>
      </c>
      <c r="K5" s="3" t="s">
        <v>292</v>
      </c>
      <c r="L5" s="3" t="s">
        <v>287</v>
      </c>
      <c r="M5" s="3" t="s">
        <v>278</v>
      </c>
      <c r="N5" s="3" t="s">
        <v>159</v>
      </c>
      <c r="O5" s="3" t="s">
        <v>160</v>
      </c>
      <c r="P5" s="3" t="s">
        <v>161</v>
      </c>
      <c r="Q5" s="3" t="s">
        <v>162</v>
      </c>
      <c r="R5" s="3" t="s">
        <v>163</v>
      </c>
      <c r="S5" s="3" t="s">
        <v>164</v>
      </c>
      <c r="T5" s="3" t="s">
        <v>165</v>
      </c>
    </row>
    <row r="6" spans="1:20" x14ac:dyDescent="0.2">
      <c r="A6" s="6" t="s">
        <v>141</v>
      </c>
      <c r="B6" s="7">
        <f>DRE!B6</f>
        <v>204980</v>
      </c>
      <c r="C6" s="7">
        <f>DRE!C6</f>
        <v>283528</v>
      </c>
      <c r="D6" s="7">
        <f>DRE!D6</f>
        <v>159165</v>
      </c>
      <c r="E6" s="7">
        <f>DRE!E6</f>
        <v>147247.99400000006</v>
      </c>
      <c r="F6" s="7">
        <f>DRE!F6</f>
        <v>128813.00599999994</v>
      </c>
      <c r="G6" s="7">
        <f>DRE!G6</f>
        <v>179704</v>
      </c>
      <c r="H6" s="7">
        <f>DRE!H6</f>
        <v>99562</v>
      </c>
      <c r="I6" s="7">
        <f>DRE!I6</f>
        <v>109246.70538999999</v>
      </c>
      <c r="J6" s="7">
        <f>DRE!J6</f>
        <v>149328</v>
      </c>
      <c r="K6" s="7">
        <f>DRE!K6</f>
        <v>260263</v>
      </c>
      <c r="L6" s="7">
        <f>DRE!L6</f>
        <v>90431.95199999999</v>
      </c>
      <c r="M6" s="7">
        <f>DRE!M6</f>
        <v>179068</v>
      </c>
      <c r="N6" s="7">
        <f>DRE!N6</f>
        <v>86696.090769999981</v>
      </c>
      <c r="O6" s="7">
        <f>DRE!O6</f>
        <v>51279</v>
      </c>
      <c r="P6" s="7">
        <f>DRE!P6</f>
        <v>42464</v>
      </c>
      <c r="Q6" s="7">
        <f>DRE!Q6</f>
        <v>99833.642921460589</v>
      </c>
      <c r="R6" s="7">
        <f>DRE!R6</f>
        <v>49984</v>
      </c>
      <c r="S6" s="7">
        <f>DRE!S6</f>
        <v>101787.87297695069</v>
      </c>
      <c r="T6" s="7">
        <f>DRE!T6</f>
        <v>16574.868020000002</v>
      </c>
    </row>
    <row r="7" spans="1:20" x14ac:dyDescent="0.2">
      <c r="A7" s="6" t="s">
        <v>142</v>
      </c>
      <c r="B7" s="7">
        <f>DRE!B7</f>
        <v>-136082</v>
      </c>
      <c r="C7" s="7">
        <f>DRE!C7</f>
        <v>-190197</v>
      </c>
      <c r="D7" s="7">
        <f>DRE!D7</f>
        <v>-109940</v>
      </c>
      <c r="E7" s="7">
        <f>DRE!E7</f>
        <v>-96523.846999999951</v>
      </c>
      <c r="F7" s="7">
        <f>DRE!F7</f>
        <v>-80331.153000000064</v>
      </c>
      <c r="G7" s="7">
        <f>DRE!G7</f>
        <v>-126578</v>
      </c>
      <c r="H7" s="7">
        <f>DRE!H7</f>
        <v>-65555</v>
      </c>
      <c r="I7" s="7">
        <f>DRE!I7</f>
        <v>-66279</v>
      </c>
      <c r="J7" s="7">
        <f>DRE!J7</f>
        <v>-84741</v>
      </c>
      <c r="K7" s="7">
        <f>DRE!K7</f>
        <v>-150644</v>
      </c>
      <c r="L7" s="7">
        <f>DRE!L7</f>
        <v>-53886.053999999996</v>
      </c>
      <c r="M7" s="7">
        <f>DRE!M7</f>
        <v>-107209</v>
      </c>
      <c r="N7" s="7">
        <f>DRE!N7</f>
        <v>-47301.221330000015</v>
      </c>
      <c r="O7" s="7">
        <f>DRE!O7</f>
        <v>-29691</v>
      </c>
      <c r="P7" s="7">
        <f>DRE!P7</f>
        <v>-25515</v>
      </c>
      <c r="Q7" s="7">
        <f>DRE!Q7</f>
        <v>-67509.818296388868</v>
      </c>
      <c r="R7" s="7">
        <f>DRE!R7</f>
        <v>-30552.202307386135</v>
      </c>
      <c r="S7" s="7">
        <f>DRE!S7</f>
        <v>-66404.830780423727</v>
      </c>
      <c r="T7" s="7">
        <f>DRE!T7</f>
        <v>-13545.940399999998</v>
      </c>
    </row>
    <row r="8" spans="1:20" x14ac:dyDescent="0.2">
      <c r="A8" s="9" t="s">
        <v>143</v>
      </c>
      <c r="B8" s="10">
        <f t="shared" ref="B8:C8" si="0">+B6+B7</f>
        <v>68898</v>
      </c>
      <c r="C8" s="10">
        <f t="shared" si="0"/>
        <v>93331</v>
      </c>
      <c r="D8" s="10">
        <f t="shared" ref="D8:E8" si="1">+D6+D7</f>
        <v>49225</v>
      </c>
      <c r="E8" s="10">
        <f t="shared" si="1"/>
        <v>50724.147000000114</v>
      </c>
      <c r="F8" s="10">
        <f t="shared" ref="F8:G8" si="2">+F6+F7</f>
        <v>48481.852999999872</v>
      </c>
      <c r="G8" s="10">
        <f t="shared" si="2"/>
        <v>53126</v>
      </c>
      <c r="H8" s="10">
        <f t="shared" ref="H8:I8" si="3">+H6+H7</f>
        <v>34007</v>
      </c>
      <c r="I8" s="10">
        <f t="shared" si="3"/>
        <v>42967.705389999988</v>
      </c>
      <c r="J8" s="10">
        <f t="shared" ref="J8:K8" si="4">+J6+J7</f>
        <v>64587</v>
      </c>
      <c r="K8" s="10">
        <f t="shared" si="4"/>
        <v>109619</v>
      </c>
      <c r="L8" s="10">
        <f t="shared" ref="L8:M8" si="5">+L6+L7</f>
        <v>36545.897999999994</v>
      </c>
      <c r="M8" s="10">
        <f t="shared" si="5"/>
        <v>71859</v>
      </c>
      <c r="N8" s="10">
        <f t="shared" ref="N8:T8" si="6">+N6+N7</f>
        <v>39394.869439999966</v>
      </c>
      <c r="O8" s="10">
        <f t="shared" si="6"/>
        <v>21588</v>
      </c>
      <c r="P8" s="10">
        <f t="shared" si="6"/>
        <v>16949</v>
      </c>
      <c r="Q8" s="10">
        <f t="shared" si="6"/>
        <v>32323.82462507172</v>
      </c>
      <c r="R8" s="10">
        <f t="shared" si="6"/>
        <v>19431.797692613865</v>
      </c>
      <c r="S8" s="10">
        <f t="shared" si="6"/>
        <v>35383.042196526963</v>
      </c>
      <c r="T8" s="10">
        <f t="shared" si="6"/>
        <v>3028.927620000004</v>
      </c>
    </row>
    <row r="9" spans="1:20" ht="12.75" thickBot="1" x14ac:dyDescent="0.25">
      <c r="A9" s="11" t="s">
        <v>144</v>
      </c>
      <c r="B9" s="12">
        <f t="shared" ref="B9:C9" si="7">+B8/B6</f>
        <v>0.33612059713142745</v>
      </c>
      <c r="C9" s="12">
        <f t="shared" si="7"/>
        <v>0.32917736519849894</v>
      </c>
      <c r="D9" s="12">
        <f t="shared" ref="D9:E9" si="8">+D8/D6</f>
        <v>0.30927025413878678</v>
      </c>
      <c r="E9" s="12">
        <f t="shared" si="8"/>
        <v>0.34448107320226101</v>
      </c>
      <c r="F9" s="12">
        <f t="shared" ref="F9:G9" si="9">+F8/F6</f>
        <v>0.37637389659239762</v>
      </c>
      <c r="G9" s="12">
        <f t="shared" si="9"/>
        <v>0.29563059252993812</v>
      </c>
      <c r="H9" s="12">
        <f t="shared" ref="H9:I9" si="10">+H8/H6</f>
        <v>0.3415660593399088</v>
      </c>
      <c r="I9" s="12">
        <f t="shared" si="10"/>
        <v>0.39330893537346967</v>
      </c>
      <c r="J9" s="12">
        <f t="shared" ref="J9:K9" si="11">+J8/J6</f>
        <v>0.43251767920282869</v>
      </c>
      <c r="K9" s="12">
        <f t="shared" si="11"/>
        <v>0.42118549313578957</v>
      </c>
      <c r="L9" s="12">
        <f t="shared" ref="L9:M9" si="12">+L8/L6</f>
        <v>0.40412594433436533</v>
      </c>
      <c r="M9" s="12">
        <f t="shared" si="12"/>
        <v>0.40129448030915632</v>
      </c>
      <c r="N9" s="12">
        <f t="shared" ref="N9:T9" si="13">+N8/N6</f>
        <v>0.45440191235972122</v>
      </c>
      <c r="O9" s="12">
        <f t="shared" si="13"/>
        <v>0.42099104896741357</v>
      </c>
      <c r="P9" s="12">
        <f t="shared" si="13"/>
        <v>0.39913809344385831</v>
      </c>
      <c r="Q9" s="12">
        <f t="shared" si="13"/>
        <v>0.32377687199595595</v>
      </c>
      <c r="R9" s="12">
        <f t="shared" si="13"/>
        <v>0.38876035716657059</v>
      </c>
      <c r="S9" s="12">
        <f t="shared" si="13"/>
        <v>0.34761549840558376</v>
      </c>
      <c r="T9" s="12">
        <f t="shared" si="13"/>
        <v>0.18274218632360512</v>
      </c>
    </row>
    <row r="10" spans="1:20" ht="25.5" customHeight="1" thickTop="1" x14ac:dyDescent="0.2">
      <c r="A10" s="58" t="s">
        <v>421</v>
      </c>
      <c r="B10" s="59">
        <f>'Gross Margin &amp; EBITDA (ex-SFH)'!B$11</f>
        <v>0.34974631671382572</v>
      </c>
      <c r="C10" s="59">
        <f>'Gross Margin &amp; EBITDA (ex-SFH)'!C$11</f>
        <v>0.33272904263423719</v>
      </c>
      <c r="D10" s="59">
        <f>'Gross Margin &amp; EBITDA (ex-SFH)'!D$11</f>
        <v>0.31644519837904062</v>
      </c>
      <c r="E10" s="59">
        <f>'Gross Margin &amp; EBITDA (ex-SFH)'!E$11</f>
        <v>0.34672898158463261</v>
      </c>
      <c r="F10" s="59">
        <f>'Gross Margin &amp; EBITDA (ex-SFH)'!F$11</f>
        <v>0.3765757395646826</v>
      </c>
      <c r="G10" s="59">
        <f>'Gross Margin &amp; EBITDA (ex-SFH)'!G$11</f>
        <v>0.29612028669367402</v>
      </c>
      <c r="H10" s="59">
        <f>'Gross Margin &amp; EBITDA (ex-SFH)'!H$11</f>
        <v>0.34187742311323599</v>
      </c>
      <c r="I10" s="59">
        <f>'Gross Margin &amp; EBITDA (ex-SFH)'!I$11</f>
        <v>0.40033889565701614</v>
      </c>
      <c r="J10" s="59">
        <f>'Gross Margin &amp; EBITDA (ex-SFH)'!J$11</f>
        <v>0.43559144969463193</v>
      </c>
      <c r="K10" s="59">
        <f>'Gross Margin &amp; EBITDA (ex-SFH)'!K$11</f>
        <v>0.42727932898644833</v>
      </c>
      <c r="L10" s="59">
        <f>'Gross Margin &amp; EBITDA (ex-SFH)'!L$11</f>
        <v>0.40559666344479656</v>
      </c>
      <c r="M10" s="59">
        <f>'Gross Margin &amp; EBITDA (ex-SFH)'!M$11</f>
        <v>0.40412580695601669</v>
      </c>
      <c r="N10" s="59">
        <f>'Gross Margin &amp; EBITDA (ex-SFH)'!N$11</f>
        <v>0.45440191235972122</v>
      </c>
      <c r="O10" s="59">
        <f>'Gross Margin &amp; EBITDA (ex-SFH)'!O$11</f>
        <v>0.42099104896741357</v>
      </c>
      <c r="P10" s="59">
        <f>'Gross Margin &amp; EBITDA (ex-SFH)'!P$11</f>
        <v>0.39913809344385831</v>
      </c>
      <c r="Q10" s="59">
        <f>'Gross Margin &amp; EBITDA (ex-SFH)'!Q$11</f>
        <v>0.32377687199595595</v>
      </c>
      <c r="R10" s="59">
        <f>'Gross Margin &amp; EBITDA (ex-SFH)'!R$11</f>
        <v>0.38876035716657059</v>
      </c>
      <c r="S10" s="59">
        <f>'Gross Margin &amp; EBITDA (ex-SFH)'!S$11</f>
        <v>0.34761549840558376</v>
      </c>
      <c r="T10" s="59">
        <f>'Gross Margin &amp; EBITDA (ex-SFH)'!T$11</f>
        <v>0.18274218632360512</v>
      </c>
    </row>
    <row r="11" spans="1:20" x14ac:dyDescent="0.2">
      <c r="A11" s="60" t="s">
        <v>145</v>
      </c>
      <c r="B11" s="10">
        <f t="shared" ref="B11" si="14">SUM(B12:B15)</f>
        <v>-26695</v>
      </c>
      <c r="C11" s="10">
        <f t="shared" ref="C11:D11" si="15">SUM(C12:C15)</f>
        <v>-27343</v>
      </c>
      <c r="D11" s="10">
        <f t="shared" si="15"/>
        <v>-21294</v>
      </c>
      <c r="E11" s="10">
        <f t="shared" ref="E11:F11" si="16">SUM(E12:E15)</f>
        <v>-27183.324419999997</v>
      </c>
      <c r="F11" s="10">
        <f t="shared" si="16"/>
        <v>-23434.675580000003</v>
      </c>
      <c r="G11" s="10">
        <f t="shared" ref="G11:H11" si="17">SUM(G12:G15)</f>
        <v>-28256</v>
      </c>
      <c r="H11" s="10">
        <f t="shared" si="17"/>
        <v>-20943</v>
      </c>
      <c r="I11" s="10">
        <f t="shared" ref="I11:J11" si="18">SUM(I12:I15)</f>
        <v>-20081.731576195598</v>
      </c>
      <c r="J11" s="10">
        <f t="shared" si="18"/>
        <v>-21075.598010000002</v>
      </c>
      <c r="K11" s="10">
        <f t="shared" ref="K11:L11" si="19">SUM(K12:K15)</f>
        <v>-19308</v>
      </c>
      <c r="L11" s="10">
        <f t="shared" si="19"/>
        <v>-16690.86217</v>
      </c>
      <c r="M11" s="10">
        <f t="shared" ref="M11:T11" si="20">SUM(M12:M15)</f>
        <v>-13095</v>
      </c>
      <c r="N11" s="10">
        <f t="shared" si="20"/>
        <v>-9837</v>
      </c>
      <c r="O11" s="10">
        <f t="shared" si="20"/>
        <v>-3289</v>
      </c>
      <c r="P11" s="10">
        <f t="shared" si="20"/>
        <v>-4735</v>
      </c>
      <c r="Q11" s="10">
        <f t="shared" si="20"/>
        <v>-5316.9016848196034</v>
      </c>
      <c r="R11" s="10">
        <f t="shared" si="20"/>
        <v>-3781.7557400000001</v>
      </c>
      <c r="S11" s="10">
        <f t="shared" si="20"/>
        <v>-6986.2585395952383</v>
      </c>
      <c r="T11" s="10">
        <f t="shared" si="20"/>
        <v>-5251.5279483354834</v>
      </c>
    </row>
    <row r="12" spans="1:20" x14ac:dyDescent="0.2">
      <c r="A12" s="6" t="s">
        <v>146</v>
      </c>
      <c r="B12" s="7">
        <f>DRE!B12</f>
        <v>-17126</v>
      </c>
      <c r="C12" s="7">
        <f>DRE!C12</f>
        <v>-19205</v>
      </c>
      <c r="D12" s="7">
        <f>DRE!D12</f>
        <v>-17045</v>
      </c>
      <c r="E12" s="7">
        <f>DRE!E12</f>
        <v>-16848</v>
      </c>
      <c r="F12" s="7">
        <f>DRE!F12</f>
        <v>-15999</v>
      </c>
      <c r="G12" s="7">
        <f>DRE!G12</f>
        <v>-20710</v>
      </c>
      <c r="H12" s="7">
        <f>DRE!H12</f>
        <v>-10395</v>
      </c>
      <c r="I12" s="7">
        <f>DRE!I12</f>
        <v>-13987</v>
      </c>
      <c r="J12" s="7">
        <f>DRE!J12</f>
        <v>-16017</v>
      </c>
      <c r="K12" s="7">
        <f>DRE!K12</f>
        <v>-13723</v>
      </c>
      <c r="L12" s="7">
        <f>DRE!L12</f>
        <v>-12945.742</v>
      </c>
      <c r="M12" s="7">
        <f>DRE!M12</f>
        <v>-8024</v>
      </c>
      <c r="N12" s="7">
        <f>DRE!N12</f>
        <v>-4857</v>
      </c>
      <c r="O12" s="7">
        <f>DRE!O12</f>
        <v>-1760</v>
      </c>
      <c r="P12" s="7">
        <f>DRE!P12</f>
        <v>-3458</v>
      </c>
      <c r="Q12" s="7">
        <f>DRE!Q12</f>
        <v>-1773</v>
      </c>
      <c r="R12" s="7">
        <f>DRE!R12</f>
        <v>-5564</v>
      </c>
      <c r="S12" s="7">
        <f>DRE!S12</f>
        <v>-5036</v>
      </c>
      <c r="T12" s="7">
        <f>DRE!T12</f>
        <v>-3888</v>
      </c>
    </row>
    <row r="13" spans="1:20" x14ac:dyDescent="0.2">
      <c r="A13" s="6" t="s">
        <v>147</v>
      </c>
      <c r="B13" s="7">
        <f>DRE!B13</f>
        <v>-10690</v>
      </c>
      <c r="C13" s="7">
        <f>DRE!C13</f>
        <v>-11632</v>
      </c>
      <c r="D13" s="7">
        <f>DRE!D13</f>
        <v>-10135</v>
      </c>
      <c r="E13" s="7">
        <f>DRE!E13</f>
        <v>-8149.3984199999995</v>
      </c>
      <c r="F13" s="7">
        <f>DRE!F13</f>
        <v>-8378.6015800000005</v>
      </c>
      <c r="G13" s="7">
        <f>DRE!G13</f>
        <v>-8477</v>
      </c>
      <c r="H13" s="7">
        <f>DRE!H13</f>
        <v>-7539</v>
      </c>
      <c r="I13" s="7">
        <f>DRE!I13</f>
        <v>-6399</v>
      </c>
      <c r="J13" s="7">
        <f>DRE!J13</f>
        <v>-6458.5980099999997</v>
      </c>
      <c r="K13" s="7">
        <f>DRE!K13</f>
        <v>-6673</v>
      </c>
      <c r="L13" s="7">
        <f>DRE!L13</f>
        <v>-5784.2701699999998</v>
      </c>
      <c r="M13" s="7">
        <f>DRE!M13</f>
        <v>-5367</v>
      </c>
      <c r="N13" s="7">
        <f>DRE!N13</f>
        <v>-4267</v>
      </c>
      <c r="O13" s="7">
        <f>DRE!O13</f>
        <v>-2414</v>
      </c>
      <c r="P13" s="7">
        <f>DRE!P13</f>
        <v>-2029</v>
      </c>
      <c r="Q13" s="7">
        <f>DRE!Q13</f>
        <v>-3322</v>
      </c>
      <c r="R13" s="7">
        <f>DRE!R13</f>
        <v>-2945</v>
      </c>
      <c r="S13" s="7">
        <f>DRE!S13</f>
        <v>-1065</v>
      </c>
      <c r="T13" s="7">
        <f>DRE!T13</f>
        <v>-1477</v>
      </c>
    </row>
    <row r="14" spans="1:20" x14ac:dyDescent="0.2">
      <c r="A14" s="6" t="s">
        <v>148</v>
      </c>
      <c r="B14" s="7">
        <f>DRE!B14</f>
        <v>2464</v>
      </c>
      <c r="C14" s="7">
        <f>DRE!C14</f>
        <v>4481</v>
      </c>
      <c r="D14" s="7">
        <f>DRE!D14</f>
        <v>6505</v>
      </c>
      <c r="E14" s="7">
        <f>DRE!E14</f>
        <v>-3754.5419999999999</v>
      </c>
      <c r="F14" s="7">
        <f>DRE!F14</f>
        <v>1477.5419999999999</v>
      </c>
      <c r="G14" s="7">
        <f>DRE!G14</f>
        <v>301</v>
      </c>
      <c r="H14" s="7">
        <f>DRE!H14</f>
        <v>657</v>
      </c>
      <c r="I14" s="7">
        <f>DRE!I14</f>
        <v>399.26842380440212</v>
      </c>
      <c r="J14" s="7">
        <f>DRE!J14</f>
        <v>1428</v>
      </c>
      <c r="K14" s="7">
        <f>DRE!K14</f>
        <v>946</v>
      </c>
      <c r="L14" s="7">
        <f>DRE!L14</f>
        <v>1381.0219999999999</v>
      </c>
      <c r="M14" s="7">
        <f>DRE!M14</f>
        <v>616</v>
      </c>
      <c r="N14" s="7">
        <f>DRE!N14</f>
        <v>141</v>
      </c>
      <c r="O14" s="7">
        <f>DRE!O14</f>
        <v>560</v>
      </c>
      <c r="P14" s="7">
        <f>DRE!P14</f>
        <v>2</v>
      </c>
      <c r="Q14" s="7">
        <f>DRE!Q14</f>
        <v>271.07046518039624</v>
      </c>
      <c r="R14" s="7">
        <f>DRE!R14</f>
        <v>5200</v>
      </c>
      <c r="S14" s="7">
        <f>DRE!S14</f>
        <v>-361.3835095952378</v>
      </c>
      <c r="T14" s="7">
        <f>DRE!T14</f>
        <v>1.1664516641758382E-5</v>
      </c>
    </row>
    <row r="15" spans="1:20" x14ac:dyDescent="0.2">
      <c r="A15" s="6" t="s">
        <v>149</v>
      </c>
      <c r="B15" s="7">
        <f>DRE!B15</f>
        <v>-1343</v>
      </c>
      <c r="C15" s="7">
        <f>DRE!C15</f>
        <v>-987</v>
      </c>
      <c r="D15" s="7">
        <f>DRE!D15</f>
        <v>-619</v>
      </c>
      <c r="E15" s="7">
        <f>DRE!E15</f>
        <v>1568.6160000000009</v>
      </c>
      <c r="F15" s="7">
        <f>DRE!F15</f>
        <v>-534.61600000000089</v>
      </c>
      <c r="G15" s="7">
        <f>DRE!G15</f>
        <v>630</v>
      </c>
      <c r="H15" s="7">
        <f>DRE!H15</f>
        <v>-3666</v>
      </c>
      <c r="I15" s="7">
        <f>DRE!I15</f>
        <v>-95</v>
      </c>
      <c r="J15" s="7">
        <f>DRE!J15</f>
        <v>-28</v>
      </c>
      <c r="K15" s="7">
        <f>DRE!K15</f>
        <v>142</v>
      </c>
      <c r="L15" s="7">
        <f>DRE!L15</f>
        <v>658.12800000000004</v>
      </c>
      <c r="M15" s="7">
        <f>DRE!M15</f>
        <v>-320</v>
      </c>
      <c r="N15" s="7">
        <f>DRE!N15</f>
        <v>-854</v>
      </c>
      <c r="O15" s="7">
        <f>DRE!O15</f>
        <v>325</v>
      </c>
      <c r="P15" s="7">
        <f>DRE!P15</f>
        <v>750</v>
      </c>
      <c r="Q15" s="7">
        <f>DRE!Q15</f>
        <v>-492.97214999999994</v>
      </c>
      <c r="R15" s="7">
        <f>DRE!R15</f>
        <v>-472.75573999999995</v>
      </c>
      <c r="S15" s="7">
        <f>DRE!S15</f>
        <v>-523.87502999999992</v>
      </c>
      <c r="T15" s="7">
        <f>DRE!T15</f>
        <v>113.47204000000001</v>
      </c>
    </row>
    <row r="16" spans="1:20" x14ac:dyDescent="0.2">
      <c r="A16" s="6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pans="1:20" ht="24" x14ac:dyDescent="0.2">
      <c r="A17" s="13" t="s">
        <v>150</v>
      </c>
      <c r="B17" s="10">
        <f t="shared" ref="B17" si="21">+B8+B11</f>
        <v>42203</v>
      </c>
      <c r="C17" s="10">
        <f t="shared" ref="C17:D17" si="22">+C8+C11</f>
        <v>65988</v>
      </c>
      <c r="D17" s="10">
        <f t="shared" si="22"/>
        <v>27931</v>
      </c>
      <c r="E17" s="10">
        <f t="shared" ref="E17:F17" si="23">+E8+E11</f>
        <v>23540.822580000116</v>
      </c>
      <c r="F17" s="10">
        <f t="shared" si="23"/>
        <v>25047.177419999869</v>
      </c>
      <c r="G17" s="10">
        <f t="shared" ref="G17:H17" si="24">+G8+G11</f>
        <v>24870</v>
      </c>
      <c r="H17" s="10">
        <f t="shared" si="24"/>
        <v>13064</v>
      </c>
      <c r="I17" s="10">
        <f t="shared" ref="I17:J17" si="25">+I8+I11</f>
        <v>22885.97381380439</v>
      </c>
      <c r="J17" s="10">
        <f t="shared" si="25"/>
        <v>43511.401989999998</v>
      </c>
      <c r="K17" s="10">
        <f t="shared" ref="K17:L17" si="26">+K8+K11</f>
        <v>90311</v>
      </c>
      <c r="L17" s="10">
        <f t="shared" si="26"/>
        <v>19855.035829999993</v>
      </c>
      <c r="M17" s="10">
        <f t="shared" ref="M17:T17" si="27">+M8+M11</f>
        <v>58764</v>
      </c>
      <c r="N17" s="10">
        <f t="shared" si="27"/>
        <v>29557.869439999966</v>
      </c>
      <c r="O17" s="10">
        <f t="shared" si="27"/>
        <v>18299</v>
      </c>
      <c r="P17" s="10">
        <f t="shared" si="27"/>
        <v>12214</v>
      </c>
      <c r="Q17" s="10">
        <f t="shared" si="27"/>
        <v>27006.922940252116</v>
      </c>
      <c r="R17" s="10">
        <f t="shared" si="27"/>
        <v>15650.041952613865</v>
      </c>
      <c r="S17" s="10">
        <f t="shared" si="27"/>
        <v>28396.783656931726</v>
      </c>
      <c r="T17" s="10">
        <f t="shared" si="27"/>
        <v>-2222.6003283354794</v>
      </c>
    </row>
    <row r="18" spans="1:20" x14ac:dyDescent="0.2">
      <c r="A18" s="6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spans="1:20" x14ac:dyDescent="0.2">
      <c r="A19" s="6" t="s">
        <v>151</v>
      </c>
      <c r="B19" s="7">
        <f>DRE!B19</f>
        <v>17363</v>
      </c>
      <c r="C19" s="7">
        <f>DRE!C19</f>
        <v>17649</v>
      </c>
      <c r="D19" s="7">
        <f>DRE!D19</f>
        <v>11658</v>
      </c>
      <c r="E19" s="7">
        <f>DRE!E19</f>
        <v>18822</v>
      </c>
      <c r="F19" s="7">
        <f>DRE!F19</f>
        <v>15261</v>
      </c>
      <c r="G19" s="7">
        <f>DRE!G19</f>
        <v>18072</v>
      </c>
      <c r="H19" s="7">
        <f>DRE!H19</f>
        <v>19772</v>
      </c>
      <c r="I19" s="7">
        <f>DRE!I19</f>
        <v>12121.250069999995</v>
      </c>
      <c r="J19" s="7">
        <f>DRE!J19</f>
        <v>14778</v>
      </c>
      <c r="K19" s="7">
        <f>DRE!K19</f>
        <v>13139</v>
      </c>
      <c r="L19" s="7">
        <f>DRE!L19</f>
        <v>7603.96</v>
      </c>
      <c r="M19" s="7">
        <f>DRE!M19</f>
        <v>8377</v>
      </c>
      <c r="N19" s="7">
        <f>DRE!N19</f>
        <v>1089</v>
      </c>
      <c r="O19" s="7">
        <f>DRE!O19</f>
        <v>388</v>
      </c>
      <c r="P19" s="7">
        <f>DRE!P19</f>
        <v>711</v>
      </c>
      <c r="Q19" s="7">
        <f>DRE!Q19</f>
        <v>674</v>
      </c>
      <c r="R19" s="7">
        <f>DRE!R19</f>
        <v>787</v>
      </c>
      <c r="S19" s="7">
        <f>DRE!S19</f>
        <v>649</v>
      </c>
      <c r="T19" s="7">
        <f>DRE!T19</f>
        <v>723</v>
      </c>
    </row>
    <row r="20" spans="1:20" x14ac:dyDescent="0.2">
      <c r="A20" s="6" t="s">
        <v>152</v>
      </c>
      <c r="B20" s="7">
        <f>DRE!B20</f>
        <v>-1162</v>
      </c>
      <c r="C20" s="7">
        <f>DRE!C20</f>
        <v>-1673</v>
      </c>
      <c r="D20" s="7">
        <f>DRE!D20</f>
        <v>-4378</v>
      </c>
      <c r="E20" s="7">
        <f>DRE!E20</f>
        <v>-760</v>
      </c>
      <c r="F20" s="7">
        <f>DRE!F20</f>
        <v>-923</v>
      </c>
      <c r="G20" s="7">
        <f>DRE!G20</f>
        <v>-673</v>
      </c>
      <c r="H20" s="7">
        <f>DRE!H20</f>
        <v>-1867</v>
      </c>
      <c r="I20" s="7">
        <f>DRE!I20</f>
        <v>-1025.7607600000001</v>
      </c>
      <c r="J20" s="7">
        <f>DRE!J20</f>
        <v>-616</v>
      </c>
      <c r="K20" s="7">
        <f>DRE!K20</f>
        <v>-677</v>
      </c>
      <c r="L20" s="7">
        <f>DRE!L20</f>
        <v>-757.95800000000008</v>
      </c>
      <c r="M20" s="7">
        <f>DRE!M20</f>
        <v>-1839</v>
      </c>
      <c r="N20" s="7">
        <f>DRE!N20</f>
        <v>-723</v>
      </c>
      <c r="O20" s="7">
        <f>DRE!O20</f>
        <v>-25</v>
      </c>
      <c r="P20" s="7">
        <f>DRE!P20</f>
        <v>-548</v>
      </c>
      <c r="Q20" s="7">
        <f>DRE!Q20</f>
        <v>-554</v>
      </c>
      <c r="R20" s="7">
        <f>DRE!R20</f>
        <v>-376</v>
      </c>
      <c r="S20" s="7">
        <f>DRE!S20</f>
        <v>-285</v>
      </c>
      <c r="T20" s="7">
        <f>DRE!T20</f>
        <v>-179</v>
      </c>
    </row>
    <row r="21" spans="1:20" x14ac:dyDescent="0.2">
      <c r="A21" s="9" t="s">
        <v>153</v>
      </c>
      <c r="B21" s="10">
        <f t="shared" ref="B21:C21" si="28">+B19+B20</f>
        <v>16201</v>
      </c>
      <c r="C21" s="10">
        <f t="shared" si="28"/>
        <v>15976</v>
      </c>
      <c r="D21" s="10">
        <f t="shared" ref="D21:E21" si="29">+D19+D20</f>
        <v>7280</v>
      </c>
      <c r="E21" s="10">
        <f t="shared" si="29"/>
        <v>18062</v>
      </c>
      <c r="F21" s="10">
        <f t="shared" ref="F21:G21" si="30">+F19+F20</f>
        <v>14338</v>
      </c>
      <c r="G21" s="10">
        <f t="shared" si="30"/>
        <v>17399</v>
      </c>
      <c r="H21" s="10">
        <f t="shared" ref="H21:I21" si="31">+H19+H20</f>
        <v>17905</v>
      </c>
      <c r="I21" s="10">
        <f t="shared" si="31"/>
        <v>11095.489309999994</v>
      </c>
      <c r="J21" s="10">
        <f t="shared" ref="J21:K21" si="32">+J19+J20</f>
        <v>14162</v>
      </c>
      <c r="K21" s="10">
        <f t="shared" si="32"/>
        <v>12462</v>
      </c>
      <c r="L21" s="10">
        <f t="shared" ref="L21:M21" si="33">+L19+L20</f>
        <v>6846.0020000000004</v>
      </c>
      <c r="M21" s="10">
        <f t="shared" si="33"/>
        <v>6538</v>
      </c>
      <c r="N21" s="10">
        <f t="shared" ref="N21:T21" si="34">+N19+N20</f>
        <v>366</v>
      </c>
      <c r="O21" s="10">
        <f t="shared" si="34"/>
        <v>363</v>
      </c>
      <c r="P21" s="10">
        <f t="shared" si="34"/>
        <v>163</v>
      </c>
      <c r="Q21" s="10">
        <f t="shared" si="34"/>
        <v>120</v>
      </c>
      <c r="R21" s="10">
        <f t="shared" si="34"/>
        <v>411</v>
      </c>
      <c r="S21" s="10">
        <f t="shared" si="34"/>
        <v>364</v>
      </c>
      <c r="T21" s="10">
        <f t="shared" si="34"/>
        <v>544</v>
      </c>
    </row>
    <row r="22" spans="1:20" x14ac:dyDescent="0.2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1:20" ht="24" x14ac:dyDescent="0.2">
      <c r="A23" s="13" t="s">
        <v>150</v>
      </c>
      <c r="B23" s="10">
        <f t="shared" ref="B23:C23" si="35">+B17+B21</f>
        <v>58404</v>
      </c>
      <c r="C23" s="10">
        <f t="shared" si="35"/>
        <v>81964</v>
      </c>
      <c r="D23" s="10">
        <f t="shared" ref="D23:E23" si="36">+D17+D21</f>
        <v>35211</v>
      </c>
      <c r="E23" s="10">
        <f t="shared" si="36"/>
        <v>41602.822580000116</v>
      </c>
      <c r="F23" s="10">
        <f t="shared" ref="F23:G23" si="37">+F17+F21</f>
        <v>39385.177419999869</v>
      </c>
      <c r="G23" s="10">
        <f t="shared" si="37"/>
        <v>42269</v>
      </c>
      <c r="H23" s="10">
        <f t="shared" ref="H23:I23" si="38">+H17+H21</f>
        <v>30969</v>
      </c>
      <c r="I23" s="10">
        <f t="shared" si="38"/>
        <v>33981.46312380438</v>
      </c>
      <c r="J23" s="10">
        <f t="shared" ref="J23:K23" si="39">+J17+J21</f>
        <v>57673.401989999998</v>
      </c>
      <c r="K23" s="10">
        <f t="shared" si="39"/>
        <v>102773</v>
      </c>
      <c r="L23" s="10">
        <f t="shared" ref="L23:M23" si="40">+L17+L21</f>
        <v>26701.037829999994</v>
      </c>
      <c r="M23" s="10">
        <f t="shared" si="40"/>
        <v>65302</v>
      </c>
      <c r="N23" s="10">
        <f t="shared" ref="N23:T23" si="41">+N17+N21</f>
        <v>29923.869439999966</v>
      </c>
      <c r="O23" s="10">
        <f t="shared" si="41"/>
        <v>18662</v>
      </c>
      <c r="P23" s="10">
        <f t="shared" si="41"/>
        <v>12377</v>
      </c>
      <c r="Q23" s="10">
        <f t="shared" si="41"/>
        <v>27126.922940252116</v>
      </c>
      <c r="R23" s="10">
        <f t="shared" si="41"/>
        <v>16061.041952613865</v>
      </c>
      <c r="S23" s="10">
        <f t="shared" si="41"/>
        <v>28760.783656931726</v>
      </c>
      <c r="T23" s="10">
        <f t="shared" si="41"/>
        <v>-1678.6003283354794</v>
      </c>
    </row>
    <row r="24" spans="1:20" x14ac:dyDescent="0.2">
      <c r="A24" s="6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spans="1:20" x14ac:dyDescent="0.2">
      <c r="A25" s="6" t="s">
        <v>154</v>
      </c>
      <c r="B25" s="7">
        <f>DRE!B25</f>
        <v>-5755</v>
      </c>
      <c r="C25" s="7">
        <f>DRE!C25</f>
        <v>-7878</v>
      </c>
      <c r="D25" s="7">
        <f>DRE!D25</f>
        <v>-4345</v>
      </c>
      <c r="E25" s="7">
        <f>DRE!E25</f>
        <v>-6231.007999999998</v>
      </c>
      <c r="F25" s="7">
        <f>DRE!F25</f>
        <v>-5119.9920000000011</v>
      </c>
      <c r="G25" s="7">
        <f>DRE!G25</f>
        <v>-6743</v>
      </c>
      <c r="H25" s="7">
        <f>DRE!H25</f>
        <v>1006</v>
      </c>
      <c r="I25" s="7">
        <f>DRE!I25</f>
        <v>1384.0717</v>
      </c>
      <c r="J25" s="7">
        <f>DRE!J25</f>
        <v>-4540</v>
      </c>
      <c r="K25" s="7">
        <f>DRE!K25</f>
        <v>-4913</v>
      </c>
      <c r="L25" s="7">
        <f>DRE!L25</f>
        <v>-2534</v>
      </c>
      <c r="M25" s="7">
        <f>DRE!M25</f>
        <v>-2869</v>
      </c>
      <c r="N25" s="7">
        <f>DRE!N25</f>
        <v>-1275</v>
      </c>
      <c r="O25" s="7">
        <f>DRE!O25</f>
        <v>-872</v>
      </c>
      <c r="P25" s="7">
        <f>DRE!P25</f>
        <v>-1074</v>
      </c>
      <c r="Q25" s="7">
        <f>DRE!Q25</f>
        <v>-622.57232964465902</v>
      </c>
      <c r="R25" s="7">
        <f>DRE!R25</f>
        <v>173.32313518854824</v>
      </c>
      <c r="S25" s="7">
        <f>DRE!S25</f>
        <v>-829.33250554388917</v>
      </c>
      <c r="T25" s="7">
        <f>DRE!T25</f>
        <v>51.968399999999995</v>
      </c>
    </row>
    <row r="26" spans="1:20" x14ac:dyDescent="0.2">
      <c r="A26" s="6" t="s">
        <v>155</v>
      </c>
      <c r="B26" s="7">
        <f>DRE!B26</f>
        <v>-1161</v>
      </c>
      <c r="C26" s="7">
        <f>DRE!C26</f>
        <v>-951</v>
      </c>
      <c r="D26" s="7">
        <f>DRE!D26</f>
        <v>-784</v>
      </c>
      <c r="E26" s="7">
        <f>DRE!E26</f>
        <v>-552.82699999999966</v>
      </c>
      <c r="F26" s="7">
        <f>DRE!F26</f>
        <v>-70.190000000000396</v>
      </c>
      <c r="G26" s="7">
        <f>DRE!G26</f>
        <v>149</v>
      </c>
      <c r="H26" s="7">
        <f>DRE!H26</f>
        <v>-5756</v>
      </c>
      <c r="I26" s="7">
        <f>DRE!I26</f>
        <v>-4982.5309499999967</v>
      </c>
      <c r="J26" s="7">
        <f>DRE!J26</f>
        <v>145</v>
      </c>
      <c r="K26" s="7">
        <f>DRE!K26</f>
        <v>-1544</v>
      </c>
      <c r="L26" s="7">
        <f>DRE!L26</f>
        <v>158</v>
      </c>
      <c r="M26" s="7">
        <f>DRE!M26</f>
        <v>-363</v>
      </c>
      <c r="N26" s="7">
        <f>DRE!N26</f>
        <v>-721</v>
      </c>
      <c r="O26" s="7">
        <f>DRE!O26</f>
        <v>-169</v>
      </c>
      <c r="P26" s="7">
        <f>DRE!P26</f>
        <v>-91</v>
      </c>
      <c r="Q26" s="7">
        <f>DRE!Q26</f>
        <v>-1496.5190099999998</v>
      </c>
      <c r="R26" s="7">
        <f>DRE!R26</f>
        <v>-1293.58429</v>
      </c>
      <c r="S26" s="7">
        <f>DRE!S26</f>
        <v>-1079.6543400000003</v>
      </c>
      <c r="T26" s="7">
        <f>DRE!T26</f>
        <v>-499.13588999999996</v>
      </c>
    </row>
    <row r="27" spans="1:20" x14ac:dyDescent="0.2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x14ac:dyDescent="0.2">
      <c r="A28" s="13" t="s">
        <v>156</v>
      </c>
      <c r="B28" s="10">
        <f t="shared" ref="B28:C28" si="42">+B23+B25+B26</f>
        <v>51488</v>
      </c>
      <c r="C28" s="10">
        <f t="shared" si="42"/>
        <v>73135</v>
      </c>
      <c r="D28" s="10">
        <f t="shared" ref="D28:E28" si="43">+D23+D25+D26</f>
        <v>30082</v>
      </c>
      <c r="E28" s="10">
        <f t="shared" si="43"/>
        <v>34818.987580000125</v>
      </c>
      <c r="F28" s="10">
        <f t="shared" ref="F28:G28" si="44">+F23+F25+F26</f>
        <v>34194.995419999868</v>
      </c>
      <c r="G28" s="10">
        <f t="shared" si="44"/>
        <v>35675</v>
      </c>
      <c r="H28" s="10">
        <f t="shared" ref="H28:I28" si="45">+H23+H25+H26</f>
        <v>26219</v>
      </c>
      <c r="I28" s="10">
        <f t="shared" si="45"/>
        <v>30383.003873804384</v>
      </c>
      <c r="J28" s="10">
        <f t="shared" ref="J28:K28" si="46">+J23+J25+J26</f>
        <v>53278.401989999998</v>
      </c>
      <c r="K28" s="10">
        <f t="shared" si="46"/>
        <v>96316</v>
      </c>
      <c r="L28" s="10">
        <f t="shared" ref="L28:M28" si="47">+L23+L25+L26</f>
        <v>24325.037829999994</v>
      </c>
      <c r="M28" s="10">
        <f t="shared" si="47"/>
        <v>62070</v>
      </c>
      <c r="N28" s="10">
        <f t="shared" ref="N28:T28" si="48">+N23+N25+N26</f>
        <v>27927.869439999966</v>
      </c>
      <c r="O28" s="10">
        <f t="shared" si="48"/>
        <v>17621</v>
      </c>
      <c r="P28" s="10">
        <f t="shared" si="48"/>
        <v>11212</v>
      </c>
      <c r="Q28" s="10">
        <f t="shared" si="48"/>
        <v>25007.831600607456</v>
      </c>
      <c r="R28" s="10">
        <f t="shared" si="48"/>
        <v>14940.780797802412</v>
      </c>
      <c r="S28" s="10">
        <f t="shared" si="48"/>
        <v>26851.796811387834</v>
      </c>
      <c r="T28" s="10">
        <f t="shared" si="48"/>
        <v>-2125.7678183354792</v>
      </c>
    </row>
    <row r="29" spans="1:20" x14ac:dyDescent="0.2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x14ac:dyDescent="0.2">
      <c r="A30" s="4" t="s">
        <v>157</v>
      </c>
      <c r="B30" s="7">
        <f>DRE!B30</f>
        <v>-2923</v>
      </c>
      <c r="C30" s="7">
        <f>DRE!C30</f>
        <v>-4002</v>
      </c>
      <c r="D30" s="7">
        <f>DRE!D30</f>
        <v>-4473</v>
      </c>
      <c r="E30" s="7">
        <f>DRE!E30</f>
        <v>-2352.0600793444992</v>
      </c>
      <c r="F30" s="7">
        <f>DRE!F30</f>
        <v>-6574.9399206554799</v>
      </c>
      <c r="G30" s="7">
        <f>DRE!G30</f>
        <v>-1953</v>
      </c>
      <c r="H30" s="7">
        <f>DRE!H30</f>
        <v>-5139</v>
      </c>
      <c r="I30" s="7">
        <f>DRE!I30</f>
        <v>-5878.9316319244354</v>
      </c>
      <c r="J30" s="7">
        <f>DRE!J30</f>
        <v>-7644</v>
      </c>
      <c r="K30" s="7">
        <f>DRE!K30</f>
        <v>-5774</v>
      </c>
      <c r="L30" s="7">
        <f>DRE!L30</f>
        <v>-7272</v>
      </c>
      <c r="M30" s="7">
        <f>DRE!M30</f>
        <v>-8643</v>
      </c>
      <c r="N30" s="7">
        <f>DRE!N30</f>
        <v>-10287</v>
      </c>
      <c r="O30" s="7">
        <f>DRE!O30</f>
        <v>-4165</v>
      </c>
      <c r="P30" s="7">
        <f>DRE!P30</f>
        <v>-2213</v>
      </c>
      <c r="Q30" s="7">
        <f>DRE!Q30</f>
        <v>-5351.4751734467191</v>
      </c>
      <c r="R30" s="7">
        <f>DRE!R30</f>
        <v>-4340.4098292575563</v>
      </c>
      <c r="S30" s="7">
        <f>DRE!S30</f>
        <v>-3658.4439914855666</v>
      </c>
      <c r="T30" s="7">
        <f>DRE!T30</f>
        <v>-135.18280394951591</v>
      </c>
    </row>
    <row r="31" spans="1:20" x14ac:dyDescent="0.2">
      <c r="A31" s="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2.75" thickBot="1" x14ac:dyDescent="0.25">
      <c r="A32" s="19" t="s">
        <v>158</v>
      </c>
      <c r="B32" s="20">
        <f t="shared" ref="B32:C32" si="49">+B28+B30</f>
        <v>48565</v>
      </c>
      <c r="C32" s="20">
        <f t="shared" si="49"/>
        <v>69133</v>
      </c>
      <c r="D32" s="20">
        <f t="shared" ref="D32:E32" si="50">+D28+D30</f>
        <v>25609</v>
      </c>
      <c r="E32" s="20">
        <f t="shared" si="50"/>
        <v>32466.927500655627</v>
      </c>
      <c r="F32" s="20">
        <f t="shared" ref="F32:G32" si="51">+F28+F30</f>
        <v>27620.055499344387</v>
      </c>
      <c r="G32" s="20">
        <f t="shared" si="51"/>
        <v>33722</v>
      </c>
      <c r="H32" s="20">
        <f t="shared" ref="H32:I32" si="52">+H28+H30</f>
        <v>21080</v>
      </c>
      <c r="I32" s="20">
        <f t="shared" si="52"/>
        <v>24504.072241879949</v>
      </c>
      <c r="J32" s="20">
        <f t="shared" ref="J32:K32" si="53">+J28+J30</f>
        <v>45634.401989999998</v>
      </c>
      <c r="K32" s="20">
        <f t="shared" si="53"/>
        <v>90542</v>
      </c>
      <c r="L32" s="20">
        <f t="shared" ref="L32:M32" si="54">+L28+L30</f>
        <v>17053.037829999994</v>
      </c>
      <c r="M32" s="20">
        <f t="shared" si="54"/>
        <v>53427</v>
      </c>
      <c r="N32" s="20">
        <f t="shared" ref="N32:T32" si="55">+N28+N30</f>
        <v>17640.869439999966</v>
      </c>
      <c r="O32" s="20">
        <f t="shared" si="55"/>
        <v>13456</v>
      </c>
      <c r="P32" s="20">
        <f t="shared" si="55"/>
        <v>8999</v>
      </c>
      <c r="Q32" s="20">
        <f t="shared" si="55"/>
        <v>19656.356427160739</v>
      </c>
      <c r="R32" s="20">
        <f t="shared" si="55"/>
        <v>10600.370968544856</v>
      </c>
      <c r="S32" s="20">
        <f t="shared" si="55"/>
        <v>23193.352819902269</v>
      </c>
      <c r="T32" s="20">
        <f t="shared" si="55"/>
        <v>-2260.950622284995</v>
      </c>
    </row>
    <row r="33" spans="1:20" ht="13.5" thickTop="1" thickBot="1" x14ac:dyDescent="0.25">
      <c r="A33" s="11" t="s">
        <v>270</v>
      </c>
      <c r="B33" s="12">
        <f t="shared" ref="B33" si="56">+B32/B6</f>
        <v>0.23692555371255733</v>
      </c>
      <c r="C33" s="12">
        <f t="shared" ref="C33:D33" si="57">+C32/C6</f>
        <v>0.24383129708529669</v>
      </c>
      <c r="D33" s="12">
        <f t="shared" si="57"/>
        <v>0.16089592561178651</v>
      </c>
      <c r="E33" s="12">
        <f t="shared" ref="E33:F33" si="58">+E32/E6</f>
        <v>0.22049147576608488</v>
      </c>
      <c r="F33" s="12">
        <f t="shared" si="58"/>
        <v>0.21441977294858255</v>
      </c>
      <c r="G33" s="12">
        <f t="shared" ref="G33:H33" si="59">+G32/G6</f>
        <v>0.18765302942616749</v>
      </c>
      <c r="H33" s="12">
        <f t="shared" si="59"/>
        <v>0.21172736586247765</v>
      </c>
      <c r="I33" s="12">
        <f t="shared" ref="I33:J33" si="60">+I32/I6</f>
        <v>0.22430033156975143</v>
      </c>
      <c r="J33" s="12">
        <f t="shared" si="60"/>
        <v>0.30559842755544842</v>
      </c>
      <c r="K33" s="12">
        <f t="shared" ref="K33:L33" si="61">+K32/K6</f>
        <v>0.34788656090185699</v>
      </c>
      <c r="L33" s="12">
        <f t="shared" si="61"/>
        <v>0.18857314757509597</v>
      </c>
      <c r="M33" s="12">
        <f t="shared" ref="M33:T33" si="62">+M32/M6</f>
        <v>0.29836151629548552</v>
      </c>
      <c r="N33" s="12">
        <f t="shared" si="62"/>
        <v>0.20347941047077006</v>
      </c>
      <c r="O33" s="12">
        <f t="shared" si="62"/>
        <v>0.26240761325298856</v>
      </c>
      <c r="P33" s="12">
        <f t="shared" si="62"/>
        <v>0.2119206857573474</v>
      </c>
      <c r="Q33" s="12">
        <f t="shared" si="62"/>
        <v>0.19689110656439182</v>
      </c>
      <c r="R33" s="12">
        <f t="shared" si="62"/>
        <v>0.21207528346160484</v>
      </c>
      <c r="S33" s="12">
        <f t="shared" si="62"/>
        <v>0.22785968643980092</v>
      </c>
      <c r="T33" s="12">
        <f t="shared" si="62"/>
        <v>-0.13640836352704755</v>
      </c>
    </row>
    <row r="34" spans="1:20" ht="12.75" thickTop="1" x14ac:dyDescent="0.2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</row>
    <row r="36" spans="1:20" x14ac:dyDescent="0.2">
      <c r="A36" s="5" t="s">
        <v>340</v>
      </c>
      <c r="B36" s="3" t="str">
        <f>B5</f>
        <v>3Q23</v>
      </c>
      <c r="C36" s="3" t="str">
        <f>C5</f>
        <v>2Q23</v>
      </c>
      <c r="D36" s="3" t="str">
        <f>D5</f>
        <v>1Q23</v>
      </c>
      <c r="E36" s="3" t="str">
        <f>E5</f>
        <v>4Q22</v>
      </c>
      <c r="F36" s="3" t="str">
        <f>F5</f>
        <v>3Q22</v>
      </c>
      <c r="G36" s="3" t="str">
        <f t="shared" ref="G36:T36" si="63">G5</f>
        <v>2Q22</v>
      </c>
      <c r="H36" s="3" t="str">
        <f t="shared" si="63"/>
        <v>1Q22</v>
      </c>
      <c r="I36" s="3" t="str">
        <f t="shared" si="63"/>
        <v>4Q21</v>
      </c>
      <c r="J36" s="3" t="str">
        <f t="shared" si="63"/>
        <v>3Q21</v>
      </c>
      <c r="K36" s="3" t="str">
        <f t="shared" si="63"/>
        <v>2Q21</v>
      </c>
      <c r="L36" s="3" t="str">
        <f t="shared" si="63"/>
        <v>1Q21</v>
      </c>
      <c r="M36" s="3" t="str">
        <f t="shared" si="63"/>
        <v>4Q20</v>
      </c>
      <c r="N36" s="3" t="str">
        <f t="shared" si="63"/>
        <v>3Q20</v>
      </c>
      <c r="O36" s="3" t="str">
        <f t="shared" si="63"/>
        <v>2Q20</v>
      </c>
      <c r="P36" s="3" t="str">
        <f t="shared" si="63"/>
        <v>1Q20</v>
      </c>
      <c r="Q36" s="3" t="str">
        <f t="shared" si="63"/>
        <v>4Q19</v>
      </c>
      <c r="R36" s="3" t="str">
        <f t="shared" si="63"/>
        <v>3Q19</v>
      </c>
      <c r="S36" s="3" t="str">
        <f t="shared" si="63"/>
        <v>2Q19</v>
      </c>
      <c r="T36" s="3" t="str">
        <f t="shared" si="63"/>
        <v>1Q19</v>
      </c>
    </row>
    <row r="37" spans="1:20" x14ac:dyDescent="0.2">
      <c r="A37" s="1" t="s">
        <v>342</v>
      </c>
      <c r="B37" s="7">
        <f>DRE!B37</f>
        <v>1303463.0592</v>
      </c>
      <c r="C37" s="7">
        <f>DRE!C37</f>
        <v>1322068.8384</v>
      </c>
      <c r="D37" s="7">
        <f>DRE!D37</f>
        <v>1217673.3887999998</v>
      </c>
      <c r="E37" s="7">
        <f>DRE!E37</f>
        <v>1154103.7248</v>
      </c>
      <c r="F37" s="7">
        <f>DRE!F37</f>
        <v>1086096.1833993318</v>
      </c>
      <c r="G37" s="7">
        <f>DRE!G37</f>
        <v>1044026.8762923634</v>
      </c>
      <c r="H37" s="7">
        <f>DRE!H37</f>
        <v>786875.28352889954</v>
      </c>
      <c r="I37" s="7">
        <f>DRE!I37</f>
        <v>724778</v>
      </c>
      <c r="J37" s="7">
        <f>DRE!J37</f>
        <v>681206</v>
      </c>
      <c r="K37" s="7">
        <f>DRE!K37</f>
        <v>604003.29581454047</v>
      </c>
      <c r="L37" s="7">
        <f>DRE!L37</f>
        <v>378002.37060298701</v>
      </c>
      <c r="M37" s="7">
        <f>DRE!M37</f>
        <v>380618</v>
      </c>
      <c r="N37" s="7">
        <f>DRE!N37</f>
        <v>207271</v>
      </c>
      <c r="O37" s="7">
        <f>DRE!O37</f>
        <v>253210</v>
      </c>
      <c r="P37" s="7">
        <f>DRE!P37</f>
        <v>295690</v>
      </c>
      <c r="Q37" s="7">
        <f>DRE!Q37</f>
        <v>316138</v>
      </c>
      <c r="R37" s="7">
        <f>DRE!R37</f>
        <v>275804</v>
      </c>
      <c r="S37" s="7">
        <f>DRE!S37</f>
        <v>285636</v>
      </c>
      <c r="T37" s="7">
        <f>DRE!T37</f>
        <v>174473.61320136843</v>
      </c>
    </row>
    <row r="38" spans="1:20" x14ac:dyDescent="0.2">
      <c r="A38" s="1" t="s">
        <v>343</v>
      </c>
      <c r="B38" s="7">
        <f>DRE!B38</f>
        <v>454797.05920000002</v>
      </c>
      <c r="C38" s="7">
        <f>DRE!C38</f>
        <v>454668.83840000001</v>
      </c>
      <c r="D38" s="7">
        <f>DRE!D38</f>
        <v>420568.38879999984</v>
      </c>
      <c r="E38" s="7">
        <f>DRE!E38</f>
        <v>404842.72479999997</v>
      </c>
      <c r="F38" s="7">
        <f>DRE!F38</f>
        <v>376409.3974068953</v>
      </c>
      <c r="G38" s="7">
        <f>DRE!G38</f>
        <v>355821.4306932289</v>
      </c>
      <c r="H38" s="7">
        <f>DRE!H38</f>
        <v>284124.86114508443</v>
      </c>
      <c r="I38" s="7">
        <f>DRE!I38</f>
        <v>269966.54106736387</v>
      </c>
      <c r="J38" s="7">
        <f>DRE!J38</f>
        <v>257425</v>
      </c>
      <c r="K38" s="7">
        <f>DRE!K38</f>
        <v>229749.26956866198</v>
      </c>
      <c r="L38" s="7">
        <f>DRE!L38</f>
        <v>138920.78554525704</v>
      </c>
      <c r="M38" s="7">
        <f>DRE!M38</f>
        <v>140843</v>
      </c>
      <c r="N38" s="7">
        <f>DRE!N38</f>
        <v>76921</v>
      </c>
      <c r="O38" s="7">
        <f>DRE!O38</f>
        <v>92563</v>
      </c>
      <c r="P38" s="7">
        <f>DRE!P38</f>
        <v>107084</v>
      </c>
      <c r="Q38" s="7">
        <f>DRE!Q38</f>
        <v>114914</v>
      </c>
      <c r="R38" s="7">
        <f>DRE!R38</f>
        <v>101097</v>
      </c>
      <c r="S38" s="7">
        <f>DRE!S38</f>
        <v>104962</v>
      </c>
      <c r="T38" s="7">
        <f>DRE!T38</f>
        <v>62560.156097464424</v>
      </c>
    </row>
    <row r="39" spans="1:20" ht="12.75" thickBot="1" x14ac:dyDescent="0.25">
      <c r="A39" s="31" t="s">
        <v>341</v>
      </c>
      <c r="B39" s="33">
        <f t="shared" ref="B39:C39" si="64">+B38/B37</f>
        <v>0.34891442146364438</v>
      </c>
      <c r="C39" s="33">
        <f t="shared" si="64"/>
        <v>0.34390708349971499</v>
      </c>
      <c r="D39" s="33">
        <f t="shared" ref="D39:E39" si="65">+D38/D37</f>
        <v>0.34538686044084788</v>
      </c>
      <c r="E39" s="33">
        <f t="shared" si="65"/>
        <v>0.35078538964958028</v>
      </c>
      <c r="F39" s="33">
        <f t="shared" ref="F39:T39" si="66">+F38/F37</f>
        <v>0.34657096043628993</v>
      </c>
      <c r="G39" s="33">
        <f t="shared" si="66"/>
        <v>0.34081635135376215</v>
      </c>
      <c r="H39" s="33">
        <f t="shared" si="66"/>
        <v>0.36107991582969756</v>
      </c>
      <c r="I39" s="33">
        <f t="shared" si="66"/>
        <v>0.37248169931670644</v>
      </c>
      <c r="J39" s="33">
        <f t="shared" si="66"/>
        <v>0.37789596685877691</v>
      </c>
      <c r="K39" s="33">
        <f t="shared" si="66"/>
        <v>0.38037750979293766</v>
      </c>
      <c r="L39" s="33">
        <f t="shared" si="66"/>
        <v>0.36751300084084521</v>
      </c>
      <c r="M39" s="33">
        <f t="shared" si="66"/>
        <v>0.37003767556973133</v>
      </c>
      <c r="N39" s="33">
        <f t="shared" si="66"/>
        <v>0.37111318032913432</v>
      </c>
      <c r="O39" s="33">
        <f t="shared" si="66"/>
        <v>0.36555823229730261</v>
      </c>
      <c r="P39" s="33">
        <f t="shared" si="66"/>
        <v>0.36214954851364606</v>
      </c>
      <c r="Q39" s="33">
        <f t="shared" si="66"/>
        <v>0.36349315805123078</v>
      </c>
      <c r="R39" s="33">
        <f t="shared" si="66"/>
        <v>0.36655378457165233</v>
      </c>
      <c r="S39" s="33">
        <f t="shared" si="66"/>
        <v>0.367467686146004</v>
      </c>
      <c r="T39" s="33">
        <f t="shared" si="66"/>
        <v>0.3585651431730294</v>
      </c>
    </row>
    <row r="40" spans="1:20" ht="12.75" thickTop="1" x14ac:dyDescent="0.2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tle0 xmlns="eae2d124-db6e-4814-bc7f-bf0893cf7486" xsi:nil="true"/>
    <lcf76f155ced4ddcb4097134ff3c332f xmlns="eae2d124-db6e-4814-bc7f-bf0893cf7486">
      <Terms xmlns="http://schemas.microsoft.com/office/infopath/2007/PartnerControls"/>
    </lcf76f155ced4ddcb4097134ff3c332f>
    <TaxCatchAll xmlns="aa238423-15d8-4bc4-96a8-094b2682a7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E207A8DB01E944B720D87BCBA8EEEA" ma:contentTypeVersion="12" ma:contentTypeDescription="Crie um novo documento." ma:contentTypeScope="" ma:versionID="6b3508221baffb61efcbf48d80c66261">
  <xsd:schema xmlns:xsd="http://www.w3.org/2001/XMLSchema" xmlns:xs="http://www.w3.org/2001/XMLSchema" xmlns:p="http://schemas.microsoft.com/office/2006/metadata/properties" xmlns:ns2="eae2d124-db6e-4814-bc7f-bf0893cf7486" xmlns:ns3="aa238423-15d8-4bc4-96a8-094b2682a732" targetNamespace="http://schemas.microsoft.com/office/2006/metadata/properties" ma:root="true" ma:fieldsID="fe4aeddbba02f2f25056973b4b1fba58" ns2:_="" ns3:_="">
    <xsd:import namespace="eae2d124-db6e-4814-bc7f-bf0893cf7486"/>
    <xsd:import namespace="aa238423-15d8-4bc4-96a8-094b2682a732"/>
    <xsd:element name="properties">
      <xsd:complexType>
        <xsd:sequence>
          <xsd:element name="documentManagement">
            <xsd:complexType>
              <xsd:all>
                <xsd:element ref="ns2:Title0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2d124-db6e-4814-bc7f-bf0893cf7486" elementFormDefault="qualified">
    <xsd:import namespace="http://schemas.microsoft.com/office/2006/documentManagement/types"/>
    <xsd:import namespace="http://schemas.microsoft.com/office/infopath/2007/PartnerControls"/>
    <xsd:element name="Title0" ma:index="8" nillable="true" ma:displayName="Title" ma:description="" ma:internalName="Title0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e63e030f-98ab-46bb-8f25-7e45cc430e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38423-15d8-4bc4-96a8-094b2682a73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b44d62a-6d58-4540-a93e-2cd7f67f2746}" ma:internalName="TaxCatchAll" ma:showField="CatchAllData" ma:web="aa238423-15d8-4bc4-96a8-094b2682a7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222FC4-AEBE-4600-A718-9D949121D9D1}">
  <ds:schemaRefs>
    <ds:schemaRef ds:uri="http://schemas.microsoft.com/office/2006/metadata/properties"/>
    <ds:schemaRef ds:uri="http://schemas.microsoft.com/office/infopath/2007/PartnerControls"/>
    <ds:schemaRef ds:uri="eae2d124-db6e-4814-bc7f-bf0893cf7486"/>
    <ds:schemaRef ds:uri="aa238423-15d8-4bc4-96a8-094b2682a732"/>
  </ds:schemaRefs>
</ds:datastoreItem>
</file>

<file path=customXml/itemProps2.xml><?xml version="1.0" encoding="utf-8"?>
<ds:datastoreItem xmlns:ds="http://schemas.openxmlformats.org/officeDocument/2006/customXml" ds:itemID="{BBA334F6-5B55-45E4-9B67-44DFADDE3518}"/>
</file>

<file path=customXml/itemProps3.xml><?xml version="1.0" encoding="utf-8"?>
<ds:datastoreItem xmlns:ds="http://schemas.openxmlformats.org/officeDocument/2006/customXml" ds:itemID="{9B945261-CB45-4975-B893-5CDE8B1B86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Summary</vt:lpstr>
      <vt:lpstr>DRE</vt:lpstr>
      <vt:lpstr>Margens Bruta e EBITDA (ex-SFH)</vt:lpstr>
      <vt:lpstr>Balanço Patrimonial</vt:lpstr>
      <vt:lpstr>Geração Caixa </vt:lpstr>
      <vt:lpstr>Dados Operacionais</vt:lpstr>
      <vt:lpstr>Dívida</vt:lpstr>
      <vt:lpstr>Lançamentos</vt:lpstr>
      <vt:lpstr>Income Statement</vt:lpstr>
      <vt:lpstr>Gross Margin &amp; EBITDA (ex-SFH)</vt:lpstr>
      <vt:lpstr>Balance Sheet</vt:lpstr>
      <vt:lpstr>Cash Generation</vt:lpstr>
      <vt:lpstr>Operating Data</vt:lpstr>
      <vt:lpstr>Debt</vt:lpstr>
      <vt:lpstr>Launches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Rodrigues</dc:creator>
  <cp:lastModifiedBy>Vitor Charak</cp:lastModifiedBy>
  <dcterms:created xsi:type="dcterms:W3CDTF">2020-10-26T19:10:55Z</dcterms:created>
  <dcterms:modified xsi:type="dcterms:W3CDTF">2023-12-01T14:48:18Z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0x01010044E207A8DB01E944B720D87BCBA8EEEA</vt:lpwstr>
  </property>
  <property fmtid="{D5CDD505-2E9C-101B-9397-08002B2CF9AE}" pid="3" name="MediaServiceImageTags">
    <vt:lpwstr/>
  </property>
</Properties>
</file>