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anicombr-my.sharepoint.com/personal/giovanabucco_irani_com_br/Documents/Área de Trabalho/Resultado 4T25/Dados Históricos/"/>
    </mc:Choice>
  </mc:AlternateContent>
  <xr:revisionPtr revIDLastSave="5645" documentId="114_{65513613-5D00-4E7D-A6C7-38AA80A99ED0}" xr6:coauthVersionLast="47" xr6:coauthVersionMax="47" xr10:uidLastSave="{234FB5C8-A8B4-4D40-BB4B-76846F4A987B}"/>
  <bookViews>
    <workbookView xWindow="-120" yWindow="-120" windowWidth="29040" windowHeight="15720" tabRatio="604" activeTab="1" xr2:uid="{00000000-000D-0000-FFFF-FFFF00000000}"/>
  </bookViews>
  <sheets>
    <sheet name="Capa" sheetId="14" r:id="rId1"/>
    <sheet name="01. DRE e EBITDA" sheetId="20" r:id="rId2"/>
    <sheet name="02. BP" sheetId="1" r:id="rId3"/>
    <sheet name="03. FC" sheetId="9" r:id="rId4"/>
    <sheet name="04. Endividamento" sheetId="2" r:id="rId5"/>
    <sheet name="05. Dados Históricos" sheetId="19" r:id="rId6"/>
    <sheet name="06. Dividendos" sheetId="15" r:id="rId7"/>
    <sheet name="07. Série Histórica Empapel" sheetId="17" r:id="rId8"/>
    <sheet name="08. Preço Histórico Aparas" sheetId="18" r:id="rId9"/>
  </sheets>
  <definedNames>
    <definedName name="_xlnm.Print_Area" localSheetId="2">'02. BP'!$A$1:$W$74</definedName>
    <definedName name="_xlnm.Print_Area" localSheetId="3">'03. FC'!$A$4:$Q$98</definedName>
    <definedName name="_xlnm.Print_Area" localSheetId="4">'04. Endividamento'!$A$4:$Q$86</definedName>
    <definedName name="_xlnm.Print_Area" localSheetId="6">'06. Dividendos'!$A$4:$Q$46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7" l="1"/>
  <c r="E5" i="17"/>
  <c r="E6" i="17"/>
  <c r="AO10" i="15" l="1"/>
  <c r="E55" i="19"/>
  <c r="F55" i="19"/>
  <c r="G55" i="19"/>
  <c r="H55" i="19"/>
  <c r="I55" i="19"/>
  <c r="K55" i="19"/>
  <c r="L55" i="19"/>
  <c r="M55" i="19"/>
  <c r="AC55" i="19" s="1"/>
  <c r="N55" i="19"/>
  <c r="O55" i="19"/>
  <c r="Q55" i="19"/>
  <c r="R55" i="19"/>
  <c r="AB55" i="19" s="1"/>
  <c r="S55" i="19"/>
  <c r="T55" i="19"/>
  <c r="U55" i="19"/>
  <c r="V55" i="19"/>
  <c r="W55" i="19"/>
  <c r="X55" i="19"/>
  <c r="Y55" i="19"/>
  <c r="AD55" i="19" l="1"/>
  <c r="AB8" i="19" l="1"/>
  <c r="AC8" i="19"/>
  <c r="AD8" i="19"/>
  <c r="D22" i="2"/>
  <c r="E22" i="2"/>
  <c r="F22" i="2"/>
  <c r="G22" i="2"/>
  <c r="H22" i="2"/>
  <c r="I22" i="2"/>
  <c r="AO85" i="2"/>
  <c r="AO86" i="2" s="1"/>
  <c r="AO84" i="2"/>
  <c r="AO83" i="2"/>
  <c r="AO82" i="2"/>
  <c r="AO81" i="2"/>
  <c r="J22" i="2"/>
  <c r="I23" i="2"/>
  <c r="J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O59" i="2"/>
  <c r="AO60" i="2"/>
  <c r="AO47" i="2"/>
  <c r="AO12" i="2"/>
  <c r="AO25" i="2"/>
  <c r="AO35" i="2"/>
  <c r="AO58" i="2" l="1"/>
  <c r="AO10" i="2"/>
  <c r="AO33" i="2"/>
  <c r="AO74" i="9"/>
  <c r="AO62" i="9"/>
  <c r="AO49" i="9"/>
  <c r="AO32" i="9"/>
  <c r="AO10" i="9"/>
  <c r="AO66" i="1"/>
  <c r="AO54" i="1"/>
  <c r="AO40" i="1"/>
  <c r="AO24" i="1"/>
  <c r="AO12" i="1"/>
  <c r="AO50" i="20"/>
  <c r="AO40" i="20"/>
  <c r="AO24" i="20"/>
  <c r="AO10" i="20"/>
  <c r="AO31" i="20" s="1"/>
  <c r="AO54" i="2" l="1"/>
  <c r="AO63" i="2" s="1"/>
  <c r="AO47" i="9"/>
  <c r="AO72" i="9" s="1"/>
  <c r="AO75" i="9" s="1"/>
  <c r="AO38" i="1"/>
  <c r="AO10" i="1"/>
  <c r="AO14" i="20"/>
  <c r="AO61" i="20"/>
  <c r="AO73" i="20"/>
  <c r="AO41" i="20"/>
  <c r="AO17" i="20"/>
  <c r="AO43" i="20"/>
  <c r="AO21" i="20"/>
  <c r="AO51" i="20"/>
  <c r="AO25" i="20"/>
  <c r="AO27" i="20"/>
  <c r="AO33" i="20"/>
  <c r="AO83" i="20"/>
  <c r="AO35" i="20"/>
  <c r="AO93" i="20"/>
  <c r="AO53" i="20"/>
  <c r="AO75" i="20"/>
  <c r="AO19" i="20"/>
  <c r="AO55" i="20"/>
  <c r="AO77" i="20"/>
  <c r="AO29" i="20"/>
  <c r="AO45" i="20"/>
  <c r="AO87" i="20"/>
  <c r="AO85" i="20"/>
  <c r="AO12" i="20"/>
  <c r="AO22" i="20" l="1"/>
  <c r="AO37" i="20"/>
  <c r="AO47" i="20" l="1"/>
  <c r="AO38" i="20"/>
  <c r="AO48" i="20" l="1"/>
  <c r="AO57" i="20"/>
  <c r="AO69" i="20"/>
  <c r="AO79" i="20" l="1"/>
  <c r="AO70" i="20"/>
  <c r="AO63" i="20"/>
  <c r="AO64" i="20" s="1"/>
  <c r="AO58" i="20"/>
  <c r="AO80" i="20" l="1"/>
  <c r="AO89" i="20"/>
  <c r="AO90" i="20" l="1"/>
  <c r="AO95" i="20"/>
  <c r="AO96" i="20" s="1"/>
  <c r="I85" i="2" l="1"/>
  <c r="E7" i="17"/>
  <c r="E8" i="17"/>
  <c r="E9" i="17"/>
  <c r="AN10" i="15" l="1"/>
  <c r="AB9" i="19"/>
  <c r="AC9" i="19"/>
  <c r="AD9" i="19"/>
  <c r="AN84" i="2" l="1"/>
  <c r="AN83" i="2"/>
  <c r="AN82" i="2"/>
  <c r="AN81" i="2"/>
  <c r="AN85" i="2"/>
  <c r="J85" i="2" s="1"/>
  <c r="AN60" i="2"/>
  <c r="AN59" i="2"/>
  <c r="AN47" i="2"/>
  <c r="AN35" i="2"/>
  <c r="AN25" i="2"/>
  <c r="AN12" i="2"/>
  <c r="H29" i="9"/>
  <c r="I29" i="9"/>
  <c r="AN86" i="2" l="1"/>
  <c r="AN58" i="2"/>
  <c r="AN33" i="2"/>
  <c r="AN10" i="2"/>
  <c r="AN62" i="9"/>
  <c r="AN49" i="9"/>
  <c r="AN32" i="9"/>
  <c r="AN10" i="9"/>
  <c r="AN66" i="1"/>
  <c r="AN40" i="1"/>
  <c r="AN24" i="1"/>
  <c r="AN54" i="2" l="1"/>
  <c r="AN63" i="2" s="1"/>
  <c r="AN47" i="9"/>
  <c r="AN72" i="9" s="1"/>
  <c r="AN54" i="1" l="1"/>
  <c r="AN38" i="1" s="1"/>
  <c r="AN12" i="1"/>
  <c r="AN10" i="1" s="1"/>
  <c r="AN50" i="20"/>
  <c r="AN40" i="20"/>
  <c r="AN24" i="20"/>
  <c r="AN10" i="20"/>
  <c r="AN55" i="20" s="1"/>
  <c r="AN21" i="20" l="1"/>
  <c r="AN22" i="20" s="1"/>
  <c r="AN25" i="20"/>
  <c r="AN19" i="20"/>
  <c r="AN77" i="20"/>
  <c r="AN41" i="20"/>
  <c r="AN83" i="20"/>
  <c r="AN85" i="20"/>
  <c r="AN51" i="20"/>
  <c r="AN87" i="20"/>
  <c r="AN43" i="20"/>
  <c r="AN73" i="20"/>
  <c r="AN93" i="20"/>
  <c r="AN75" i="20"/>
  <c r="AN27" i="20"/>
  <c r="AN14" i="20"/>
  <c r="AN33" i="20"/>
  <c r="AN61" i="20"/>
  <c r="AN17" i="20"/>
  <c r="AN35" i="20"/>
  <c r="AN45" i="20"/>
  <c r="AN29" i="20"/>
  <c r="AN53" i="20"/>
  <c r="AN12" i="20"/>
  <c r="AN31" i="20"/>
  <c r="AN37" i="20" l="1"/>
  <c r="AN47" i="20" l="1"/>
  <c r="AN38" i="20"/>
  <c r="AN69" i="20" l="1"/>
  <c r="AN48" i="20"/>
  <c r="AN57" i="20"/>
  <c r="AN70" i="20" l="1"/>
  <c r="AN79" i="20"/>
  <c r="AN58" i="20"/>
  <c r="AN63" i="20"/>
  <c r="AN64" i="20" s="1"/>
  <c r="AN89" i="20" l="1"/>
  <c r="AN80" i="20"/>
  <c r="AM86" i="2"/>
  <c r="J75" i="2"/>
  <c r="J76" i="2"/>
  <c r="J77" i="2"/>
  <c r="J78" i="2"/>
  <c r="J79" i="2"/>
  <c r="J80" i="2"/>
  <c r="J81" i="2"/>
  <c r="J82" i="2"/>
  <c r="J83" i="2"/>
  <c r="J84" i="2"/>
  <c r="D10" i="18"/>
  <c r="E10" i="18"/>
  <c r="F10" i="18"/>
  <c r="G10" i="18"/>
  <c r="H10" i="18"/>
  <c r="I10" i="18"/>
  <c r="C10" i="18"/>
  <c r="C9" i="18"/>
  <c r="E9" i="18"/>
  <c r="F9" i="18"/>
  <c r="G9" i="18"/>
  <c r="H9" i="18"/>
  <c r="D9" i="18"/>
  <c r="H14" i="15"/>
  <c r="I14" i="15"/>
  <c r="D14" i="15"/>
  <c r="E11" i="15"/>
  <c r="H11" i="15"/>
  <c r="I11" i="15"/>
  <c r="D11" i="15"/>
  <c r="AK10" i="20"/>
  <c r="AJ10" i="20"/>
  <c r="AJ19" i="20" s="1"/>
  <c r="AN95" i="20" l="1"/>
  <c r="AN96" i="20" s="1"/>
  <c r="AN90" i="20"/>
  <c r="J86" i="2"/>
  <c r="L92" i="20"/>
  <c r="L86" i="20"/>
  <c r="L84" i="20"/>
  <c r="L82" i="20"/>
  <c r="L76" i="20"/>
  <c r="L74" i="20"/>
  <c r="L72" i="20"/>
  <c r="L60" i="20"/>
  <c r="L54" i="20"/>
  <c r="L52" i="20"/>
  <c r="AM50" i="20"/>
  <c r="AL50" i="20"/>
  <c r="AJ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L44" i="20"/>
  <c r="AM40" i="20"/>
  <c r="AL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L34" i="20"/>
  <c r="AC32" i="20"/>
  <c r="AC24" i="20" s="1"/>
  <c r="L32" i="20"/>
  <c r="L30" i="20"/>
  <c r="L28" i="20"/>
  <c r="AM24" i="20"/>
  <c r="AL24" i="20"/>
  <c r="AJ24" i="20"/>
  <c r="AI24" i="20"/>
  <c r="AH24" i="20"/>
  <c r="AG24" i="20"/>
  <c r="AF24" i="20"/>
  <c r="AE24" i="20"/>
  <c r="AD24" i="20"/>
  <c r="AB24" i="20"/>
  <c r="AB37" i="20" s="1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L18" i="20"/>
  <c r="L16" i="20"/>
  <c r="L13" i="20"/>
  <c r="L11" i="20"/>
  <c r="AM10" i="20"/>
  <c r="AM55" i="20" s="1"/>
  <c r="AL10" i="20"/>
  <c r="AL45" i="20" s="1"/>
  <c r="AJ21" i="20"/>
  <c r="AI10" i="20"/>
  <c r="AI33" i="20" s="1"/>
  <c r="AH12" i="20"/>
  <c r="AG10" i="20"/>
  <c r="AF10" i="20"/>
  <c r="AE10" i="20"/>
  <c r="AE73" i="20" s="1"/>
  <c r="AD10" i="20"/>
  <c r="AD53" i="20" s="1"/>
  <c r="AC10" i="20"/>
  <c r="AC87" i="20" s="1"/>
  <c r="AB10" i="20"/>
  <c r="AB87" i="20" s="1"/>
  <c r="AA10" i="20"/>
  <c r="AA33" i="20" s="1"/>
  <c r="Z10" i="20"/>
  <c r="Z33" i="20" s="1"/>
  <c r="Y10" i="20"/>
  <c r="Y33" i="20" s="1"/>
  <c r="X10" i="20"/>
  <c r="X35" i="20" s="1"/>
  <c r="W10" i="20"/>
  <c r="W12" i="20" s="1"/>
  <c r="V10" i="20"/>
  <c r="V31" i="20" s="1"/>
  <c r="U10" i="20"/>
  <c r="T10" i="20"/>
  <c r="T27" i="20" s="1"/>
  <c r="S10" i="20"/>
  <c r="S27" i="20" s="1"/>
  <c r="R10" i="20"/>
  <c r="R17" i="20" s="1"/>
  <c r="Q10" i="20"/>
  <c r="Q33" i="20" s="1"/>
  <c r="P10" i="20"/>
  <c r="P17" i="20" s="1"/>
  <c r="O10" i="20"/>
  <c r="N10" i="20"/>
  <c r="N19" i="20" s="1"/>
  <c r="AJ5" i="20"/>
  <c r="AI5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I9" i="18"/>
  <c r="R12" i="20" l="1"/>
  <c r="S51" i="20"/>
  <c r="AA51" i="20"/>
  <c r="Z43" i="20"/>
  <c r="R14" i="20"/>
  <c r="AH14" i="20"/>
  <c r="Z29" i="20"/>
  <c r="V41" i="20"/>
  <c r="S12" i="20"/>
  <c r="AH17" i="20"/>
  <c r="Z12" i="20"/>
  <c r="N25" i="20"/>
  <c r="AD25" i="20"/>
  <c r="R33" i="20"/>
  <c r="AB41" i="20"/>
  <c r="S14" i="20"/>
  <c r="X29" i="20"/>
  <c r="AA21" i="20"/>
  <c r="AA12" i="20"/>
  <c r="AB12" i="20"/>
  <c r="AB35" i="20"/>
  <c r="T51" i="20"/>
  <c r="Q17" i="20"/>
  <c r="P25" i="20"/>
  <c r="X25" i="20"/>
  <c r="AF25" i="20"/>
  <c r="O25" i="20"/>
  <c r="Q25" i="20"/>
  <c r="Y25" i="20"/>
  <c r="AG25" i="20"/>
  <c r="AB27" i="20"/>
  <c r="F44" i="20"/>
  <c r="R25" i="20"/>
  <c r="Z25" i="20"/>
  <c r="AH25" i="20"/>
  <c r="T12" i="20"/>
  <c r="T14" i="20"/>
  <c r="Y29" i="20"/>
  <c r="S33" i="20"/>
  <c r="AI14" i="20"/>
  <c r="AI27" i="20"/>
  <c r="AI12" i="20"/>
  <c r="AI51" i="20"/>
  <c r="AK40" i="20"/>
  <c r="AK12" i="20"/>
  <c r="AK50" i="20"/>
  <c r="L50" i="20"/>
  <c r="AK24" i="20"/>
  <c r="L10" i="20"/>
  <c r="L14" i="20" s="1"/>
  <c r="AJ12" i="20"/>
  <c r="AJ37" i="20"/>
  <c r="AJ22" i="20"/>
  <c r="U93" i="20"/>
  <c r="U83" i="20"/>
  <c r="U73" i="20"/>
  <c r="U77" i="20"/>
  <c r="U53" i="20"/>
  <c r="U87" i="20"/>
  <c r="U75" i="20"/>
  <c r="U45" i="20"/>
  <c r="U55" i="20"/>
  <c r="U85" i="20"/>
  <c r="U43" i="20"/>
  <c r="U41" i="20"/>
  <c r="U61" i="20"/>
  <c r="U35" i="20"/>
  <c r="U29" i="20"/>
  <c r="U17" i="20"/>
  <c r="U33" i="20"/>
  <c r="H16" i="20"/>
  <c r="F30" i="20"/>
  <c r="J76" i="20"/>
  <c r="F13" i="20"/>
  <c r="AC14" i="20"/>
  <c r="U21" i="20"/>
  <c r="I32" i="20"/>
  <c r="N73" i="20"/>
  <c r="N85" i="20"/>
  <c r="N61" i="20"/>
  <c r="N93" i="20"/>
  <c r="N75" i="20"/>
  <c r="N53" i="20"/>
  <c r="N87" i="20"/>
  <c r="N77" i="20"/>
  <c r="N43" i="20"/>
  <c r="N83" i="20"/>
  <c r="N45" i="20"/>
  <c r="N29" i="20"/>
  <c r="N17" i="20"/>
  <c r="N33" i="20"/>
  <c r="N55" i="20"/>
  <c r="N27" i="20"/>
  <c r="N21" i="20"/>
  <c r="N14" i="20"/>
  <c r="V73" i="20"/>
  <c r="V93" i="20"/>
  <c r="V83" i="20"/>
  <c r="V87" i="20"/>
  <c r="V55" i="20"/>
  <c r="V85" i="20"/>
  <c r="V77" i="20"/>
  <c r="V43" i="20"/>
  <c r="V53" i="20"/>
  <c r="V75" i="20"/>
  <c r="V61" i="20"/>
  <c r="V35" i="20"/>
  <c r="V29" i="20"/>
  <c r="V17" i="20"/>
  <c r="V33" i="20"/>
  <c r="V51" i="20"/>
  <c r="V27" i="20"/>
  <c r="V21" i="20"/>
  <c r="V14" i="20"/>
  <c r="AD73" i="20"/>
  <c r="AD85" i="20"/>
  <c r="AD77" i="20"/>
  <c r="AD75" i="20"/>
  <c r="AD83" i="20"/>
  <c r="AD93" i="20"/>
  <c r="AD61" i="20"/>
  <c r="AD43" i="20"/>
  <c r="AD55" i="20"/>
  <c r="AD29" i="20"/>
  <c r="AD17" i="20"/>
  <c r="AD45" i="20"/>
  <c r="AD33" i="20"/>
  <c r="AD35" i="20"/>
  <c r="AD27" i="20"/>
  <c r="AD14" i="20"/>
  <c r="AL73" i="20"/>
  <c r="AL93" i="20"/>
  <c r="AL87" i="20"/>
  <c r="AL61" i="20"/>
  <c r="AL85" i="20"/>
  <c r="AL77" i="20"/>
  <c r="AL75" i="20"/>
  <c r="AL33" i="20"/>
  <c r="AL83" i="20"/>
  <c r="AL53" i="20"/>
  <c r="AL43" i="20"/>
  <c r="AL41" i="20"/>
  <c r="AL29" i="20"/>
  <c r="AL17" i="20"/>
  <c r="AL27" i="20"/>
  <c r="AL14" i="20"/>
  <c r="J11" i="20"/>
  <c r="G13" i="20"/>
  <c r="AE14" i="20"/>
  <c r="I16" i="20"/>
  <c r="D18" i="20"/>
  <c r="O19" i="20"/>
  <c r="AL19" i="20"/>
  <c r="AE25" i="20"/>
  <c r="AC27" i="20"/>
  <c r="W31" i="20"/>
  <c r="J32" i="20"/>
  <c r="G34" i="20"/>
  <c r="AM45" i="20"/>
  <c r="AL51" i="20"/>
  <c r="I92" i="20"/>
  <c r="G86" i="20"/>
  <c r="I84" i="20"/>
  <c r="H92" i="20"/>
  <c r="F86" i="20"/>
  <c r="H84" i="20"/>
  <c r="J82" i="20"/>
  <c r="H76" i="20"/>
  <c r="J74" i="20"/>
  <c r="D72" i="20"/>
  <c r="I60" i="20"/>
  <c r="G92" i="20"/>
  <c r="E86" i="20"/>
  <c r="G84" i="20"/>
  <c r="I82" i="20"/>
  <c r="G76" i="20"/>
  <c r="I74" i="20"/>
  <c r="H86" i="20"/>
  <c r="D82" i="20"/>
  <c r="E76" i="20"/>
  <c r="D86" i="20"/>
  <c r="J84" i="20"/>
  <c r="D76" i="20"/>
  <c r="D74" i="20"/>
  <c r="E72" i="20"/>
  <c r="D60" i="20"/>
  <c r="I54" i="20"/>
  <c r="D52" i="20"/>
  <c r="J92" i="20"/>
  <c r="F84" i="20"/>
  <c r="H54" i="20"/>
  <c r="F92" i="20"/>
  <c r="E84" i="20"/>
  <c r="G54" i="20"/>
  <c r="J52" i="20"/>
  <c r="E92" i="20"/>
  <c r="D84" i="20"/>
  <c r="H82" i="20"/>
  <c r="F76" i="20"/>
  <c r="F74" i="20"/>
  <c r="J72" i="20"/>
  <c r="J60" i="20"/>
  <c r="D54" i="20"/>
  <c r="D44" i="20"/>
  <c r="G42" i="20"/>
  <c r="J34" i="20"/>
  <c r="E74" i="20"/>
  <c r="I72" i="20"/>
  <c r="H60" i="20"/>
  <c r="I52" i="20"/>
  <c r="F42" i="20"/>
  <c r="G82" i="20"/>
  <c r="H72" i="20"/>
  <c r="G60" i="20"/>
  <c r="H52" i="20"/>
  <c r="J44" i="20"/>
  <c r="E42" i="20"/>
  <c r="H34" i="20"/>
  <c r="D92" i="20"/>
  <c r="F82" i="20"/>
  <c r="G72" i="20"/>
  <c r="F60" i="20"/>
  <c r="G52" i="20"/>
  <c r="I44" i="20"/>
  <c r="D42" i="20"/>
  <c r="J86" i="20"/>
  <c r="E82" i="20"/>
  <c r="F72" i="20"/>
  <c r="E60" i="20"/>
  <c r="F52" i="20"/>
  <c r="H44" i="20"/>
  <c r="J54" i="20"/>
  <c r="E44" i="20"/>
  <c r="H42" i="20"/>
  <c r="F34" i="20"/>
  <c r="H32" i="20"/>
  <c r="F28" i="20"/>
  <c r="I26" i="20"/>
  <c r="F16" i="20"/>
  <c r="I86" i="20"/>
  <c r="F54" i="20"/>
  <c r="E34" i="20"/>
  <c r="G32" i="20"/>
  <c r="J30" i="20"/>
  <c r="E28" i="20"/>
  <c r="H26" i="20"/>
  <c r="J18" i="20"/>
  <c r="E16" i="20"/>
  <c r="E54" i="20"/>
  <c r="D34" i="20"/>
  <c r="F32" i="20"/>
  <c r="I30" i="20"/>
  <c r="D28" i="20"/>
  <c r="G26" i="20"/>
  <c r="I18" i="20"/>
  <c r="D16" i="20"/>
  <c r="H74" i="20"/>
  <c r="E32" i="20"/>
  <c r="H30" i="20"/>
  <c r="F26" i="20"/>
  <c r="H18" i="20"/>
  <c r="G74" i="20"/>
  <c r="D32" i="20"/>
  <c r="G30" i="20"/>
  <c r="J28" i="20"/>
  <c r="E26" i="20"/>
  <c r="G18" i="20"/>
  <c r="J16" i="20"/>
  <c r="I34" i="20"/>
  <c r="AC35" i="20"/>
  <c r="AC41" i="20"/>
  <c r="G44" i="20"/>
  <c r="AM51" i="20"/>
  <c r="W73" i="20"/>
  <c r="E18" i="20"/>
  <c r="AM19" i="20"/>
  <c r="P87" i="20"/>
  <c r="P85" i="20"/>
  <c r="P61" i="20"/>
  <c r="P93" i="20"/>
  <c r="P83" i="20"/>
  <c r="P77" i="20"/>
  <c r="P75" i="20"/>
  <c r="P73" i="20"/>
  <c r="P55" i="20"/>
  <c r="P43" i="20"/>
  <c r="P53" i="20"/>
  <c r="P33" i="20"/>
  <c r="P27" i="20"/>
  <c r="P21" i="20"/>
  <c r="P14" i="20"/>
  <c r="P35" i="20"/>
  <c r="P31" i="20"/>
  <c r="P19" i="20"/>
  <c r="X87" i="20"/>
  <c r="X61" i="20"/>
  <c r="X85" i="20"/>
  <c r="X55" i="20"/>
  <c r="X43" i="20"/>
  <c r="X53" i="20"/>
  <c r="X83" i="20"/>
  <c r="X33" i="20"/>
  <c r="X27" i="20"/>
  <c r="X21" i="20"/>
  <c r="X14" i="20"/>
  <c r="X93" i="20"/>
  <c r="X77" i="20"/>
  <c r="X45" i="20"/>
  <c r="X31" i="20"/>
  <c r="X19" i="20"/>
  <c r="AF87" i="20"/>
  <c r="AF83" i="20"/>
  <c r="AF93" i="20"/>
  <c r="AF61" i="20"/>
  <c r="AF55" i="20"/>
  <c r="AF43" i="20"/>
  <c r="AF75" i="20"/>
  <c r="AF73" i="20"/>
  <c r="AF45" i="20"/>
  <c r="AF33" i="20"/>
  <c r="AF77" i="20"/>
  <c r="AF35" i="20"/>
  <c r="AF27" i="20"/>
  <c r="AF14" i="20"/>
  <c r="AF85" i="20"/>
  <c r="AF53" i="20"/>
  <c r="AF21" i="20"/>
  <c r="AF31" i="20"/>
  <c r="AF19" i="20"/>
  <c r="D11" i="20"/>
  <c r="U12" i="20"/>
  <c r="AC12" i="20"/>
  <c r="I13" i="20"/>
  <c r="U14" i="20"/>
  <c r="X17" i="20"/>
  <c r="F18" i="20"/>
  <c r="V19" i="20"/>
  <c r="AD21" i="20"/>
  <c r="S25" i="20"/>
  <c r="AA25" i="20"/>
  <c r="AI25" i="20"/>
  <c r="AL25" i="20"/>
  <c r="AJ27" i="20"/>
  <c r="AF29" i="20"/>
  <c r="AD31" i="20"/>
  <c r="AC33" i="20"/>
  <c r="AL35" i="20"/>
  <c r="I42" i="20"/>
  <c r="U51" i="20"/>
  <c r="AC51" i="20"/>
  <c r="E52" i="20"/>
  <c r="X73" i="20"/>
  <c r="Q87" i="20"/>
  <c r="Q93" i="20"/>
  <c r="Q85" i="20"/>
  <c r="Q77" i="20"/>
  <c r="Q83" i="20"/>
  <c r="Q75" i="20"/>
  <c r="Q73" i="20"/>
  <c r="Q55" i="20"/>
  <c r="Q61" i="20"/>
  <c r="Q35" i="20"/>
  <c r="Q45" i="20"/>
  <c r="Q43" i="20"/>
  <c r="Q27" i="20"/>
  <c r="Q21" i="20"/>
  <c r="Q14" i="20"/>
  <c r="Q31" i="20"/>
  <c r="Q19" i="20"/>
  <c r="Y87" i="20"/>
  <c r="Y93" i="20"/>
  <c r="Y85" i="20"/>
  <c r="Y77" i="20"/>
  <c r="Y61" i="20"/>
  <c r="Y55" i="20"/>
  <c r="Y75" i="20"/>
  <c r="Y73" i="20"/>
  <c r="Y53" i="20"/>
  <c r="Y35" i="20"/>
  <c r="Y83" i="20"/>
  <c r="Y51" i="20"/>
  <c r="Y45" i="20"/>
  <c r="Y27" i="20"/>
  <c r="Y21" i="20"/>
  <c r="Y14" i="20"/>
  <c r="Y31" i="20"/>
  <c r="Y19" i="20"/>
  <c r="AG87" i="20"/>
  <c r="AG85" i="20"/>
  <c r="AG77" i="20"/>
  <c r="AG83" i="20"/>
  <c r="AG55" i="20"/>
  <c r="AG75" i="20"/>
  <c r="AG35" i="20"/>
  <c r="AG73" i="20"/>
  <c r="AG53" i="20"/>
  <c r="AG51" i="20"/>
  <c r="AG45" i="20"/>
  <c r="AG27" i="20"/>
  <c r="AG14" i="20"/>
  <c r="AG21" i="20"/>
  <c r="AG43" i="20"/>
  <c r="AG31" i="20"/>
  <c r="AG19" i="20"/>
  <c r="E11" i="20"/>
  <c r="N12" i="20"/>
  <c r="V12" i="20"/>
  <c r="AD12" i="20"/>
  <c r="AL12" i="20"/>
  <c r="J13" i="20"/>
  <c r="W14" i="20"/>
  <c r="AJ14" i="20"/>
  <c r="Y17" i="20"/>
  <c r="W19" i="20"/>
  <c r="T25" i="20"/>
  <c r="AB38" i="20"/>
  <c r="AJ25" i="20"/>
  <c r="AM25" i="20"/>
  <c r="AG29" i="20"/>
  <c r="AE31" i="20"/>
  <c r="AM35" i="20"/>
  <c r="J42" i="20"/>
  <c r="AB47" i="20"/>
  <c r="AD51" i="20"/>
  <c r="AL55" i="20"/>
  <c r="AD87" i="20"/>
  <c r="AC93" i="20"/>
  <c r="AC83" i="20"/>
  <c r="AC73" i="20"/>
  <c r="AC85" i="20"/>
  <c r="AC53" i="20"/>
  <c r="AC77" i="20"/>
  <c r="AC75" i="20"/>
  <c r="AC45" i="20"/>
  <c r="AC61" i="20"/>
  <c r="AC43" i="20"/>
  <c r="AC55" i="20"/>
  <c r="AC29" i="20"/>
  <c r="AC17" i="20"/>
  <c r="O87" i="20"/>
  <c r="O85" i="20"/>
  <c r="O61" i="20"/>
  <c r="O93" i="20"/>
  <c r="O83" i="20"/>
  <c r="O77" i="20"/>
  <c r="O75" i="20"/>
  <c r="O53" i="20"/>
  <c r="O43" i="20"/>
  <c r="O73" i="20"/>
  <c r="O51" i="20"/>
  <c r="O55" i="20"/>
  <c r="O29" i="20"/>
  <c r="O17" i="20"/>
  <c r="O33" i="20"/>
  <c r="O27" i="20"/>
  <c r="O21" i="20"/>
  <c r="AE87" i="20"/>
  <c r="AE77" i="20"/>
  <c r="AE83" i="20"/>
  <c r="AE93" i="20"/>
  <c r="AE85" i="20"/>
  <c r="AE61" i="20"/>
  <c r="AE43" i="20"/>
  <c r="AE55" i="20"/>
  <c r="AE75" i="20"/>
  <c r="AE51" i="20"/>
  <c r="AE29" i="20"/>
  <c r="AE17" i="20"/>
  <c r="AE45" i="20"/>
  <c r="AE33" i="20"/>
  <c r="AE35" i="20"/>
  <c r="AE27" i="20"/>
  <c r="AE53" i="20"/>
  <c r="AE21" i="20"/>
  <c r="H13" i="20"/>
  <c r="U19" i="20"/>
  <c r="AC21" i="20"/>
  <c r="AC31" i="20"/>
  <c r="R93" i="20"/>
  <c r="R85" i="20"/>
  <c r="R77" i="20"/>
  <c r="R83" i="20"/>
  <c r="R75" i="20"/>
  <c r="R73" i="20"/>
  <c r="R55" i="20"/>
  <c r="R61" i="20"/>
  <c r="R87" i="20"/>
  <c r="R51" i="20"/>
  <c r="R35" i="20"/>
  <c r="R45" i="20"/>
  <c r="R43" i="20"/>
  <c r="R27" i="20"/>
  <c r="R21" i="20"/>
  <c r="R31" i="20"/>
  <c r="R19" i="20"/>
  <c r="Z93" i="20"/>
  <c r="Z85" i="20"/>
  <c r="Z77" i="20"/>
  <c r="Z87" i="20"/>
  <c r="Z55" i="20"/>
  <c r="Z75" i="20"/>
  <c r="Z73" i="20"/>
  <c r="Z83" i="20"/>
  <c r="Z53" i="20"/>
  <c r="Z35" i="20"/>
  <c r="Z51" i="20"/>
  <c r="Z45" i="20"/>
  <c r="Z61" i="20"/>
  <c r="Z27" i="20"/>
  <c r="Z21" i="20"/>
  <c r="Z31" i="20"/>
  <c r="Z19" i="20"/>
  <c r="AH85" i="20"/>
  <c r="AH77" i="20"/>
  <c r="AH55" i="20"/>
  <c r="AH87" i="20"/>
  <c r="AH75" i="20"/>
  <c r="AH35" i="20"/>
  <c r="AH83" i="20"/>
  <c r="AH73" i="20"/>
  <c r="AH53" i="20"/>
  <c r="AH51" i="20"/>
  <c r="AH45" i="20"/>
  <c r="AH27" i="20"/>
  <c r="AH21" i="20"/>
  <c r="AH43" i="20"/>
  <c r="AH31" i="20"/>
  <c r="AH19" i="20"/>
  <c r="F11" i="20"/>
  <c r="O12" i="20"/>
  <c r="AE12" i="20"/>
  <c r="AM12" i="20"/>
  <c r="Z14" i="20"/>
  <c r="Z17" i="20"/>
  <c r="AC19" i="20"/>
  <c r="U25" i="20"/>
  <c r="AC25" i="20"/>
  <c r="V25" i="20"/>
  <c r="D26" i="20"/>
  <c r="G28" i="20"/>
  <c r="P29" i="20"/>
  <c r="AH29" i="20"/>
  <c r="N31" i="20"/>
  <c r="N41" i="20"/>
  <c r="AD41" i="20"/>
  <c r="AM41" i="20"/>
  <c r="O45" i="20"/>
  <c r="I11" i="20"/>
  <c r="W87" i="20"/>
  <c r="W61" i="20"/>
  <c r="W85" i="20"/>
  <c r="W77" i="20"/>
  <c r="W43" i="20"/>
  <c r="W53" i="20"/>
  <c r="W75" i="20"/>
  <c r="W35" i="20"/>
  <c r="W29" i="20"/>
  <c r="W17" i="20"/>
  <c r="W33" i="20"/>
  <c r="W55" i="20"/>
  <c r="W27" i="20"/>
  <c r="W21" i="20"/>
  <c r="W93" i="20"/>
  <c r="W45" i="20"/>
  <c r="AM93" i="20"/>
  <c r="AM87" i="20"/>
  <c r="AM61" i="20"/>
  <c r="AM85" i="20"/>
  <c r="AM77" i="20"/>
  <c r="AM75" i="20"/>
  <c r="AM73" i="20"/>
  <c r="AM83" i="20"/>
  <c r="AM53" i="20"/>
  <c r="AM43" i="20"/>
  <c r="AM29" i="20"/>
  <c r="AM17" i="20"/>
  <c r="AM33" i="20"/>
  <c r="AM27" i="20"/>
  <c r="AM21" i="20"/>
  <c r="S93" i="20"/>
  <c r="S85" i="20"/>
  <c r="S61" i="20"/>
  <c r="S83" i="20"/>
  <c r="S75" i="20"/>
  <c r="S77" i="20"/>
  <c r="S53" i="20"/>
  <c r="S87" i="20"/>
  <c r="S35" i="20"/>
  <c r="S73" i="20"/>
  <c r="S45" i="20"/>
  <c r="S55" i="20"/>
  <c r="S31" i="20"/>
  <c r="S19" i="20"/>
  <c r="S29" i="20"/>
  <c r="S17" i="20"/>
  <c r="AA93" i="20"/>
  <c r="AA85" i="20"/>
  <c r="AA61" i="20"/>
  <c r="AA83" i="20"/>
  <c r="AA75" i="20"/>
  <c r="AA87" i="20"/>
  <c r="AA73" i="20"/>
  <c r="AA53" i="20"/>
  <c r="AA77" i="20"/>
  <c r="AA35" i="20"/>
  <c r="AA45" i="20"/>
  <c r="AA31" i="20"/>
  <c r="AA19" i="20"/>
  <c r="AA55" i="20"/>
  <c r="AA43" i="20"/>
  <c r="AA29" i="20"/>
  <c r="AA17" i="20"/>
  <c r="AI85" i="20"/>
  <c r="AI83" i="20"/>
  <c r="AI75" i="20"/>
  <c r="AI87" i="20"/>
  <c r="AI53" i="20"/>
  <c r="AI73" i="20"/>
  <c r="AI35" i="20"/>
  <c r="AI55" i="20"/>
  <c r="AI45" i="20"/>
  <c r="AI21" i="20"/>
  <c r="AI77" i="20"/>
  <c r="AI43" i="20"/>
  <c r="AI31" i="20"/>
  <c r="AI19" i="20"/>
  <c r="AI29" i="20"/>
  <c r="AI17" i="20"/>
  <c r="G11" i="20"/>
  <c r="P12" i="20"/>
  <c r="X12" i="20"/>
  <c r="AF12" i="20"/>
  <c r="D13" i="20"/>
  <c r="AA14" i="20"/>
  <c r="AM14" i="20"/>
  <c r="AF17" i="20"/>
  <c r="AD19" i="20"/>
  <c r="S21" i="20"/>
  <c r="AL21" i="20"/>
  <c r="W25" i="20"/>
  <c r="J26" i="20"/>
  <c r="U27" i="20"/>
  <c r="H28" i="20"/>
  <c r="Q29" i="20"/>
  <c r="D30" i="20"/>
  <c r="O31" i="20"/>
  <c r="AL31" i="20"/>
  <c r="AG33" i="20"/>
  <c r="N35" i="20"/>
  <c r="O41" i="20"/>
  <c r="W41" i="20"/>
  <c r="AE41" i="20"/>
  <c r="S43" i="20"/>
  <c r="P45" i="20"/>
  <c r="Q53" i="20"/>
  <c r="X75" i="20"/>
  <c r="W83" i="20"/>
  <c r="T83" i="20"/>
  <c r="T75" i="20"/>
  <c r="T93" i="20"/>
  <c r="T77" i="20"/>
  <c r="T53" i="20"/>
  <c r="T87" i="20"/>
  <c r="T73" i="20"/>
  <c r="T45" i="20"/>
  <c r="T55" i="20"/>
  <c r="T85" i="20"/>
  <c r="T43" i="20"/>
  <c r="T31" i="20"/>
  <c r="T19" i="20"/>
  <c r="T41" i="20"/>
  <c r="T61" i="20"/>
  <c r="T35" i="20"/>
  <c r="T29" i="20"/>
  <c r="T17" i="20"/>
  <c r="T33" i="20"/>
  <c r="AB83" i="20"/>
  <c r="AB75" i="20"/>
  <c r="AB73" i="20"/>
  <c r="AB85" i="20"/>
  <c r="AB53" i="20"/>
  <c r="AB77" i="20"/>
  <c r="AB45" i="20"/>
  <c r="AB61" i="20"/>
  <c r="AB93" i="20"/>
  <c r="AB43" i="20"/>
  <c r="AB31" i="20"/>
  <c r="AB19" i="20"/>
  <c r="AB55" i="20"/>
  <c r="AB29" i="20"/>
  <c r="AB17" i="20"/>
  <c r="AB33" i="20"/>
  <c r="AJ83" i="20"/>
  <c r="AJ75" i="20"/>
  <c r="AJ87" i="20"/>
  <c r="AJ53" i="20"/>
  <c r="AJ73" i="20"/>
  <c r="AJ55" i="20"/>
  <c r="AJ45" i="20"/>
  <c r="AJ33" i="20"/>
  <c r="AJ77" i="20"/>
  <c r="AJ43" i="20"/>
  <c r="AJ31" i="20"/>
  <c r="AJ35" i="20"/>
  <c r="AJ85" i="20"/>
  <c r="AJ41" i="20"/>
  <c r="AJ29" i="20"/>
  <c r="AJ17" i="20"/>
  <c r="H11" i="20"/>
  <c r="Q12" i="20"/>
  <c r="Y12" i="20"/>
  <c r="AG12" i="20"/>
  <c r="E13" i="20"/>
  <c r="O14" i="20"/>
  <c r="AB14" i="20"/>
  <c r="G16" i="20"/>
  <c r="AG17" i="20"/>
  <c r="AE19" i="20"/>
  <c r="T21" i="20"/>
  <c r="AB22" i="20"/>
  <c r="L26" i="20"/>
  <c r="AA27" i="20"/>
  <c r="I28" i="20"/>
  <c r="R29" i="20"/>
  <c r="E30" i="20"/>
  <c r="U31" i="20"/>
  <c r="AM31" i="20"/>
  <c r="AH33" i="20"/>
  <c r="O35" i="20"/>
  <c r="P41" i="20"/>
  <c r="X41" i="20"/>
  <c r="AF41" i="20"/>
  <c r="Y43" i="20"/>
  <c r="V45" i="20"/>
  <c r="Q51" i="20"/>
  <c r="R53" i="20"/>
  <c r="I76" i="20"/>
  <c r="Q41" i="20"/>
  <c r="Y41" i="20"/>
  <c r="AG41" i="20"/>
  <c r="AB51" i="20"/>
  <c r="AJ51" i="20"/>
  <c r="R41" i="20"/>
  <c r="Z41" i="20"/>
  <c r="AH41" i="20"/>
  <c r="S41" i="20"/>
  <c r="AA41" i="20"/>
  <c r="AI41" i="20"/>
  <c r="N51" i="20"/>
  <c r="AB25" i="20"/>
  <c r="W51" i="20"/>
  <c r="L42" i="20"/>
  <c r="P51" i="20"/>
  <c r="X51" i="20"/>
  <c r="AF51" i="20"/>
  <c r="E10" i="17"/>
  <c r="E11" i="17"/>
  <c r="E12" i="17"/>
  <c r="AA37" i="20" l="1"/>
  <c r="AA22" i="20"/>
  <c r="L45" i="20"/>
  <c r="L93" i="20"/>
  <c r="L83" i="20"/>
  <c r="L12" i="20"/>
  <c r="L55" i="20"/>
  <c r="L61" i="20"/>
  <c r="L17" i="20"/>
  <c r="L73" i="20"/>
  <c r="L53" i="20"/>
  <c r="L87" i="20"/>
  <c r="L75" i="20"/>
  <c r="L21" i="20"/>
  <c r="L22" i="20" s="1"/>
  <c r="L77" i="20"/>
  <c r="L85" i="20"/>
  <c r="L33" i="20"/>
  <c r="L35" i="20"/>
  <c r="L29" i="20"/>
  <c r="AK83" i="20"/>
  <c r="AK35" i="20"/>
  <c r="AK33" i="20"/>
  <c r="AK45" i="20"/>
  <c r="AK31" i="20"/>
  <c r="AK73" i="20"/>
  <c r="AK19" i="20"/>
  <c r="AK21" i="20"/>
  <c r="AK37" i="20" s="1"/>
  <c r="AK51" i="20"/>
  <c r="AK17" i="20"/>
  <c r="AK55" i="20"/>
  <c r="AK43" i="20"/>
  <c r="AK27" i="20"/>
  <c r="AK29" i="20"/>
  <c r="AK75" i="20"/>
  <c r="AK77" i="20"/>
  <c r="AK25" i="20"/>
  <c r="AK53" i="20"/>
  <c r="AK14" i="20"/>
  <c r="AK85" i="20"/>
  <c r="AK87" i="20"/>
  <c r="L19" i="20"/>
  <c r="AK41" i="20"/>
  <c r="L51" i="20"/>
  <c r="L31" i="20"/>
  <c r="L24" i="20"/>
  <c r="L25" i="20" s="1"/>
  <c r="L27" i="20"/>
  <c r="AM37" i="20"/>
  <c r="AM22" i="20"/>
  <c r="O37" i="20"/>
  <c r="O22" i="20"/>
  <c r="F40" i="20"/>
  <c r="J50" i="20"/>
  <c r="N37" i="20"/>
  <c r="N22" i="20"/>
  <c r="G40" i="20"/>
  <c r="F24" i="20"/>
  <c r="D50" i="20"/>
  <c r="AB48" i="20"/>
  <c r="AB69" i="20"/>
  <c r="AB57" i="20"/>
  <c r="I40" i="20"/>
  <c r="E24" i="20"/>
  <c r="H40" i="20"/>
  <c r="I50" i="20"/>
  <c r="G10" i="20"/>
  <c r="G21" i="20" s="1"/>
  <c r="AE37" i="20"/>
  <c r="AE22" i="20"/>
  <c r="X37" i="20"/>
  <c r="X22" i="20"/>
  <c r="F10" i="20"/>
  <c r="J24" i="20"/>
  <c r="Z37" i="20"/>
  <c r="Z22" i="20"/>
  <c r="J40" i="20"/>
  <c r="AG37" i="20"/>
  <c r="AG22" i="20"/>
  <c r="D40" i="20"/>
  <c r="E40" i="20"/>
  <c r="D24" i="20"/>
  <c r="J10" i="20"/>
  <c r="J21" i="20" s="1"/>
  <c r="E10" i="20"/>
  <c r="E21" i="20" s="1"/>
  <c r="W37" i="20"/>
  <c r="W22" i="20"/>
  <c r="T22" i="20"/>
  <c r="T37" i="20"/>
  <c r="AH37" i="20"/>
  <c r="AH22" i="20"/>
  <c r="R37" i="20"/>
  <c r="R22" i="20"/>
  <c r="AC22" i="20"/>
  <c r="AC37" i="20"/>
  <c r="Y37" i="20"/>
  <c r="Y22" i="20"/>
  <c r="AD22" i="20"/>
  <c r="AD37" i="20"/>
  <c r="H10" i="20"/>
  <c r="H21" i="20" s="1"/>
  <c r="AL37" i="20"/>
  <c r="AL22" i="20"/>
  <c r="D10" i="20"/>
  <c r="D21" i="20" s="1"/>
  <c r="P37" i="20"/>
  <c r="P22" i="20"/>
  <c r="G50" i="20"/>
  <c r="H50" i="20"/>
  <c r="U37" i="20"/>
  <c r="U22" i="20"/>
  <c r="AJ47" i="20"/>
  <c r="AJ38" i="20"/>
  <c r="I10" i="20"/>
  <c r="I21" i="20" s="1"/>
  <c r="AF37" i="20"/>
  <c r="AF22" i="20"/>
  <c r="L40" i="20"/>
  <c r="L41" i="20" s="1"/>
  <c r="L43" i="20"/>
  <c r="S37" i="20"/>
  <c r="S22" i="20"/>
  <c r="AI37" i="20"/>
  <c r="AI22" i="20"/>
  <c r="Q37" i="20"/>
  <c r="Q22" i="20"/>
  <c r="E50" i="20"/>
  <c r="G24" i="20"/>
  <c r="H24" i="20"/>
  <c r="I24" i="20"/>
  <c r="F50" i="20"/>
  <c r="V37" i="20"/>
  <c r="V22" i="20"/>
  <c r="AM14" i="15"/>
  <c r="F35" i="20" l="1"/>
  <c r="F29" i="20"/>
  <c r="D25" i="20"/>
  <c r="AA38" i="20"/>
  <c r="AA47" i="20"/>
  <c r="F53" i="20"/>
  <c r="F51" i="20"/>
  <c r="F77" i="20"/>
  <c r="F19" i="20"/>
  <c r="F93" i="20"/>
  <c r="F85" i="20"/>
  <c r="F61" i="20"/>
  <c r="D77" i="20"/>
  <c r="D19" i="20"/>
  <c r="G61" i="20"/>
  <c r="G75" i="20"/>
  <c r="D85" i="20"/>
  <c r="D45" i="20"/>
  <c r="D29" i="20"/>
  <c r="D17" i="20"/>
  <c r="F55" i="20"/>
  <c r="D31" i="20"/>
  <c r="G27" i="20"/>
  <c r="F17" i="20"/>
  <c r="G14" i="20"/>
  <c r="G87" i="20"/>
  <c r="G73" i="20"/>
  <c r="G29" i="20"/>
  <c r="G17" i="20"/>
  <c r="D12" i="20"/>
  <c r="G77" i="20"/>
  <c r="D41" i="20"/>
  <c r="D53" i="20"/>
  <c r="D83" i="20"/>
  <c r="G83" i="20"/>
  <c r="G53" i="20"/>
  <c r="G31" i="20"/>
  <c r="G45" i="20"/>
  <c r="F73" i="20"/>
  <c r="G35" i="20"/>
  <c r="G85" i="20"/>
  <c r="G25" i="20"/>
  <c r="G51" i="20"/>
  <c r="F14" i="20"/>
  <c r="D27" i="20"/>
  <c r="G43" i="20"/>
  <c r="F43" i="20"/>
  <c r="H93" i="20"/>
  <c r="H51" i="20"/>
  <c r="AK22" i="20"/>
  <c r="I85" i="20"/>
  <c r="I27" i="20"/>
  <c r="I25" i="20"/>
  <c r="L37" i="20"/>
  <c r="L38" i="20" s="1"/>
  <c r="J29" i="20"/>
  <c r="I19" i="20"/>
  <c r="I12" i="20"/>
  <c r="I14" i="20"/>
  <c r="I73" i="20"/>
  <c r="I83" i="20"/>
  <c r="I35" i="20"/>
  <c r="I45" i="20"/>
  <c r="I93" i="20"/>
  <c r="I31" i="20"/>
  <c r="J27" i="20"/>
  <c r="J77" i="20"/>
  <c r="I87" i="20"/>
  <c r="E25" i="20"/>
  <c r="H85" i="20"/>
  <c r="AI47" i="20"/>
  <c r="AI38" i="20"/>
  <c r="J83" i="20"/>
  <c r="E31" i="20"/>
  <c r="J12" i="20"/>
  <c r="J45" i="20"/>
  <c r="E43" i="20"/>
  <c r="J25" i="20"/>
  <c r="X47" i="20"/>
  <c r="X38" i="20"/>
  <c r="D73" i="20"/>
  <c r="J87" i="20"/>
  <c r="G41" i="20"/>
  <c r="I61" i="20"/>
  <c r="D93" i="20"/>
  <c r="O38" i="20"/>
  <c r="O47" i="20"/>
  <c r="G93" i="20"/>
  <c r="E37" i="20"/>
  <c r="E22" i="20"/>
  <c r="P47" i="20"/>
  <c r="P38" i="20"/>
  <c r="H43" i="20"/>
  <c r="J85" i="20"/>
  <c r="E53" i="20"/>
  <c r="S47" i="20"/>
  <c r="S38" i="20"/>
  <c r="AF47" i="20"/>
  <c r="AF38" i="20"/>
  <c r="AJ48" i="20"/>
  <c r="AJ69" i="20"/>
  <c r="AJ57" i="20"/>
  <c r="H45" i="20"/>
  <c r="D22" i="20"/>
  <c r="D37" i="20"/>
  <c r="AD38" i="20"/>
  <c r="AD47" i="20"/>
  <c r="H77" i="20"/>
  <c r="J55" i="20"/>
  <c r="E93" i="20"/>
  <c r="I75" i="20"/>
  <c r="D43" i="20"/>
  <c r="J43" i="20"/>
  <c r="H33" i="20"/>
  <c r="AE38" i="20"/>
  <c r="AE47" i="20"/>
  <c r="D61" i="20"/>
  <c r="H41" i="20"/>
  <c r="I43" i="20"/>
  <c r="D51" i="20"/>
  <c r="I29" i="20"/>
  <c r="I55" i="20"/>
  <c r="AM38" i="20"/>
  <c r="AM47" i="20"/>
  <c r="J17" i="20"/>
  <c r="E41" i="20"/>
  <c r="E77" i="20"/>
  <c r="E51" i="20"/>
  <c r="H55" i="20"/>
  <c r="AH47" i="20"/>
  <c r="AH38" i="20"/>
  <c r="H29" i="20"/>
  <c r="J31" i="20"/>
  <c r="E73" i="20"/>
  <c r="E45" i="20"/>
  <c r="J41" i="20"/>
  <c r="F21" i="20"/>
  <c r="F45" i="20"/>
  <c r="G37" i="20"/>
  <c r="G22" i="20"/>
  <c r="G55" i="20"/>
  <c r="E35" i="20"/>
  <c r="I41" i="20"/>
  <c r="F83" i="20"/>
  <c r="F31" i="20"/>
  <c r="J51" i="20"/>
  <c r="G33" i="20"/>
  <c r="E14" i="20"/>
  <c r="J93" i="20"/>
  <c r="H37" i="20"/>
  <c r="H22" i="20"/>
  <c r="J37" i="20"/>
  <c r="J22" i="20"/>
  <c r="J75" i="20"/>
  <c r="H87" i="20"/>
  <c r="E83" i="20"/>
  <c r="H83" i="20"/>
  <c r="U38" i="20"/>
  <c r="U47" i="20"/>
  <c r="J19" i="20"/>
  <c r="T47" i="20"/>
  <c r="T38" i="20"/>
  <c r="D87" i="20"/>
  <c r="D75" i="20"/>
  <c r="E17" i="20"/>
  <c r="J33" i="20"/>
  <c r="E85" i="20"/>
  <c r="F12" i="20"/>
  <c r="G12" i="20"/>
  <c r="J61" i="20"/>
  <c r="D35" i="20"/>
  <c r="J14" i="20"/>
  <c r="F25" i="20"/>
  <c r="J53" i="20"/>
  <c r="F33" i="20"/>
  <c r="E29" i="20"/>
  <c r="H35" i="20"/>
  <c r="R47" i="20"/>
  <c r="R38" i="20"/>
  <c r="AG47" i="20"/>
  <c r="AG38" i="20"/>
  <c r="H27" i="20"/>
  <c r="E75" i="20"/>
  <c r="AL38" i="20"/>
  <c r="AL47" i="20"/>
  <c r="Y47" i="20"/>
  <c r="Y38" i="20"/>
  <c r="E61" i="20"/>
  <c r="J73" i="20"/>
  <c r="E55" i="20"/>
  <c r="Z47" i="20"/>
  <c r="Z38" i="20"/>
  <c r="E87" i="20"/>
  <c r="H17" i="20"/>
  <c r="I51" i="20"/>
  <c r="E33" i="20"/>
  <c r="AB58" i="20"/>
  <c r="AB63" i="20"/>
  <c r="AB64" i="20" s="1"/>
  <c r="F27" i="20"/>
  <c r="N38" i="20"/>
  <c r="N47" i="20"/>
  <c r="D55" i="20"/>
  <c r="H31" i="20"/>
  <c r="W38" i="20"/>
  <c r="W47" i="20"/>
  <c r="H25" i="20"/>
  <c r="J35" i="20"/>
  <c r="Q47" i="20"/>
  <c r="Q38" i="20"/>
  <c r="V38" i="20"/>
  <c r="V47" i="20"/>
  <c r="H14" i="20"/>
  <c r="I37" i="20"/>
  <c r="I22" i="20"/>
  <c r="H53" i="20"/>
  <c r="D33" i="20"/>
  <c r="H12" i="20"/>
  <c r="AC38" i="20"/>
  <c r="AC47" i="20"/>
  <c r="E12" i="20"/>
  <c r="F75" i="20"/>
  <c r="E19" i="20"/>
  <c r="H19" i="20"/>
  <c r="H61" i="20"/>
  <c r="H75" i="20"/>
  <c r="D14" i="20"/>
  <c r="H73" i="20"/>
  <c r="I33" i="20"/>
  <c r="I53" i="20"/>
  <c r="E27" i="20"/>
  <c r="AB79" i="20"/>
  <c r="AB70" i="20"/>
  <c r="F87" i="20"/>
  <c r="I17" i="20"/>
  <c r="F41" i="20"/>
  <c r="G19" i="20"/>
  <c r="I77" i="20"/>
  <c r="AK38" i="20"/>
  <c r="AK47" i="20"/>
  <c r="AM10" i="15"/>
  <c r="AB10" i="19"/>
  <c r="AC10" i="19"/>
  <c r="AD10" i="19"/>
  <c r="AA48" i="20" l="1"/>
  <c r="AA57" i="20"/>
  <c r="AA69" i="20"/>
  <c r="L47" i="20"/>
  <c r="L69" i="20" s="1"/>
  <c r="Q69" i="20"/>
  <c r="Q48" i="20"/>
  <c r="Q57" i="20"/>
  <c r="Y48" i="20"/>
  <c r="Y57" i="20"/>
  <c r="Y69" i="20"/>
  <c r="AM57" i="20"/>
  <c r="AM69" i="20"/>
  <c r="AM48" i="20"/>
  <c r="AL69" i="20"/>
  <c r="AL57" i="20"/>
  <c r="AL48" i="20"/>
  <c r="G47" i="20"/>
  <c r="G38" i="20"/>
  <c r="AD57" i="20"/>
  <c r="AD48" i="20"/>
  <c r="AD69" i="20"/>
  <c r="AH69" i="20"/>
  <c r="AH48" i="20"/>
  <c r="AH57" i="20"/>
  <c r="AF57" i="20"/>
  <c r="AF69" i="20"/>
  <c r="AF48" i="20"/>
  <c r="AK69" i="20"/>
  <c r="AK57" i="20"/>
  <c r="AK48" i="20"/>
  <c r="AJ70" i="20"/>
  <c r="AJ79" i="20"/>
  <c r="AE57" i="20"/>
  <c r="AE69" i="20"/>
  <c r="AE48" i="20"/>
  <c r="P57" i="20"/>
  <c r="P48" i="20"/>
  <c r="P69" i="20"/>
  <c r="AC69" i="20"/>
  <c r="AC57" i="20"/>
  <c r="AC48" i="20"/>
  <c r="I47" i="20"/>
  <c r="I38" i="20"/>
  <c r="W57" i="20"/>
  <c r="W69" i="20"/>
  <c r="W48" i="20"/>
  <c r="Z69" i="20"/>
  <c r="Z48" i="20"/>
  <c r="Z57" i="20"/>
  <c r="U69" i="20"/>
  <c r="U57" i="20"/>
  <c r="U48" i="20"/>
  <c r="F37" i="20"/>
  <c r="F22" i="20"/>
  <c r="D38" i="20"/>
  <c r="D47" i="20"/>
  <c r="E38" i="20"/>
  <c r="E47" i="20"/>
  <c r="R69" i="20"/>
  <c r="R57" i="20"/>
  <c r="R48" i="20"/>
  <c r="T69" i="20"/>
  <c r="T48" i="20"/>
  <c r="T57" i="20"/>
  <c r="O57" i="20"/>
  <c r="O48" i="20"/>
  <c r="O69" i="20"/>
  <c r="X57" i="20"/>
  <c r="X48" i="20"/>
  <c r="X69" i="20"/>
  <c r="AI48" i="20"/>
  <c r="AI69" i="20"/>
  <c r="AI57" i="20"/>
  <c r="AB89" i="20"/>
  <c r="AB80" i="20"/>
  <c r="N57" i="20"/>
  <c r="N48" i="20"/>
  <c r="N69" i="20"/>
  <c r="J47" i="20"/>
  <c r="J38" i="20"/>
  <c r="S69" i="20"/>
  <c r="S57" i="20"/>
  <c r="S48" i="20"/>
  <c r="V57" i="20"/>
  <c r="V69" i="20"/>
  <c r="V48" i="20"/>
  <c r="AG69" i="20"/>
  <c r="AG48" i="20"/>
  <c r="AG57" i="20"/>
  <c r="H47" i="20"/>
  <c r="H38" i="20"/>
  <c r="AJ63" i="20"/>
  <c r="AJ64" i="20" s="1"/>
  <c r="AJ58" i="20"/>
  <c r="AM59" i="2"/>
  <c r="AM58" i="2" s="1"/>
  <c r="AM60" i="2"/>
  <c r="AM47" i="2"/>
  <c r="AM35" i="2"/>
  <c r="AM25" i="2"/>
  <c r="AM12" i="2"/>
  <c r="J29" i="9"/>
  <c r="AA63" i="20" l="1"/>
  <c r="AA64" i="20" s="1"/>
  <c r="AA58" i="20"/>
  <c r="AA79" i="20"/>
  <c r="AA70" i="20"/>
  <c r="L48" i="20"/>
  <c r="L57" i="20"/>
  <c r="L58" i="20" s="1"/>
  <c r="L70" i="20"/>
  <c r="L79" i="20"/>
  <c r="J57" i="20"/>
  <c r="J69" i="20"/>
  <c r="J48" i="20"/>
  <c r="W63" i="20"/>
  <c r="W64" i="20" s="1"/>
  <c r="W58" i="20"/>
  <c r="AD63" i="20"/>
  <c r="AD64" i="20" s="1"/>
  <c r="AD58" i="20"/>
  <c r="V70" i="20"/>
  <c r="V79" i="20"/>
  <c r="E57" i="20"/>
  <c r="E69" i="20"/>
  <c r="E48" i="20"/>
  <c r="U79" i="20"/>
  <c r="U70" i="20"/>
  <c r="I69" i="20"/>
  <c r="I57" i="20"/>
  <c r="I48" i="20"/>
  <c r="AE79" i="20"/>
  <c r="AE70" i="20"/>
  <c r="AF79" i="20"/>
  <c r="AF70" i="20"/>
  <c r="Y79" i="20"/>
  <c r="Y70" i="20"/>
  <c r="F47" i="20"/>
  <c r="F38" i="20"/>
  <c r="AD79" i="20"/>
  <c r="AD70" i="20"/>
  <c r="P63" i="20"/>
  <c r="P64" i="20" s="1"/>
  <c r="P58" i="20"/>
  <c r="R79" i="20"/>
  <c r="R70" i="20"/>
  <c r="V63" i="20"/>
  <c r="V64" i="20" s="1"/>
  <c r="V58" i="20"/>
  <c r="N63" i="20"/>
  <c r="N64" i="20" s="1"/>
  <c r="N58" i="20"/>
  <c r="X63" i="20"/>
  <c r="X64" i="20" s="1"/>
  <c r="X58" i="20"/>
  <c r="Z58" i="20"/>
  <c r="Z63" i="20"/>
  <c r="Z64" i="20" s="1"/>
  <c r="AE58" i="20"/>
  <c r="AE63" i="20"/>
  <c r="AE64" i="20" s="1"/>
  <c r="AF63" i="20"/>
  <c r="AF64" i="20" s="1"/>
  <c r="AF58" i="20"/>
  <c r="G69" i="20"/>
  <c r="G48" i="20"/>
  <c r="G57" i="20"/>
  <c r="Y58" i="20"/>
  <c r="Y63" i="20"/>
  <c r="Y64" i="20" s="1"/>
  <c r="AI79" i="20"/>
  <c r="AI70" i="20"/>
  <c r="AK58" i="20"/>
  <c r="AK63" i="20"/>
  <c r="AK64" i="20" s="1"/>
  <c r="AG79" i="20"/>
  <c r="AG70" i="20"/>
  <c r="R63" i="20"/>
  <c r="R64" i="20" s="1"/>
  <c r="R58" i="20"/>
  <c r="AK79" i="20"/>
  <c r="AK70" i="20"/>
  <c r="N79" i="20"/>
  <c r="N70" i="20"/>
  <c r="U58" i="20"/>
  <c r="U63" i="20"/>
  <c r="U64" i="20" s="1"/>
  <c r="AJ80" i="20"/>
  <c r="AJ89" i="20"/>
  <c r="H69" i="20"/>
  <c r="H57" i="20"/>
  <c r="H48" i="20"/>
  <c r="S58" i="20"/>
  <c r="S63" i="20"/>
  <c r="S64" i="20" s="1"/>
  <c r="Z70" i="20"/>
  <c r="Z79" i="20"/>
  <c r="AC79" i="20"/>
  <c r="AC70" i="20"/>
  <c r="AL63" i="20"/>
  <c r="AL64" i="20" s="1"/>
  <c r="AL58" i="20"/>
  <c r="Q63" i="20"/>
  <c r="Q64" i="20" s="1"/>
  <c r="Q58" i="20"/>
  <c r="W79" i="20"/>
  <c r="W70" i="20"/>
  <c r="Q79" i="20"/>
  <c r="Q70" i="20"/>
  <c r="AM79" i="20"/>
  <c r="AM70" i="20"/>
  <c r="X79" i="20"/>
  <c r="X70" i="20"/>
  <c r="AM58" i="20"/>
  <c r="AM63" i="20"/>
  <c r="AM64" i="20" s="1"/>
  <c r="O79" i="20"/>
  <c r="O70" i="20"/>
  <c r="T58" i="20"/>
  <c r="T63" i="20"/>
  <c r="T64" i="20" s="1"/>
  <c r="D57" i="20"/>
  <c r="D69" i="20"/>
  <c r="D48" i="20"/>
  <c r="AC58" i="20"/>
  <c r="AC63" i="20"/>
  <c r="AC64" i="20" s="1"/>
  <c r="AH63" i="20"/>
  <c r="AH64" i="20" s="1"/>
  <c r="AH58" i="20"/>
  <c r="AB90" i="20"/>
  <c r="AB95" i="20"/>
  <c r="AG63" i="20"/>
  <c r="AG64" i="20" s="1"/>
  <c r="AG58" i="20"/>
  <c r="S79" i="20"/>
  <c r="S70" i="20"/>
  <c r="AI58" i="20"/>
  <c r="AI63" i="20"/>
  <c r="AI64" i="20" s="1"/>
  <c r="O63" i="20"/>
  <c r="O64" i="20" s="1"/>
  <c r="O58" i="20"/>
  <c r="T79" i="20"/>
  <c r="T70" i="20"/>
  <c r="P79" i="20"/>
  <c r="P70" i="20"/>
  <c r="AH79" i="20"/>
  <c r="AH70" i="20"/>
  <c r="AL70" i="20"/>
  <c r="AL79" i="20"/>
  <c r="AM33" i="2"/>
  <c r="AM10" i="2"/>
  <c r="AA89" i="20" l="1"/>
  <c r="AA80" i="20"/>
  <c r="AB96" i="20"/>
  <c r="L63" i="20"/>
  <c r="L64" i="20" s="1"/>
  <c r="H63" i="20"/>
  <c r="H64" i="20" s="1"/>
  <c r="H58" i="20"/>
  <c r="H79" i="20"/>
  <c r="H70" i="20"/>
  <c r="O89" i="20"/>
  <c r="O80" i="20"/>
  <c r="AC89" i="20"/>
  <c r="AC80" i="20"/>
  <c r="AD89" i="20"/>
  <c r="AD80" i="20"/>
  <c r="AE89" i="20"/>
  <c r="AE80" i="20"/>
  <c r="E58" i="20"/>
  <c r="E63" i="20"/>
  <c r="E64" i="20" s="1"/>
  <c r="AK89" i="20"/>
  <c r="AK80" i="20"/>
  <c r="E79" i="20"/>
  <c r="E70" i="20"/>
  <c r="Q89" i="20"/>
  <c r="Q80" i="20"/>
  <c r="AJ90" i="20"/>
  <c r="AJ95" i="20"/>
  <c r="P89" i="20"/>
  <c r="P80" i="20"/>
  <c r="S80" i="20"/>
  <c r="S89" i="20"/>
  <c r="Z80" i="20"/>
  <c r="Z89" i="20"/>
  <c r="V89" i="20"/>
  <c r="V80" i="20"/>
  <c r="N89" i="20"/>
  <c r="N80" i="20"/>
  <c r="AF89" i="20"/>
  <c r="AF80" i="20"/>
  <c r="AI80" i="20"/>
  <c r="AI89" i="20"/>
  <c r="W89" i="20"/>
  <c r="W80" i="20"/>
  <c r="F57" i="20"/>
  <c r="F69" i="20"/>
  <c r="F48" i="20"/>
  <c r="T80" i="20"/>
  <c r="T89" i="20"/>
  <c r="D79" i="20"/>
  <c r="D70" i="20"/>
  <c r="AG80" i="20"/>
  <c r="AG89" i="20"/>
  <c r="I70" i="20"/>
  <c r="I79" i="20"/>
  <c r="J63" i="20"/>
  <c r="J64" i="20" s="1"/>
  <c r="J58" i="20"/>
  <c r="U89" i="20"/>
  <c r="U80" i="20"/>
  <c r="AM89" i="20"/>
  <c r="AM80" i="20"/>
  <c r="AH80" i="20"/>
  <c r="AH89" i="20"/>
  <c r="G63" i="20"/>
  <c r="G64" i="20" s="1"/>
  <c r="G58" i="20"/>
  <c r="I63" i="20"/>
  <c r="I64" i="20" s="1"/>
  <c r="I58" i="20"/>
  <c r="J70" i="20"/>
  <c r="J79" i="20"/>
  <c r="AL89" i="20"/>
  <c r="AL80" i="20"/>
  <c r="D63" i="20"/>
  <c r="D64" i="20" s="1"/>
  <c r="D58" i="20"/>
  <c r="X80" i="20"/>
  <c r="X89" i="20"/>
  <c r="G79" i="20"/>
  <c r="G70" i="20"/>
  <c r="R89" i="20"/>
  <c r="R80" i="20"/>
  <c r="Y80" i="20"/>
  <c r="Y89" i="20"/>
  <c r="L89" i="20"/>
  <c r="L80" i="20"/>
  <c r="AM54" i="2"/>
  <c r="AM63" i="2" s="1"/>
  <c r="AM62" i="9"/>
  <c r="AM49" i="9"/>
  <c r="AM32" i="9"/>
  <c r="AM10" i="9"/>
  <c r="AM40" i="1"/>
  <c r="AM66" i="1"/>
  <c r="AM54" i="1"/>
  <c r="AM24" i="1"/>
  <c r="AM12" i="1"/>
  <c r="AA95" i="20" l="1"/>
  <c r="AA96" i="20" s="1"/>
  <c r="AA90" i="20"/>
  <c r="AJ96" i="20"/>
  <c r="J80" i="20"/>
  <c r="J89" i="20"/>
  <c r="F58" i="20"/>
  <c r="F63" i="20"/>
  <c r="F64" i="20" s="1"/>
  <c r="AL95" i="20"/>
  <c r="AL90" i="20"/>
  <c r="P95" i="20"/>
  <c r="P90" i="20"/>
  <c r="X95" i="20"/>
  <c r="X90" i="20"/>
  <c r="W90" i="20"/>
  <c r="W95" i="20"/>
  <c r="V95" i="20"/>
  <c r="V90" i="20"/>
  <c r="O95" i="20"/>
  <c r="O90" i="20"/>
  <c r="N95" i="20"/>
  <c r="N90" i="20"/>
  <c r="G80" i="20"/>
  <c r="G89" i="20"/>
  <c r="L90" i="20"/>
  <c r="L95" i="20"/>
  <c r="L96" i="20" s="1"/>
  <c r="U90" i="20"/>
  <c r="U95" i="20"/>
  <c r="D89" i="20"/>
  <c r="D80" i="20"/>
  <c r="AI90" i="20"/>
  <c r="AI95" i="20"/>
  <c r="Z95" i="20"/>
  <c r="Z90" i="20"/>
  <c r="R90" i="20"/>
  <c r="R95" i="20"/>
  <c r="AG90" i="20"/>
  <c r="AG95" i="20"/>
  <c r="AM95" i="20"/>
  <c r="AM96" i="20" s="1"/>
  <c r="AM90" i="20"/>
  <c r="Y95" i="20"/>
  <c r="Y90" i="20"/>
  <c r="T90" i="20"/>
  <c r="T95" i="20"/>
  <c r="Q90" i="20"/>
  <c r="Q95" i="20"/>
  <c r="AE90" i="20"/>
  <c r="AE95" i="20"/>
  <c r="H80" i="20"/>
  <c r="H89" i="20"/>
  <c r="F79" i="20"/>
  <c r="F70" i="20"/>
  <c r="AC90" i="20"/>
  <c r="AC95" i="20"/>
  <c r="S90" i="20"/>
  <c r="S95" i="20"/>
  <c r="AK90" i="20"/>
  <c r="AK95" i="20"/>
  <c r="AH90" i="20"/>
  <c r="AH95" i="20"/>
  <c r="I80" i="20"/>
  <c r="I89" i="20"/>
  <c r="AF95" i="20"/>
  <c r="AF90" i="20"/>
  <c r="E89" i="20"/>
  <c r="E80" i="20"/>
  <c r="AD95" i="20"/>
  <c r="AD90" i="20"/>
  <c r="AM47" i="9"/>
  <c r="AM72" i="9" s="1"/>
  <c r="AM38" i="1"/>
  <c r="AM10" i="1"/>
  <c r="AL96" i="20" l="1"/>
  <c r="AO64" i="2"/>
  <c r="AK96" i="20"/>
  <c r="AN64" i="2"/>
  <c r="J64" i="2" s="1"/>
  <c r="P96" i="20"/>
  <c r="Y96" i="20"/>
  <c r="Z96" i="20"/>
  <c r="V96" i="20"/>
  <c r="AD96" i="20"/>
  <c r="S96" i="20"/>
  <c r="AE96" i="20"/>
  <c r="AI96" i="20"/>
  <c r="W96" i="20"/>
  <c r="AC96" i="20"/>
  <c r="Q96" i="20"/>
  <c r="AG96" i="20"/>
  <c r="N96" i="20"/>
  <c r="X96" i="20"/>
  <c r="O96" i="20"/>
  <c r="AF96" i="20"/>
  <c r="AH96" i="20"/>
  <c r="T96" i="20"/>
  <c r="R96" i="20"/>
  <c r="U96" i="20"/>
  <c r="AM64" i="2"/>
  <c r="H95" i="20"/>
  <c r="H96" i="20" s="1"/>
  <c r="H90" i="20"/>
  <c r="E95" i="20"/>
  <c r="E96" i="20" s="1"/>
  <c r="E90" i="20"/>
  <c r="D95" i="20"/>
  <c r="D96" i="20" s="1"/>
  <c r="D90" i="20"/>
  <c r="F80" i="20"/>
  <c r="F89" i="20"/>
  <c r="G95" i="20"/>
  <c r="G96" i="20" s="1"/>
  <c r="G90" i="20"/>
  <c r="I90" i="20"/>
  <c r="I95" i="20"/>
  <c r="I96" i="20" s="1"/>
  <c r="J90" i="20"/>
  <c r="J95" i="20"/>
  <c r="J96" i="20" s="1"/>
  <c r="F95" i="20" l="1"/>
  <c r="F96" i="20" s="1"/>
  <c r="F90" i="20"/>
  <c r="AE12" i="19" l="1"/>
  <c r="AE13" i="19"/>
  <c r="AE14" i="19"/>
  <c r="AE15" i="19"/>
  <c r="AE16" i="19"/>
  <c r="AE17" i="19"/>
  <c r="AE18" i="19"/>
  <c r="AE19" i="19"/>
  <c r="AE20" i="19"/>
  <c r="AE21" i="19"/>
  <c r="AE22" i="19"/>
  <c r="AE23" i="19"/>
  <c r="AE24" i="19"/>
  <c r="AE25" i="19"/>
  <c r="AE26" i="19"/>
  <c r="AE27" i="19"/>
  <c r="AE28" i="19"/>
  <c r="AE29" i="19"/>
  <c r="AE30" i="19"/>
  <c r="AE31" i="19"/>
  <c r="AE32" i="19"/>
  <c r="AE33" i="19"/>
  <c r="AE34" i="19"/>
  <c r="AE35" i="19"/>
  <c r="AE36" i="19"/>
  <c r="AE37" i="19"/>
  <c r="AE38" i="19"/>
  <c r="AE39" i="19"/>
  <c r="AE40" i="19"/>
  <c r="AE41" i="19"/>
  <c r="AE42" i="19"/>
  <c r="AE43" i="19"/>
  <c r="AE44" i="19"/>
  <c r="AE45" i="19"/>
  <c r="AE46" i="19"/>
  <c r="AE47" i="19"/>
  <c r="AE48" i="19"/>
  <c r="AE49" i="19"/>
  <c r="AE50" i="19"/>
  <c r="AE51" i="19"/>
  <c r="J50" i="9"/>
  <c r="J51" i="9"/>
  <c r="J52" i="9"/>
  <c r="J53" i="9"/>
  <c r="J54" i="9"/>
  <c r="J55" i="9"/>
  <c r="J56" i="9"/>
  <c r="J57" i="9"/>
  <c r="J58" i="9"/>
  <c r="J59" i="9"/>
  <c r="J60" i="9"/>
  <c r="J69" i="2"/>
  <c r="J61" i="2"/>
  <c r="J48" i="2"/>
  <c r="J49" i="2"/>
  <c r="J50" i="2"/>
  <c r="J51" i="2"/>
  <c r="J52" i="2"/>
  <c r="J36" i="2"/>
  <c r="J37" i="2"/>
  <c r="J38" i="2"/>
  <c r="J39" i="2"/>
  <c r="J40" i="2"/>
  <c r="J41" i="2"/>
  <c r="J42" i="2"/>
  <c r="J43" i="2"/>
  <c r="J45" i="2"/>
  <c r="J26" i="2"/>
  <c r="J27" i="2"/>
  <c r="J28" i="2"/>
  <c r="J29" i="2"/>
  <c r="J30" i="2"/>
  <c r="J31" i="2"/>
  <c r="J13" i="2"/>
  <c r="J14" i="2"/>
  <c r="J15" i="2"/>
  <c r="J16" i="2"/>
  <c r="J17" i="2"/>
  <c r="J18" i="2"/>
  <c r="J19" i="2"/>
  <c r="J20" i="2"/>
  <c r="J21" i="2"/>
  <c r="AL83" i="2"/>
  <c r="AL84" i="2"/>
  <c r="AL82" i="2"/>
  <c r="AL81" i="2"/>
  <c r="AL85" i="2"/>
  <c r="E13" i="17"/>
  <c r="E14" i="17"/>
  <c r="E15" i="17"/>
  <c r="AL86" i="2" l="1"/>
  <c r="J25" i="2"/>
  <c r="J47" i="2"/>
  <c r="J49" i="9"/>
  <c r="J12" i="2"/>
  <c r="J35" i="2"/>
  <c r="AB11" i="19"/>
  <c r="AC11" i="19"/>
  <c r="AD11" i="19"/>
  <c r="J33" i="2" l="1"/>
  <c r="J10" i="2"/>
  <c r="J11" i="15"/>
  <c r="J12" i="15"/>
  <c r="J14" i="15"/>
  <c r="AL10" i="15"/>
  <c r="AL59" i="2"/>
  <c r="AL60" i="2"/>
  <c r="J60" i="2" s="1"/>
  <c r="AL47" i="2"/>
  <c r="AL35" i="2"/>
  <c r="AL25" i="2"/>
  <c r="AL12" i="2"/>
  <c r="J33" i="9"/>
  <c r="J34" i="9"/>
  <c r="J35" i="9"/>
  <c r="J36" i="9"/>
  <c r="J37" i="9"/>
  <c r="J39" i="9"/>
  <c r="J40" i="9"/>
  <c r="J41" i="9"/>
  <c r="J42" i="9"/>
  <c r="J43" i="9"/>
  <c r="J44" i="9"/>
  <c r="J45" i="9"/>
  <c r="J11" i="9"/>
  <c r="J12" i="9"/>
  <c r="J13" i="9"/>
  <c r="J14" i="9"/>
  <c r="J15" i="9"/>
  <c r="J16" i="9"/>
  <c r="J17" i="9"/>
  <c r="J18" i="9"/>
  <c r="J19" i="9"/>
  <c r="J20" i="9"/>
  <c r="J22" i="9"/>
  <c r="J23" i="9"/>
  <c r="J24" i="9"/>
  <c r="J25" i="9"/>
  <c r="J26" i="9"/>
  <c r="J27" i="9"/>
  <c r="J28" i="9"/>
  <c r="J30" i="9"/>
  <c r="J63" i="9"/>
  <c r="J64" i="9"/>
  <c r="J65" i="9"/>
  <c r="J66" i="9"/>
  <c r="J67" i="9"/>
  <c r="J68" i="9"/>
  <c r="J69" i="9"/>
  <c r="J70" i="9"/>
  <c r="J10" i="15" l="1"/>
  <c r="J54" i="2"/>
  <c r="J10" i="9"/>
  <c r="J32" i="9"/>
  <c r="AL58" i="2"/>
  <c r="J59" i="2"/>
  <c r="J58" i="2" s="1"/>
  <c r="J62" i="9"/>
  <c r="AL33" i="2"/>
  <c r="AL10" i="2"/>
  <c r="AL62" i="9"/>
  <c r="AL49" i="9"/>
  <c r="AL32" i="9"/>
  <c r="AL10" i="9"/>
  <c r="J55" i="1"/>
  <c r="J56" i="1"/>
  <c r="J57" i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41" i="1"/>
  <c r="J42" i="1"/>
  <c r="J43" i="1"/>
  <c r="J44" i="1"/>
  <c r="J45" i="1"/>
  <c r="J46" i="1"/>
  <c r="J47" i="1"/>
  <c r="J48" i="1"/>
  <c r="J49" i="1"/>
  <c r="J50" i="1"/>
  <c r="J51" i="1"/>
  <c r="J52" i="1"/>
  <c r="J13" i="1"/>
  <c r="J14" i="1"/>
  <c r="J15" i="1"/>
  <c r="J16" i="1"/>
  <c r="J17" i="1"/>
  <c r="J18" i="1"/>
  <c r="J19" i="1"/>
  <c r="J20" i="1"/>
  <c r="J21" i="1"/>
  <c r="J22" i="1"/>
  <c r="J25" i="1"/>
  <c r="J26" i="1"/>
  <c r="J27" i="1"/>
  <c r="J28" i="1"/>
  <c r="J29" i="1"/>
  <c r="J30" i="1"/>
  <c r="J31" i="1"/>
  <c r="J32" i="1"/>
  <c r="J33" i="1"/>
  <c r="J34" i="1"/>
  <c r="J35" i="1"/>
  <c r="J36" i="1"/>
  <c r="AL40" i="1"/>
  <c r="AL66" i="1"/>
  <c r="AL54" i="1"/>
  <c r="AL24" i="1"/>
  <c r="AL12" i="1"/>
  <c r="J63" i="2" l="1"/>
  <c r="J47" i="9"/>
  <c r="J72" i="9" s="1"/>
  <c r="J12" i="1"/>
  <c r="J66" i="1"/>
  <c r="J40" i="1"/>
  <c r="J54" i="1"/>
  <c r="J24" i="1"/>
  <c r="AL54" i="2"/>
  <c r="AL63" i="2" s="1"/>
  <c r="AL64" i="2" s="1"/>
  <c r="AL47" i="9"/>
  <c r="AL72" i="9" s="1"/>
  <c r="AL38" i="1"/>
  <c r="AL10" i="1"/>
  <c r="J38" i="1" l="1"/>
  <c r="J10" i="1"/>
  <c r="L11" i="15" l="1"/>
  <c r="I14" i="1"/>
  <c r="I15" i="1"/>
  <c r="I16" i="1"/>
  <c r="I17" i="1"/>
  <c r="I18" i="1"/>
  <c r="I19" i="1"/>
  <c r="I20" i="1"/>
  <c r="I21" i="1"/>
  <c r="I22" i="1"/>
  <c r="AB12" i="19" l="1"/>
  <c r="AC12" i="19"/>
  <c r="AD12" i="19"/>
  <c r="E16" i="17" l="1"/>
  <c r="E17" i="17"/>
  <c r="E18" i="17"/>
  <c r="AK10" i="15" l="1"/>
  <c r="AK84" i="2"/>
  <c r="AK83" i="2"/>
  <c r="AK82" i="2"/>
  <c r="AK81" i="2"/>
  <c r="AK59" i="2"/>
  <c r="AK60" i="2"/>
  <c r="AK47" i="2"/>
  <c r="AK35" i="2"/>
  <c r="AK25" i="2"/>
  <c r="AK12" i="2"/>
  <c r="AK62" i="9"/>
  <c r="AK49" i="9"/>
  <c r="AK32" i="9"/>
  <c r="AK10" i="9"/>
  <c r="AK66" i="1"/>
  <c r="AK54" i="1"/>
  <c r="AK40" i="1"/>
  <c r="AK24" i="1"/>
  <c r="AK12" i="1"/>
  <c r="AK58" i="2" l="1"/>
  <c r="AK86" i="2"/>
  <c r="AK33" i="2"/>
  <c r="AK10" i="2"/>
  <c r="AK47" i="9"/>
  <c r="AK72" i="9" s="1"/>
  <c r="AK38" i="1"/>
  <c r="AK10" i="1"/>
  <c r="AK54" i="2" l="1"/>
  <c r="AK63" i="2" s="1"/>
  <c r="AK64" i="2" s="1"/>
  <c r="AJ84" i="2" l="1"/>
  <c r="AJ83" i="2"/>
  <c r="AJ82" i="2"/>
  <c r="AJ81" i="2"/>
  <c r="AJ80" i="2"/>
  <c r="I80" i="2" s="1"/>
  <c r="I76" i="2"/>
  <c r="I77" i="2"/>
  <c r="I78" i="2"/>
  <c r="I79" i="2"/>
  <c r="I81" i="2"/>
  <c r="I82" i="2"/>
  <c r="I83" i="2"/>
  <c r="I75" i="2"/>
  <c r="AJ86" i="2" l="1"/>
  <c r="I84" i="2"/>
  <c r="I86" i="2" s="1"/>
  <c r="AB13" i="19" l="1"/>
  <c r="AC13" i="19"/>
  <c r="AD13" i="19"/>
  <c r="AJ60" i="2" l="1"/>
  <c r="AJ59" i="2"/>
  <c r="AJ25" i="2"/>
  <c r="AJ47" i="2"/>
  <c r="AJ35" i="2"/>
  <c r="AJ33" i="2" s="1"/>
  <c r="AJ12" i="2"/>
  <c r="AJ62" i="9"/>
  <c r="AJ49" i="9"/>
  <c r="AJ32" i="9"/>
  <c r="AJ10" i="9"/>
  <c r="AJ40" i="1"/>
  <c r="AJ66" i="1"/>
  <c r="AJ54" i="1"/>
  <c r="AJ24" i="1"/>
  <c r="AJ12" i="1"/>
  <c r="AJ58" i="2" l="1"/>
  <c r="AJ10" i="2"/>
  <c r="AJ54" i="2" s="1"/>
  <c r="AJ47" i="9"/>
  <c r="AJ72" i="9" s="1"/>
  <c r="AJ38" i="1"/>
  <c r="AJ10" i="1"/>
  <c r="AJ63" i="2" l="1"/>
  <c r="AJ64" i="2" s="1"/>
  <c r="E19" i="17" l="1"/>
  <c r="E20" i="17"/>
  <c r="E21" i="17"/>
  <c r="L14" i="15" l="1"/>
  <c r="AJ10" i="15" l="1"/>
  <c r="K10" i="18"/>
  <c r="K9" i="18"/>
  <c r="I12" i="15"/>
  <c r="I10" i="15" s="1"/>
  <c r="AB14" i="19" l="1"/>
  <c r="AC14" i="19"/>
  <c r="AD14" i="19"/>
  <c r="AI84" i="2" l="1"/>
  <c r="AI83" i="2"/>
  <c r="AI82" i="2"/>
  <c r="AI81" i="2"/>
  <c r="AI80" i="2"/>
  <c r="AI59" i="2"/>
  <c r="AI60" i="2"/>
  <c r="T86" i="2"/>
  <c r="AI47" i="2"/>
  <c r="AI35" i="2"/>
  <c r="AI25" i="2"/>
  <c r="AI12" i="2"/>
  <c r="AI62" i="9"/>
  <c r="AI49" i="9"/>
  <c r="AI32" i="9"/>
  <c r="AI10" i="9"/>
  <c r="AI66" i="1"/>
  <c r="AI54" i="1"/>
  <c r="AI40" i="1"/>
  <c r="AI24" i="1"/>
  <c r="AI12" i="1"/>
  <c r="AI86" i="2" l="1"/>
  <c r="AI58" i="2"/>
  <c r="AI33" i="2"/>
  <c r="AI10" i="2"/>
  <c r="AI47" i="9"/>
  <c r="AI72" i="9" s="1"/>
  <c r="AI38" i="1"/>
  <c r="AI10" i="1"/>
  <c r="AI54" i="2" l="1"/>
  <c r="AI63" i="2" s="1"/>
  <c r="AI64" i="2" s="1"/>
  <c r="AI10" i="15" l="1"/>
  <c r="E22" i="17" l="1"/>
  <c r="E23" i="17"/>
  <c r="E24" i="17"/>
  <c r="AH10" i="9" l="1"/>
  <c r="AH83" i="2"/>
  <c r="AH82" i="2"/>
  <c r="AH81" i="2"/>
  <c r="AH80" i="2"/>
  <c r="AH86" i="2" l="1"/>
  <c r="E25" i="17"/>
  <c r="E26" i="17"/>
  <c r="E27" i="17"/>
  <c r="AH10" i="15" l="1"/>
  <c r="AB15" i="19"/>
  <c r="AC15" i="19"/>
  <c r="AD15" i="19"/>
  <c r="I69" i="2" l="1"/>
  <c r="I61" i="2"/>
  <c r="I49" i="2"/>
  <c r="I50" i="2"/>
  <c r="I51" i="2"/>
  <c r="I52" i="2"/>
  <c r="I48" i="2"/>
  <c r="I37" i="2"/>
  <c r="I38" i="2"/>
  <c r="I39" i="2"/>
  <c r="I40" i="2"/>
  <c r="I41" i="2"/>
  <c r="I42" i="2"/>
  <c r="I43" i="2"/>
  <c r="I45" i="2"/>
  <c r="I36" i="2"/>
  <c r="I27" i="2"/>
  <c r="I28" i="2"/>
  <c r="I29" i="2"/>
  <c r="I30" i="2"/>
  <c r="I31" i="2"/>
  <c r="I26" i="2"/>
  <c r="I14" i="2"/>
  <c r="I15" i="2"/>
  <c r="I16" i="2"/>
  <c r="I17" i="2"/>
  <c r="I18" i="2"/>
  <c r="I19" i="2"/>
  <c r="I20" i="2"/>
  <c r="I21" i="2"/>
  <c r="I13" i="2"/>
  <c r="AH47" i="2"/>
  <c r="AH59" i="2"/>
  <c r="I59" i="2" s="1"/>
  <c r="AH60" i="2"/>
  <c r="I60" i="2" s="1"/>
  <c r="AH35" i="2"/>
  <c r="AH25" i="2"/>
  <c r="AH12" i="2"/>
  <c r="I64" i="9"/>
  <c r="I65" i="9"/>
  <c r="I66" i="9"/>
  <c r="I67" i="9"/>
  <c r="I68" i="9"/>
  <c r="I69" i="9"/>
  <c r="I70" i="9"/>
  <c r="I63" i="9"/>
  <c r="I51" i="9"/>
  <c r="I52" i="9"/>
  <c r="I53" i="9"/>
  <c r="I54" i="9"/>
  <c r="I55" i="9"/>
  <c r="I56" i="9"/>
  <c r="I57" i="9"/>
  <c r="I58" i="9"/>
  <c r="I59" i="9"/>
  <c r="I60" i="9"/>
  <c r="I50" i="9"/>
  <c r="I34" i="9"/>
  <c r="I35" i="9"/>
  <c r="I36" i="9"/>
  <c r="I37" i="9"/>
  <c r="I38" i="9"/>
  <c r="I39" i="9"/>
  <c r="I40" i="9"/>
  <c r="I41" i="9"/>
  <c r="I42" i="9"/>
  <c r="I43" i="9"/>
  <c r="I44" i="9"/>
  <c r="I45" i="9"/>
  <c r="I33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30" i="9"/>
  <c r="AH62" i="9"/>
  <c r="AH49" i="9"/>
  <c r="AH32" i="9"/>
  <c r="AH47" i="9" s="1"/>
  <c r="I68" i="1"/>
  <c r="I69" i="1"/>
  <c r="I70" i="1"/>
  <c r="I71" i="1"/>
  <c r="I72" i="1"/>
  <c r="I73" i="1"/>
  <c r="I67" i="1"/>
  <c r="I56" i="1"/>
  <c r="I57" i="1"/>
  <c r="I58" i="1"/>
  <c r="I59" i="1"/>
  <c r="I60" i="1"/>
  <c r="I61" i="1"/>
  <c r="I62" i="1"/>
  <c r="I63" i="1"/>
  <c r="I64" i="1"/>
  <c r="I55" i="1"/>
  <c r="I42" i="1"/>
  <c r="I43" i="1"/>
  <c r="I44" i="1"/>
  <c r="I45" i="1"/>
  <c r="I46" i="1"/>
  <c r="I47" i="1"/>
  <c r="I48" i="1"/>
  <c r="I49" i="1"/>
  <c r="I50" i="1"/>
  <c r="I51" i="1"/>
  <c r="I52" i="1"/>
  <c r="I41" i="1"/>
  <c r="I26" i="1"/>
  <c r="I27" i="1"/>
  <c r="I28" i="1"/>
  <c r="I29" i="1"/>
  <c r="I30" i="1"/>
  <c r="I31" i="1"/>
  <c r="I32" i="1"/>
  <c r="I33" i="1"/>
  <c r="I34" i="1"/>
  <c r="I35" i="1"/>
  <c r="I36" i="1"/>
  <c r="I25" i="1"/>
  <c r="I13" i="1"/>
  <c r="AH66" i="1"/>
  <c r="AH54" i="1"/>
  <c r="AH40" i="1"/>
  <c r="AH24" i="1"/>
  <c r="AH12" i="1"/>
  <c r="I12" i="2" l="1"/>
  <c r="I10" i="9"/>
  <c r="AH72" i="9"/>
  <c r="I66" i="1"/>
  <c r="AH58" i="2"/>
  <c r="I58" i="2"/>
  <c r="I47" i="2"/>
  <c r="I35" i="2"/>
  <c r="I25" i="2"/>
  <c r="AH33" i="2"/>
  <c r="AH10" i="2"/>
  <c r="I62" i="9"/>
  <c r="I49" i="9"/>
  <c r="I32" i="9"/>
  <c r="I54" i="1"/>
  <c r="I40" i="1"/>
  <c r="I24" i="1"/>
  <c r="I12" i="1"/>
  <c r="AH38" i="1"/>
  <c r="AH10" i="1"/>
  <c r="I10" i="1" l="1"/>
  <c r="I33" i="2"/>
  <c r="I47" i="9"/>
  <c r="I72" i="9" s="1"/>
  <c r="I10" i="2"/>
  <c r="AH54" i="2"/>
  <c r="AH63" i="2" s="1"/>
  <c r="AH64" i="2" s="1"/>
  <c r="I38" i="1"/>
  <c r="H13" i="1"/>
  <c r="I54" i="2" l="1"/>
  <c r="I63" i="2" s="1"/>
  <c r="H30" i="9"/>
  <c r="H5" i="2"/>
  <c r="H23" i="2" s="1"/>
  <c r="H50" i="9"/>
  <c r="H33" i="9"/>
  <c r="H11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12" i="9"/>
  <c r="AG83" i="2"/>
  <c r="AG82" i="2"/>
  <c r="AG81" i="2"/>
  <c r="AG80" i="2"/>
  <c r="AG60" i="2"/>
  <c r="AG59" i="2"/>
  <c r="AG10" i="15"/>
  <c r="H84" i="2" l="1"/>
  <c r="H85" i="2"/>
  <c r="H10" i="9"/>
  <c r="E28" i="17"/>
  <c r="E29" i="17"/>
  <c r="E30" i="17"/>
  <c r="AB16" i="19" l="1"/>
  <c r="AC16" i="19"/>
  <c r="AD16" i="19"/>
  <c r="AG35" i="2"/>
  <c r="AG12" i="2"/>
  <c r="AG86" i="2" l="1"/>
  <c r="AG25" i="2"/>
  <c r="AG47" i="2"/>
  <c r="AG58" i="2"/>
  <c r="AG10" i="9"/>
  <c r="AG33" i="2" l="1"/>
  <c r="AG10" i="2"/>
  <c r="AG62" i="9"/>
  <c r="AG49" i="9"/>
  <c r="AG32" i="9"/>
  <c r="AG47" i="9" s="1"/>
  <c r="AG12" i="1"/>
  <c r="AG66" i="1"/>
  <c r="AG54" i="1"/>
  <c r="AG40" i="1"/>
  <c r="AG24" i="1"/>
  <c r="AG54" i="2" l="1"/>
  <c r="AG63" i="2" s="1"/>
  <c r="AG64" i="2" s="1"/>
  <c r="AG72" i="9"/>
  <c r="AG75" i="9" s="1"/>
  <c r="AH74" i="9" s="1"/>
  <c r="AG10" i="1"/>
  <c r="AG38" i="1"/>
  <c r="AH75" i="9" l="1"/>
  <c r="AI74" i="9"/>
  <c r="AD51" i="19"/>
  <c r="AD50" i="19"/>
  <c r="AD49" i="19"/>
  <c r="AD48" i="19"/>
  <c r="AD47" i="19"/>
  <c r="AD46" i="19"/>
  <c r="AD45" i="19"/>
  <c r="AD44" i="19"/>
  <c r="AD43" i="19"/>
  <c r="AD42" i="19"/>
  <c r="AD41" i="19"/>
  <c r="AD40" i="19"/>
  <c r="AD39" i="19"/>
  <c r="AD38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C51" i="19"/>
  <c r="AC50" i="19"/>
  <c r="AC49" i="19"/>
  <c r="AC48" i="19"/>
  <c r="AC47" i="19"/>
  <c r="AC46" i="19"/>
  <c r="AC45" i="19"/>
  <c r="AC44" i="19"/>
  <c r="AC43" i="19"/>
  <c r="AC42" i="19"/>
  <c r="AC41" i="19"/>
  <c r="AC40" i="19"/>
  <c r="AC39" i="19"/>
  <c r="AC38" i="19"/>
  <c r="AC37" i="19"/>
  <c r="AC36" i="19"/>
  <c r="AC35" i="19"/>
  <c r="AC34" i="19"/>
  <c r="AC33" i="19"/>
  <c r="AC32" i="19"/>
  <c r="AC31" i="19"/>
  <c r="AC30" i="19"/>
  <c r="AC29" i="19"/>
  <c r="AC28" i="19"/>
  <c r="AC27" i="19"/>
  <c r="AC26" i="19"/>
  <c r="AC25" i="19"/>
  <c r="AC24" i="19"/>
  <c r="AC23" i="19"/>
  <c r="AC22" i="19"/>
  <c r="AC21" i="19"/>
  <c r="AC20" i="19"/>
  <c r="AC19" i="19"/>
  <c r="AC18" i="19"/>
  <c r="AB51" i="19"/>
  <c r="AB50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B23" i="19"/>
  <c r="AB22" i="19"/>
  <c r="AB21" i="19"/>
  <c r="AB20" i="19"/>
  <c r="AB19" i="19"/>
  <c r="AB18" i="19"/>
  <c r="AC17" i="19"/>
  <c r="AB17" i="19"/>
  <c r="AI75" i="9" l="1"/>
  <c r="AJ74" i="9"/>
  <c r="AF10" i="15"/>
  <c r="AJ75" i="9" l="1"/>
  <c r="AK74" i="9"/>
  <c r="AK75" i="9" s="1"/>
  <c r="AN74" i="9" s="1"/>
  <c r="AN75" i="9" s="1"/>
  <c r="E31" i="17"/>
  <c r="E32" i="17"/>
  <c r="E33" i="17"/>
  <c r="AL74" i="9" l="1"/>
  <c r="AL75" i="9" s="1"/>
  <c r="AM74" i="9"/>
  <c r="AM75" i="9" s="1"/>
  <c r="AF61" i="2"/>
  <c r="AF60" i="2"/>
  <c r="AF83" i="2"/>
  <c r="AF82" i="2"/>
  <c r="AF81" i="2"/>
  <c r="AF80" i="2"/>
  <c r="AF47" i="2"/>
  <c r="AF35" i="2"/>
  <c r="AF25" i="2"/>
  <c r="AF12" i="2"/>
  <c r="AF86" i="2" l="1"/>
  <c r="AF58" i="2"/>
  <c r="AF33" i="2"/>
  <c r="AF10" i="2"/>
  <c r="A50" i="19"/>
  <c r="C51" i="19"/>
  <c r="AF62" i="9"/>
  <c r="AF49" i="9"/>
  <c r="AF32" i="9"/>
  <c r="AF10" i="9"/>
  <c r="AF66" i="1"/>
  <c r="AF54" i="1"/>
  <c r="AF40" i="1"/>
  <c r="AF24" i="1"/>
  <c r="AF12" i="1"/>
  <c r="AF54" i="2" l="1"/>
  <c r="AF63" i="2" s="1"/>
  <c r="AF64" i="2" s="1"/>
  <c r="A49" i="19"/>
  <c r="C50" i="19"/>
  <c r="AF47" i="9"/>
  <c r="AF72" i="9" s="1"/>
  <c r="AF75" i="9" s="1"/>
  <c r="AF38" i="1"/>
  <c r="AF10" i="1"/>
  <c r="A48" i="19" l="1"/>
  <c r="C49" i="1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A47" i="19" l="1"/>
  <c r="C48" i="19"/>
  <c r="H77" i="2"/>
  <c r="H75" i="2"/>
  <c r="H78" i="2"/>
  <c r="H76" i="2"/>
  <c r="A46" i="19" l="1"/>
  <c r="C47" i="19"/>
  <c r="AE10" i="15"/>
  <c r="A45" i="19" l="1"/>
  <c r="C46" i="19"/>
  <c r="E34" i="17"/>
  <c r="E35" i="17"/>
  <c r="E36" i="17"/>
  <c r="A44" i="19" l="1"/>
  <c r="C45" i="19"/>
  <c r="AE83" i="2"/>
  <c r="H83" i="2" s="1"/>
  <c r="AE82" i="2"/>
  <c r="H82" i="2" s="1"/>
  <c r="AE81" i="2"/>
  <c r="H81" i="2" s="1"/>
  <c r="AE80" i="2"/>
  <c r="H80" i="2" s="1"/>
  <c r="AE79" i="2"/>
  <c r="H79" i="2" s="1"/>
  <c r="AE59" i="2"/>
  <c r="AE60" i="2"/>
  <c r="AE61" i="2"/>
  <c r="AD47" i="2"/>
  <c r="AE47" i="2"/>
  <c r="AE35" i="2"/>
  <c r="AE25" i="2"/>
  <c r="AE12" i="2"/>
  <c r="AE62" i="9"/>
  <c r="AE49" i="9"/>
  <c r="AE32" i="9"/>
  <c r="AE47" i="9" s="1"/>
  <c r="AE58" i="2" l="1"/>
  <c r="A43" i="19"/>
  <c r="C44" i="19"/>
  <c r="H86" i="2"/>
  <c r="AE72" i="9"/>
  <c r="AE75" i="9" s="1"/>
  <c r="AE86" i="2"/>
  <c r="AE33" i="2"/>
  <c r="AE10" i="2"/>
  <c r="AE66" i="1"/>
  <c r="AE54" i="1"/>
  <c r="AE40" i="1"/>
  <c r="AE24" i="1"/>
  <c r="AE12" i="1"/>
  <c r="AE54" i="2" l="1"/>
  <c r="AE63" i="2"/>
  <c r="AE64" i="2" s="1"/>
  <c r="A42" i="19"/>
  <c r="C43" i="19"/>
  <c r="AE38" i="1"/>
  <c r="AE10" i="1"/>
  <c r="A41" i="19" l="1"/>
  <c r="C42" i="19"/>
  <c r="AD61" i="2"/>
  <c r="AD60" i="2"/>
  <c r="AD59" i="2"/>
  <c r="AD12" i="2"/>
  <c r="A40" i="19" l="1"/>
  <c r="C41" i="19"/>
  <c r="AD82" i="2"/>
  <c r="AD81" i="2"/>
  <c r="AD80" i="2"/>
  <c r="AD79" i="2"/>
  <c r="A39" i="19" l="1"/>
  <c r="C40" i="19"/>
  <c r="AD86" i="2"/>
  <c r="AD58" i="2"/>
  <c r="AD35" i="2"/>
  <c r="AD33" i="2" s="1"/>
  <c r="AD25" i="2"/>
  <c r="E37" i="17"/>
  <c r="E38" i="17"/>
  <c r="E39" i="17"/>
  <c r="AD10" i="15"/>
  <c r="H12" i="15"/>
  <c r="A38" i="19" l="1"/>
  <c r="C39" i="19"/>
  <c r="H10" i="15"/>
  <c r="H50" i="2"/>
  <c r="H40" i="2"/>
  <c r="H29" i="2"/>
  <c r="H18" i="2"/>
  <c r="H51" i="2"/>
  <c r="H41" i="2"/>
  <c r="H30" i="2"/>
  <c r="H19" i="2"/>
  <c r="H52" i="2"/>
  <c r="H42" i="2"/>
  <c r="H31" i="2"/>
  <c r="H20" i="2"/>
  <c r="H60" i="2"/>
  <c r="H16" i="2"/>
  <c r="H49" i="2"/>
  <c r="H28" i="2"/>
  <c r="H69" i="2"/>
  <c r="H48" i="2"/>
  <c r="H45" i="2"/>
  <c r="H26" i="2"/>
  <c r="H21" i="2"/>
  <c r="H43" i="2"/>
  <c r="H36" i="2"/>
  <c r="H14" i="2"/>
  <c r="H15" i="2"/>
  <c r="H13" i="2"/>
  <c r="H38" i="2"/>
  <c r="H27" i="2"/>
  <c r="H61" i="2"/>
  <c r="H37" i="2"/>
  <c r="H39" i="2"/>
  <c r="H17" i="2"/>
  <c r="H59" i="2"/>
  <c r="AD10" i="2"/>
  <c r="A37" i="19" l="1"/>
  <c r="C38" i="19"/>
  <c r="H35" i="2"/>
  <c r="H25" i="2"/>
  <c r="H12" i="2"/>
  <c r="H58" i="2"/>
  <c r="H47" i="2"/>
  <c r="AD54" i="2"/>
  <c r="AD63" i="2" s="1"/>
  <c r="AD64" i="2" s="1"/>
  <c r="AD62" i="9"/>
  <c r="AD49" i="9"/>
  <c r="AD32" i="9"/>
  <c r="H63" i="9"/>
  <c r="H64" i="9"/>
  <c r="H65" i="9"/>
  <c r="H66" i="9"/>
  <c r="H67" i="9"/>
  <c r="H68" i="9"/>
  <c r="H69" i="9"/>
  <c r="H70" i="9"/>
  <c r="H51" i="9"/>
  <c r="H52" i="9"/>
  <c r="H53" i="9"/>
  <c r="H54" i="9"/>
  <c r="H55" i="9"/>
  <c r="H56" i="9"/>
  <c r="H57" i="9"/>
  <c r="H58" i="9"/>
  <c r="H59" i="9"/>
  <c r="H60" i="9"/>
  <c r="H34" i="9"/>
  <c r="H35" i="9"/>
  <c r="H36" i="9"/>
  <c r="H37" i="9"/>
  <c r="H38" i="9"/>
  <c r="H39" i="9"/>
  <c r="H40" i="9"/>
  <c r="H41" i="9"/>
  <c r="H42" i="9"/>
  <c r="H43" i="9"/>
  <c r="H44" i="9"/>
  <c r="H45" i="9"/>
  <c r="A36" i="19" l="1"/>
  <c r="C37" i="19"/>
  <c r="H33" i="2"/>
  <c r="H10" i="2"/>
  <c r="AD47" i="9"/>
  <c r="AD72" i="9" s="1"/>
  <c r="H62" i="9"/>
  <c r="H49" i="9"/>
  <c r="H32" i="9"/>
  <c r="AD66" i="1"/>
  <c r="AD54" i="1"/>
  <c r="AD40" i="1"/>
  <c r="A35" i="19" l="1"/>
  <c r="C36" i="19"/>
  <c r="H54" i="2"/>
  <c r="H63" i="2" s="1"/>
  <c r="I64" i="2"/>
  <c r="H47" i="9"/>
  <c r="H72" i="9" s="1"/>
  <c r="AD38" i="1"/>
  <c r="A34" i="19" l="1"/>
  <c r="C35" i="19"/>
  <c r="AD24" i="1"/>
  <c r="AD12" i="1"/>
  <c r="H67" i="1"/>
  <c r="H68" i="1"/>
  <c r="H69" i="1"/>
  <c r="H70" i="1"/>
  <c r="H71" i="1"/>
  <c r="H72" i="1"/>
  <c r="H73" i="1"/>
  <c r="H55" i="1"/>
  <c r="H56" i="1"/>
  <c r="H57" i="1"/>
  <c r="H58" i="1"/>
  <c r="H59" i="1"/>
  <c r="H60" i="1"/>
  <c r="H61" i="1"/>
  <c r="H62" i="1"/>
  <c r="H63" i="1"/>
  <c r="H64" i="1"/>
  <c r="H41" i="1"/>
  <c r="H42" i="1"/>
  <c r="H43" i="1"/>
  <c r="H44" i="1"/>
  <c r="H45" i="1"/>
  <c r="H46" i="1"/>
  <c r="H47" i="1"/>
  <c r="H48" i="1"/>
  <c r="H49" i="1"/>
  <c r="H50" i="1"/>
  <c r="H51" i="1"/>
  <c r="H52" i="1"/>
  <c r="H36" i="1"/>
  <c r="H25" i="1"/>
  <c r="H26" i="1"/>
  <c r="H27" i="1"/>
  <c r="H28" i="1"/>
  <c r="H29" i="1"/>
  <c r="H30" i="1"/>
  <c r="H31" i="1"/>
  <c r="H32" i="1"/>
  <c r="H33" i="1"/>
  <c r="H34" i="1"/>
  <c r="H35" i="1"/>
  <c r="H15" i="1"/>
  <c r="H16" i="1"/>
  <c r="H18" i="1"/>
  <c r="H19" i="1"/>
  <c r="H14" i="1"/>
  <c r="H20" i="1"/>
  <c r="H21" i="1"/>
  <c r="H22" i="1"/>
  <c r="A33" i="19" l="1"/>
  <c r="C34" i="19"/>
  <c r="H40" i="1"/>
  <c r="AD10" i="1"/>
  <c r="H24" i="1"/>
  <c r="H54" i="1"/>
  <c r="H12" i="1"/>
  <c r="H66" i="1"/>
  <c r="A32" i="19" l="1"/>
  <c r="C33" i="19"/>
  <c r="H38" i="1"/>
  <c r="H10" i="1"/>
  <c r="A31" i="19" l="1"/>
  <c r="C32" i="19"/>
  <c r="A30" i="19" l="1"/>
  <c r="C31" i="19"/>
  <c r="A29" i="19" l="1"/>
  <c r="C30" i="19"/>
  <c r="A28" i="19" l="1"/>
  <c r="C29" i="19"/>
  <c r="A27" i="19" l="1"/>
  <c r="C28" i="19"/>
  <c r="A26" i="19" l="1"/>
  <c r="C27" i="19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AC82" i="2"/>
  <c r="AC81" i="2"/>
  <c r="AC80" i="2"/>
  <c r="AC79" i="2"/>
  <c r="AC78" i="2"/>
  <c r="AC24" i="1"/>
  <c r="A25" i="19" l="1"/>
  <c r="C26" i="19"/>
  <c r="AC86" i="2"/>
  <c r="A24" i="19" l="1"/>
  <c r="C25" i="19"/>
  <c r="E40" i="17"/>
  <c r="E41" i="17"/>
  <c r="E42" i="17"/>
  <c r="E43" i="17"/>
  <c r="L12" i="15"/>
  <c r="AC10" i="15"/>
  <c r="AC61" i="2"/>
  <c r="AC60" i="2"/>
  <c r="AC59" i="2"/>
  <c r="G5" i="2"/>
  <c r="G23" i="2" s="1"/>
  <c r="AC47" i="2"/>
  <c r="AC35" i="2"/>
  <c r="AC25" i="2"/>
  <c r="AC12" i="2"/>
  <c r="G5" i="9"/>
  <c r="AC62" i="9"/>
  <c r="AC49" i="9"/>
  <c r="AC32" i="9"/>
  <c r="G85" i="2" l="1"/>
  <c r="G84" i="2"/>
  <c r="G28" i="9"/>
  <c r="G15" i="9"/>
  <c r="G16" i="9"/>
  <c r="G30" i="9"/>
  <c r="A23" i="19"/>
  <c r="C24" i="19"/>
  <c r="G21" i="2"/>
  <c r="G78" i="2"/>
  <c r="G80" i="2"/>
  <c r="G83" i="2"/>
  <c r="G81" i="2"/>
  <c r="G76" i="2"/>
  <c r="G79" i="2"/>
  <c r="G75" i="2"/>
  <c r="G82" i="2"/>
  <c r="G77" i="2"/>
  <c r="G57" i="9"/>
  <c r="G58" i="9"/>
  <c r="G51" i="9"/>
  <c r="G59" i="9"/>
  <c r="G60" i="9"/>
  <c r="G52" i="9"/>
  <c r="G25" i="9"/>
  <c r="G53" i="9"/>
  <c r="G50" i="9"/>
  <c r="G54" i="9"/>
  <c r="G55" i="9"/>
  <c r="G56" i="9"/>
  <c r="AC58" i="2"/>
  <c r="G45" i="2"/>
  <c r="G43" i="2"/>
  <c r="AC33" i="2"/>
  <c r="AC10" i="2"/>
  <c r="AC47" i="9"/>
  <c r="AC72" i="9" s="1"/>
  <c r="AC75" i="9" s="1"/>
  <c r="AD74" i="9" s="1"/>
  <c r="G5" i="1"/>
  <c r="G36" i="1" s="1"/>
  <c r="AC66" i="1"/>
  <c r="AC54" i="1"/>
  <c r="AC40" i="1"/>
  <c r="AC12" i="1"/>
  <c r="A22" i="19" l="1"/>
  <c r="C23" i="19"/>
  <c r="G86" i="2"/>
  <c r="H74" i="9"/>
  <c r="H75" i="9" s="1"/>
  <c r="I74" i="9" s="1"/>
  <c r="I75" i="9" s="1"/>
  <c r="J74" i="9" s="1"/>
  <c r="J75" i="9" s="1"/>
  <c r="AD75" i="9"/>
  <c r="G34" i="1"/>
  <c r="G35" i="1"/>
  <c r="AC54" i="2"/>
  <c r="AC63" i="2" s="1"/>
  <c r="AC64" i="2" s="1"/>
  <c r="AC38" i="1"/>
  <c r="AC10" i="1"/>
  <c r="A21" i="19" l="1"/>
  <c r="C22" i="19"/>
  <c r="A20" i="19" l="1"/>
  <c r="C21" i="19"/>
  <c r="A19" i="19" l="1"/>
  <c r="C20" i="19"/>
  <c r="A18" i="19" l="1"/>
  <c r="C19" i="19"/>
  <c r="A17" i="19" l="1"/>
  <c r="C18" i="19"/>
  <c r="C17" i="19" l="1"/>
  <c r="A16" i="19"/>
  <c r="C16" i="19" s="1"/>
  <c r="H63" i="19" s="1"/>
  <c r="S57" i="19"/>
  <c r="T58" i="19"/>
  <c r="R59" i="19"/>
  <c r="Y57" i="19"/>
  <c r="S60" i="19"/>
  <c r="Q64" i="19"/>
  <c r="Y62" i="19"/>
  <c r="U61" i="19"/>
  <c r="Y58" i="19"/>
  <c r="E44" i="17"/>
  <c r="E220" i="17"/>
  <c r="E87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20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R65" i="19" l="1"/>
  <c r="Y64" i="19"/>
  <c r="H61" i="19"/>
  <c r="U64" i="19"/>
  <c r="R61" i="19"/>
  <c r="S63" i="19"/>
  <c r="K57" i="19"/>
  <c r="R62" i="19"/>
  <c r="T62" i="19"/>
  <c r="S65" i="19"/>
  <c r="E64" i="19"/>
  <c r="F61" i="19"/>
  <c r="F60" i="19"/>
  <c r="R58" i="19"/>
  <c r="F59" i="19"/>
  <c r="Y63" i="19"/>
  <c r="R64" i="19"/>
  <c r="T57" i="19"/>
  <c r="U62" i="19"/>
  <c r="T65" i="19"/>
  <c r="Q61" i="19"/>
  <c r="U57" i="19"/>
  <c r="H65" i="19"/>
  <c r="G64" i="19"/>
  <c r="G63" i="19"/>
  <c r="U60" i="19"/>
  <c r="G65" i="19"/>
  <c r="S62" i="19"/>
  <c r="Y59" i="19"/>
  <c r="U63" i="19"/>
  <c r="U65" i="19"/>
  <c r="R60" i="19"/>
  <c r="S64" i="19"/>
  <c r="T59" i="19"/>
  <c r="E61" i="19"/>
  <c r="G61" i="19"/>
  <c r="E65" i="19"/>
  <c r="Q65" i="19"/>
  <c r="Q58" i="19"/>
  <c r="Q63" i="19"/>
  <c r="Q60" i="19"/>
  <c r="S59" i="19"/>
  <c r="Q59" i="19"/>
  <c r="Y61" i="19"/>
  <c r="Q57" i="19"/>
  <c r="T63" i="19"/>
  <c r="E59" i="19"/>
  <c r="H64" i="19"/>
  <c r="E62" i="19"/>
  <c r="H62" i="19"/>
  <c r="E63" i="19"/>
  <c r="R57" i="19"/>
  <c r="T64" i="19"/>
  <c r="U58" i="19"/>
  <c r="Y60" i="19"/>
  <c r="S61" i="19"/>
  <c r="L57" i="19"/>
  <c r="F62" i="19"/>
  <c r="H60" i="19"/>
  <c r="G58" i="19"/>
  <c r="I58" i="19"/>
  <c r="I60" i="19"/>
  <c r="I64" i="19"/>
  <c r="I59" i="19"/>
  <c r="I61" i="19"/>
  <c r="I57" i="19"/>
  <c r="I62" i="19"/>
  <c r="I63" i="19"/>
  <c r="I56" i="19"/>
  <c r="I65" i="19"/>
  <c r="S58" i="19"/>
  <c r="T61" i="19"/>
  <c r="T60" i="19"/>
  <c r="Q62" i="19"/>
  <c r="U59" i="19"/>
  <c r="Y65" i="19"/>
  <c r="R63" i="19"/>
  <c r="G62" i="19"/>
  <c r="E58" i="19"/>
  <c r="F63" i="19"/>
  <c r="O56" i="19"/>
  <c r="O61" i="19"/>
  <c r="O60" i="19"/>
  <c r="O62" i="19"/>
  <c r="O57" i="19"/>
  <c r="O63" i="19"/>
  <c r="O64" i="19"/>
  <c r="O65" i="19"/>
  <c r="O58" i="19"/>
  <c r="O59" i="19"/>
  <c r="V56" i="19"/>
  <c r="V57" i="19"/>
  <c r="V65" i="19"/>
  <c r="V58" i="19"/>
  <c r="V59" i="19"/>
  <c r="V60" i="19"/>
  <c r="V61" i="19"/>
  <c r="V62" i="19"/>
  <c r="V63" i="19"/>
  <c r="V64" i="19"/>
  <c r="F65" i="19"/>
  <c r="W56" i="19"/>
  <c r="W64" i="19"/>
  <c r="X56" i="19"/>
  <c r="X60" i="19"/>
  <c r="X64" i="19"/>
  <c r="W57" i="19"/>
  <c r="W61" i="19"/>
  <c r="W65" i="19"/>
  <c r="W62" i="19"/>
  <c r="X62" i="19"/>
  <c r="X57" i="19"/>
  <c r="X61" i="19"/>
  <c r="X65" i="19"/>
  <c r="W58" i="19"/>
  <c r="X58" i="19"/>
  <c r="W59" i="19"/>
  <c r="W63" i="19"/>
  <c r="X59" i="19"/>
  <c r="X63" i="19"/>
  <c r="W60" i="19"/>
  <c r="G59" i="19"/>
  <c r="H59" i="19"/>
  <c r="E60" i="19"/>
  <c r="G60" i="19"/>
  <c r="F64" i="19"/>
  <c r="F58" i="19"/>
  <c r="H58" i="19"/>
  <c r="T56" i="19"/>
  <c r="G57" i="19"/>
  <c r="L56" i="19"/>
  <c r="M56" i="19"/>
  <c r="F57" i="19"/>
  <c r="U56" i="19"/>
  <c r="H57" i="19"/>
  <c r="H56" i="19"/>
  <c r="E57" i="19"/>
  <c r="F56" i="19"/>
  <c r="S56" i="19"/>
  <c r="Y56" i="19"/>
  <c r="G56" i="19"/>
  <c r="R56" i="19"/>
  <c r="Q56" i="19"/>
  <c r="N56" i="19"/>
  <c r="E56" i="19"/>
  <c r="K56" i="19"/>
  <c r="L65" i="19"/>
  <c r="AB65" i="19" s="1"/>
  <c r="N63" i="19"/>
  <c r="K62" i="19"/>
  <c r="M60" i="19"/>
  <c r="AC60" i="19" s="1"/>
  <c r="K65" i="19"/>
  <c r="M63" i="19"/>
  <c r="L60" i="19"/>
  <c r="N58" i="19"/>
  <c r="N64" i="19"/>
  <c r="AD64" i="19" s="1"/>
  <c r="K63" i="19"/>
  <c r="M61" i="19"/>
  <c r="L58" i="19"/>
  <c r="L61" i="19"/>
  <c r="N59" i="19"/>
  <c r="M64" i="19"/>
  <c r="L64" i="19"/>
  <c r="N62" i="19"/>
  <c r="AD62" i="19" s="1"/>
  <c r="K61" i="19"/>
  <c r="M59" i="19"/>
  <c r="N57" i="19"/>
  <c r="K64" i="19"/>
  <c r="M62" i="19"/>
  <c r="AC62" i="19" s="1"/>
  <c r="L59" i="19"/>
  <c r="AB59" i="19" s="1"/>
  <c r="L62" i="19"/>
  <c r="N60" i="19"/>
  <c r="AD60" i="19" s="1"/>
  <c r="K59" i="19"/>
  <c r="M57" i="19"/>
  <c r="AC57" i="19" s="1"/>
  <c r="L63" i="19"/>
  <c r="N61" i="19"/>
  <c r="AD61" i="19" s="1"/>
  <c r="K60" i="19"/>
  <c r="M58" i="19"/>
  <c r="K58" i="19"/>
  <c r="N65" i="19"/>
  <c r="M65" i="19"/>
  <c r="AC65" i="19" s="1"/>
  <c r="G69" i="2"/>
  <c r="AB5" i="2"/>
  <c r="AB61" i="2"/>
  <c r="AB60" i="2"/>
  <c r="AB59" i="2"/>
  <c r="AB82" i="2"/>
  <c r="AB81" i="2"/>
  <c r="AB80" i="2"/>
  <c r="AB79" i="2"/>
  <c r="AB78" i="2"/>
  <c r="AB47" i="2"/>
  <c r="AB35" i="2"/>
  <c r="AB25" i="2"/>
  <c r="AB12" i="2"/>
  <c r="AB57" i="19" l="1"/>
  <c r="AD57" i="19"/>
  <c r="AD59" i="19"/>
  <c r="AB63" i="19"/>
  <c r="AE62" i="19"/>
  <c r="AD58" i="19"/>
  <c r="AC59" i="19"/>
  <c r="AC64" i="19"/>
  <c r="AB61" i="19"/>
  <c r="AB60" i="19"/>
  <c r="AB58" i="19"/>
  <c r="AC61" i="19"/>
  <c r="AB62" i="19"/>
  <c r="AE58" i="19"/>
  <c r="AE56" i="19"/>
  <c r="AB64" i="19"/>
  <c r="AC58" i="19"/>
  <c r="AC63" i="19"/>
  <c r="AD63" i="19"/>
  <c r="AE64" i="19"/>
  <c r="AD65" i="19"/>
  <c r="AE63" i="19"/>
  <c r="AE61" i="19"/>
  <c r="AE60" i="19"/>
  <c r="AE59" i="19"/>
  <c r="AE57" i="19"/>
  <c r="AE65" i="19"/>
  <c r="AC56" i="19"/>
  <c r="AB56" i="19"/>
  <c r="AD56" i="19"/>
  <c r="AB33" i="2"/>
  <c r="AB58" i="2"/>
  <c r="AB86" i="2"/>
  <c r="G50" i="2"/>
  <c r="G49" i="2"/>
  <c r="G59" i="2"/>
  <c r="G61" i="2"/>
  <c r="G13" i="2"/>
  <c r="G60" i="2"/>
  <c r="G51" i="2"/>
  <c r="G48" i="2"/>
  <c r="G52" i="2"/>
  <c r="AB10" i="2"/>
  <c r="AB54" i="2" l="1"/>
  <c r="AB63" i="2" s="1"/>
  <c r="AB64" i="2" s="1"/>
  <c r="G70" i="1" l="1"/>
  <c r="G74" i="9"/>
  <c r="AB62" i="9"/>
  <c r="AB49" i="9"/>
  <c r="AB32" i="9"/>
  <c r="AB10" i="15"/>
  <c r="AB47" i="9" l="1"/>
  <c r="AB72" i="9" s="1"/>
  <c r="AB75" i="9" s="1"/>
  <c r="G12" i="9"/>
  <c r="G70" i="9"/>
  <c r="G21" i="9"/>
  <c r="G33" i="9"/>
  <c r="G38" i="9"/>
  <c r="G69" i="9"/>
  <c r="G11" i="9"/>
  <c r="G20" i="9"/>
  <c r="G45" i="9"/>
  <c r="G37" i="9"/>
  <c r="G68" i="9"/>
  <c r="G27" i="9"/>
  <c r="G19" i="9"/>
  <c r="G44" i="9"/>
  <c r="G36" i="9"/>
  <c r="G67" i="9"/>
  <c r="G26" i="9"/>
  <c r="G18" i="9"/>
  <c r="G43" i="9"/>
  <c r="G35" i="9"/>
  <c r="G66" i="9"/>
  <c r="G17" i="9"/>
  <c r="G42" i="9"/>
  <c r="G34" i="9"/>
  <c r="G65" i="9"/>
  <c r="G24" i="9"/>
  <c r="G14" i="9"/>
  <c r="G41" i="9"/>
  <c r="G64" i="9"/>
  <c r="G22" i="9"/>
  <c r="G39" i="9"/>
  <c r="G23" i="9"/>
  <c r="G13" i="9"/>
  <c r="G40" i="9"/>
  <c r="G63" i="9"/>
  <c r="G30" i="1"/>
  <c r="G15" i="1"/>
  <c r="G57" i="1"/>
  <c r="G68" i="1"/>
  <c r="G58" i="1"/>
  <c r="G49" i="1"/>
  <c r="G28" i="1"/>
  <c r="G56" i="1"/>
  <c r="G21" i="1"/>
  <c r="G25" i="1"/>
  <c r="G27" i="1"/>
  <c r="G47" i="1"/>
  <c r="G63" i="1"/>
  <c r="G67" i="1"/>
  <c r="G16" i="1"/>
  <c r="G69" i="1"/>
  <c r="G55" i="1"/>
  <c r="G73" i="1"/>
  <c r="G13" i="1"/>
  <c r="G64" i="1"/>
  <c r="G62" i="1"/>
  <c r="G14" i="1"/>
  <c r="G33" i="1"/>
  <c r="G41" i="1"/>
  <c r="G45" i="1"/>
  <c r="G61" i="1"/>
  <c r="G72" i="1"/>
  <c r="G50" i="1"/>
  <c r="G22" i="1"/>
  <c r="G46" i="1"/>
  <c r="G19" i="1"/>
  <c r="G32" i="1"/>
  <c r="G52" i="1"/>
  <c r="G44" i="1"/>
  <c r="G60" i="1"/>
  <c r="G71" i="1"/>
  <c r="G42" i="1"/>
  <c r="G29" i="1"/>
  <c r="G48" i="1"/>
  <c r="G20" i="1"/>
  <c r="G26" i="1"/>
  <c r="G18" i="1"/>
  <c r="G31" i="1"/>
  <c r="G51" i="1"/>
  <c r="G43" i="1"/>
  <c r="G59" i="1"/>
  <c r="G10" i="9" l="1"/>
  <c r="G24" i="1"/>
  <c r="G49" i="9"/>
  <c r="AB66" i="1"/>
  <c r="AB54" i="1"/>
  <c r="AB40" i="1"/>
  <c r="AB12" i="1"/>
  <c r="AB38" i="1" l="1"/>
  <c r="AB10" i="1"/>
  <c r="G12" i="15" l="1"/>
  <c r="F12" i="15"/>
  <c r="E12" i="15"/>
  <c r="D12" i="15"/>
  <c r="Z10" i="15"/>
  <c r="Y10" i="15"/>
  <c r="X10" i="15"/>
  <c r="V10" i="15"/>
  <c r="U10" i="15"/>
  <c r="T10" i="15"/>
  <c r="S10" i="15"/>
  <c r="R10" i="15"/>
  <c r="Q10" i="15"/>
  <c r="P10" i="15"/>
  <c r="O10" i="15"/>
  <c r="N10" i="15"/>
  <c r="T14" i="15"/>
  <c r="E14" i="15" s="1"/>
  <c r="W14" i="15"/>
  <c r="F14" i="15" s="1"/>
  <c r="W11" i="15"/>
  <c r="AA14" i="15"/>
  <c r="G14" i="15" s="1"/>
  <c r="AA11" i="15"/>
  <c r="G11" i="15" s="1"/>
  <c r="W10" i="15" l="1"/>
  <c r="F11" i="15"/>
  <c r="F10" i="15" s="1"/>
  <c r="AA10" i="15"/>
  <c r="L10" i="15"/>
  <c r="G10" i="15"/>
  <c r="E10" i="15"/>
  <c r="D10" i="15"/>
  <c r="AA82" i="2" l="1"/>
  <c r="AA81" i="2"/>
  <c r="AA80" i="2"/>
  <c r="AA79" i="2"/>
  <c r="AA78" i="2"/>
  <c r="AA86" i="2" l="1"/>
  <c r="AA35" i="2"/>
  <c r="AA32" i="9" l="1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G39" i="2" l="1"/>
  <c r="G15" i="2"/>
  <c r="AA49" i="9"/>
  <c r="AA62" i="9"/>
  <c r="AA59" i="2"/>
  <c r="G32" i="9" l="1"/>
  <c r="G42" i="2"/>
  <c r="G38" i="2"/>
  <c r="G30" i="2"/>
  <c r="G28" i="2"/>
  <c r="G40" i="2"/>
  <c r="G20" i="2"/>
  <c r="G18" i="2"/>
  <c r="G16" i="2"/>
  <c r="G14" i="2"/>
  <c r="G37" i="2"/>
  <c r="G36" i="2"/>
  <c r="G41" i="2"/>
  <c r="G31" i="2"/>
  <c r="G29" i="2"/>
  <c r="G27" i="2"/>
  <c r="G26" i="2"/>
  <c r="G19" i="2"/>
  <c r="G17" i="2"/>
  <c r="G62" i="9"/>
  <c r="AA47" i="9"/>
  <c r="AA47" i="2" l="1"/>
  <c r="G40" i="1" l="1"/>
  <c r="G66" i="1"/>
  <c r="G12" i="1"/>
  <c r="AA61" i="2"/>
  <c r="AA60" i="2"/>
  <c r="AA33" i="2"/>
  <c r="AA25" i="2"/>
  <c r="AA12" i="2"/>
  <c r="AA5" i="2"/>
  <c r="AA54" i="1"/>
  <c r="AA40" i="1"/>
  <c r="AA12" i="1"/>
  <c r="AA58" i="2" l="1"/>
  <c r="AA10" i="2"/>
  <c r="AA54" i="2" s="1"/>
  <c r="AA72" i="9"/>
  <c r="AA75" i="9" s="1"/>
  <c r="AA38" i="1"/>
  <c r="AA10" i="1"/>
  <c r="AA63" i="2" l="1"/>
  <c r="AA64" i="2" s="1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O61" i="2" l="1"/>
  <c r="P61" i="2"/>
  <c r="Q61" i="2"/>
  <c r="R61" i="2"/>
  <c r="S61" i="2"/>
  <c r="T61" i="2"/>
  <c r="U61" i="2"/>
  <c r="V61" i="2"/>
  <c r="W61" i="2"/>
  <c r="X61" i="2"/>
  <c r="Y61" i="2"/>
  <c r="Z61" i="2"/>
  <c r="N61" i="2"/>
  <c r="O45" i="2"/>
  <c r="O35" i="2" s="1"/>
  <c r="P45" i="2"/>
  <c r="P35" i="2" s="1"/>
  <c r="Q45" i="2"/>
  <c r="R45" i="2"/>
  <c r="R35" i="2" s="1"/>
  <c r="S45" i="2"/>
  <c r="S35" i="2" s="1"/>
  <c r="T45" i="2"/>
  <c r="T35" i="2" s="1"/>
  <c r="U45" i="2"/>
  <c r="V45" i="2"/>
  <c r="V35" i="2" s="1"/>
  <c r="W45" i="2"/>
  <c r="W35" i="2" s="1"/>
  <c r="X45" i="2"/>
  <c r="X35" i="2" s="1"/>
  <c r="Y45" i="2"/>
  <c r="Z45" i="2"/>
  <c r="Z35" i="2" s="1"/>
  <c r="N45" i="2"/>
  <c r="N35" i="2" s="1"/>
  <c r="O12" i="2"/>
  <c r="P12" i="2"/>
  <c r="R12" i="2"/>
  <c r="S12" i="2"/>
  <c r="T12" i="2"/>
  <c r="V12" i="2"/>
  <c r="W12" i="2"/>
  <c r="X12" i="2"/>
  <c r="Z12" i="2"/>
  <c r="N12" i="2"/>
  <c r="O60" i="2"/>
  <c r="P60" i="2"/>
  <c r="Q60" i="2"/>
  <c r="R60" i="2"/>
  <c r="S60" i="2"/>
  <c r="T60" i="2"/>
  <c r="U60" i="2"/>
  <c r="V60" i="2"/>
  <c r="W60" i="2"/>
  <c r="X60" i="2"/>
  <c r="Y60" i="2"/>
  <c r="Z60" i="2"/>
  <c r="N60" i="2"/>
  <c r="N58" i="2" l="1"/>
  <c r="Z58" i="2"/>
  <c r="R58" i="2"/>
  <c r="Q58" i="2"/>
  <c r="X58" i="2"/>
  <c r="P58" i="2"/>
  <c r="U12" i="2"/>
  <c r="Y35" i="2"/>
  <c r="Q35" i="2"/>
  <c r="Y58" i="2"/>
  <c r="Y12" i="2"/>
  <c r="Q12" i="2"/>
  <c r="S58" i="2"/>
  <c r="U35" i="2"/>
  <c r="W58" i="2"/>
  <c r="V58" i="2"/>
  <c r="O58" i="2"/>
  <c r="U58" i="2"/>
  <c r="T58" i="2"/>
  <c r="O5" i="2"/>
  <c r="P5" i="2"/>
  <c r="Q5" i="2"/>
  <c r="R5" i="2"/>
  <c r="S5" i="2"/>
  <c r="T5" i="2"/>
  <c r="U5" i="2"/>
  <c r="V5" i="2"/>
  <c r="W5" i="2"/>
  <c r="X5" i="2"/>
  <c r="Y5" i="2"/>
  <c r="Z5" i="2"/>
  <c r="N5" i="2"/>
  <c r="O86" i="2"/>
  <c r="P86" i="2"/>
  <c r="Q86" i="2"/>
  <c r="R86" i="2"/>
  <c r="S86" i="2"/>
  <c r="U86" i="2"/>
  <c r="V86" i="2"/>
  <c r="W86" i="2"/>
  <c r="X86" i="2"/>
  <c r="Y86" i="2"/>
  <c r="Z86" i="2"/>
  <c r="N86" i="2"/>
  <c r="H64" i="2" l="1"/>
  <c r="O47" i="2"/>
  <c r="P47" i="2"/>
  <c r="Q47" i="2"/>
  <c r="R47" i="2"/>
  <c r="S47" i="2"/>
  <c r="T47" i="2"/>
  <c r="U47" i="2"/>
  <c r="V47" i="2"/>
  <c r="W47" i="2"/>
  <c r="X47" i="2"/>
  <c r="Y47" i="2"/>
  <c r="Z47" i="2"/>
  <c r="N47" i="2"/>
  <c r="Z25" i="2"/>
  <c r="Z10" i="2" s="1"/>
  <c r="Y25" i="2"/>
  <c r="X25" i="2"/>
  <c r="W25" i="2"/>
  <c r="V25" i="2"/>
  <c r="U25" i="2"/>
  <c r="T25" i="2"/>
  <c r="S25" i="2"/>
  <c r="R25" i="2"/>
  <c r="R10" i="2" s="1"/>
  <c r="Q25" i="2"/>
  <c r="P25" i="2"/>
  <c r="O25" i="2"/>
  <c r="N25" i="2"/>
  <c r="V10" i="2"/>
  <c r="E5" i="2"/>
  <c r="E23" i="2" s="1"/>
  <c r="E5" i="9"/>
  <c r="E5" i="1"/>
  <c r="E85" i="2" l="1"/>
  <c r="E84" i="2"/>
  <c r="E28" i="9"/>
  <c r="E16" i="9"/>
  <c r="E15" i="9"/>
  <c r="E30" i="9"/>
  <c r="E80" i="2"/>
  <c r="E81" i="2"/>
  <c r="E83" i="2"/>
  <c r="E75" i="2"/>
  <c r="E82" i="2"/>
  <c r="E78" i="2"/>
  <c r="E76" i="2"/>
  <c r="E77" i="2"/>
  <c r="E79" i="2"/>
  <c r="E60" i="9"/>
  <c r="E57" i="9"/>
  <c r="E70" i="1"/>
  <c r="E36" i="1"/>
  <c r="E43" i="2"/>
  <c r="E21" i="2"/>
  <c r="E70" i="9"/>
  <c r="E58" i="9"/>
  <c r="E39" i="9"/>
  <c r="E12" i="9"/>
  <c r="E22" i="9"/>
  <c r="E36" i="9"/>
  <c r="E65" i="9"/>
  <c r="E52" i="9"/>
  <c r="E34" i="9"/>
  <c r="E42" i="9"/>
  <c r="E17" i="9"/>
  <c r="E25" i="9"/>
  <c r="E67" i="9"/>
  <c r="E68" i="9"/>
  <c r="E55" i="9"/>
  <c r="E37" i="9"/>
  <c r="E45" i="9"/>
  <c r="E20" i="9"/>
  <c r="E11" i="9"/>
  <c r="E74" i="9"/>
  <c r="E63" i="9"/>
  <c r="E59" i="9"/>
  <c r="E40" i="9"/>
  <c r="E13" i="9"/>
  <c r="E23" i="9"/>
  <c r="E54" i="9"/>
  <c r="E66" i="9"/>
  <c r="E53" i="9"/>
  <c r="E35" i="9"/>
  <c r="E43" i="9"/>
  <c r="E18" i="9"/>
  <c r="E26" i="9"/>
  <c r="E27" i="9"/>
  <c r="E69" i="9"/>
  <c r="E56" i="9"/>
  <c r="E38" i="9"/>
  <c r="E33" i="9"/>
  <c r="E21" i="9"/>
  <c r="E64" i="9"/>
  <c r="E51" i="9"/>
  <c r="E50" i="9"/>
  <c r="E41" i="9"/>
  <c r="E14" i="9"/>
  <c r="E24" i="9"/>
  <c r="E44" i="9"/>
  <c r="E19" i="9"/>
  <c r="E38" i="2"/>
  <c r="E29" i="2"/>
  <c r="E16" i="2"/>
  <c r="E26" i="2"/>
  <c r="E19" i="2"/>
  <c r="E49" i="2"/>
  <c r="E41" i="2"/>
  <c r="E52" i="2"/>
  <c r="E27" i="2"/>
  <c r="E39" i="2"/>
  <c r="E30" i="2"/>
  <c r="E14" i="2"/>
  <c r="E17" i="2"/>
  <c r="E50" i="2"/>
  <c r="E42" i="2"/>
  <c r="E20" i="2"/>
  <c r="E37" i="2"/>
  <c r="E28" i="2"/>
  <c r="E36" i="2"/>
  <c r="E48" i="2"/>
  <c r="E40" i="2"/>
  <c r="E31" i="2"/>
  <c r="E15" i="2"/>
  <c r="E18" i="2"/>
  <c r="E51" i="2"/>
  <c r="E13" i="2"/>
  <c r="E59" i="2"/>
  <c r="E61" i="2"/>
  <c r="E60" i="2"/>
  <c r="E45" i="2"/>
  <c r="E73" i="1"/>
  <c r="E68" i="1"/>
  <c r="E71" i="1"/>
  <c r="E62" i="1"/>
  <c r="E64" i="1"/>
  <c r="E35" i="1"/>
  <c r="E15" i="1"/>
  <c r="E18" i="1"/>
  <c r="E14" i="1"/>
  <c r="E21" i="1"/>
  <c r="E13" i="1"/>
  <c r="E67" i="1"/>
  <c r="E59" i="1"/>
  <c r="E57" i="1"/>
  <c r="E55" i="1"/>
  <c r="E51" i="1"/>
  <c r="E49" i="1"/>
  <c r="E47" i="1"/>
  <c r="E45" i="1"/>
  <c r="E43" i="1"/>
  <c r="E41" i="1"/>
  <c r="E32" i="1"/>
  <c r="E30" i="1"/>
  <c r="E28" i="1"/>
  <c r="E26" i="1"/>
  <c r="E69" i="1"/>
  <c r="E72" i="1"/>
  <c r="E61" i="1"/>
  <c r="E63" i="1"/>
  <c r="E52" i="1"/>
  <c r="E34" i="1"/>
  <c r="E16" i="1"/>
  <c r="E19" i="1"/>
  <c r="E20" i="1"/>
  <c r="E22" i="1"/>
  <c r="E60" i="1"/>
  <c r="E58" i="1"/>
  <c r="E56" i="1"/>
  <c r="E50" i="1"/>
  <c r="E48" i="1"/>
  <c r="E46" i="1"/>
  <c r="E44" i="1"/>
  <c r="E42" i="1"/>
  <c r="E33" i="1"/>
  <c r="E31" i="1"/>
  <c r="E29" i="1"/>
  <c r="E27" i="1"/>
  <c r="E25" i="1"/>
  <c r="Y33" i="2"/>
  <c r="U33" i="2"/>
  <c r="Q33" i="2"/>
  <c r="P33" i="2"/>
  <c r="X33" i="2"/>
  <c r="T33" i="2"/>
  <c r="S10" i="2"/>
  <c r="S33" i="2"/>
  <c r="E69" i="2"/>
  <c r="Q10" i="2"/>
  <c r="N33" i="2"/>
  <c r="V33" i="2"/>
  <c r="Z33" i="2"/>
  <c r="R33" i="2"/>
  <c r="W10" i="2"/>
  <c r="O10" i="2"/>
  <c r="N10" i="2"/>
  <c r="W33" i="2"/>
  <c r="O33" i="2"/>
  <c r="U10" i="2"/>
  <c r="Y10" i="2"/>
  <c r="X10" i="2"/>
  <c r="P10" i="2"/>
  <c r="T10" i="2"/>
  <c r="O62" i="9"/>
  <c r="P62" i="9"/>
  <c r="Q62" i="9"/>
  <c r="R62" i="9"/>
  <c r="S62" i="9"/>
  <c r="T62" i="9"/>
  <c r="U62" i="9"/>
  <c r="V62" i="9"/>
  <c r="W62" i="9"/>
  <c r="X62" i="9"/>
  <c r="Y62" i="9"/>
  <c r="Z62" i="9"/>
  <c r="N62" i="9"/>
  <c r="E86" i="2" l="1"/>
  <c r="E10" i="9"/>
  <c r="E24" i="1"/>
  <c r="E49" i="9"/>
  <c r="E32" i="9"/>
  <c r="E47" i="9" s="1"/>
  <c r="E62" i="9"/>
  <c r="E58" i="2"/>
  <c r="E12" i="1"/>
  <c r="E66" i="1"/>
  <c r="E35" i="2"/>
  <c r="E12" i="2"/>
  <c r="R54" i="2"/>
  <c r="R63" i="2" s="1"/>
  <c r="R64" i="2" s="1"/>
  <c r="Z54" i="2"/>
  <c r="Z63" i="2" s="1"/>
  <c r="Z64" i="2" s="1"/>
  <c r="V54" i="2"/>
  <c r="V63" i="2" s="1"/>
  <c r="V64" i="2" s="1"/>
  <c r="Y54" i="2"/>
  <c r="Y63" i="2" s="1"/>
  <c r="Y64" i="2" s="1"/>
  <c r="Q54" i="2"/>
  <c r="Q63" i="2" s="1"/>
  <c r="Q64" i="2" s="1"/>
  <c r="U54" i="2"/>
  <c r="U63" i="2" s="1"/>
  <c r="U64" i="2" s="1"/>
  <c r="X54" i="2"/>
  <c r="X63" i="2" s="1"/>
  <c r="X64" i="2" s="1"/>
  <c r="T54" i="2"/>
  <c r="T63" i="2" s="1"/>
  <c r="T64" i="2" s="1"/>
  <c r="S54" i="2"/>
  <c r="S63" i="2" s="1"/>
  <c r="S64" i="2" s="1"/>
  <c r="P54" i="2"/>
  <c r="P63" i="2" s="1"/>
  <c r="W54" i="2"/>
  <c r="W63" i="2" s="1"/>
  <c r="W64" i="2" s="1"/>
  <c r="O54" i="2"/>
  <c r="O63" i="2" s="1"/>
  <c r="N54" i="2"/>
  <c r="N63" i="2" s="1"/>
  <c r="E47" i="2"/>
  <c r="E25" i="2"/>
  <c r="E54" i="1"/>
  <c r="E40" i="1"/>
  <c r="Y49" i="9"/>
  <c r="Z49" i="9"/>
  <c r="Y54" i="1"/>
  <c r="Z54" i="1"/>
  <c r="Y40" i="1"/>
  <c r="Z40" i="1"/>
  <c r="Y12" i="1"/>
  <c r="Z12" i="1"/>
  <c r="E10" i="1" l="1"/>
  <c r="E33" i="2"/>
  <c r="E10" i="2"/>
  <c r="E72" i="9"/>
  <c r="E75" i="9" s="1"/>
  <c r="Z47" i="9"/>
  <c r="Z72" i="9" s="1"/>
  <c r="Z75" i="9" s="1"/>
  <c r="E38" i="1"/>
  <c r="Y47" i="9"/>
  <c r="Y72" i="9" s="1"/>
  <c r="Y75" i="9" s="1"/>
  <c r="Z38" i="1"/>
  <c r="Y38" i="1"/>
  <c r="Z10" i="1"/>
  <c r="Y10" i="1"/>
  <c r="E4" i="1" l="1"/>
  <c r="G58" i="2"/>
  <c r="E54" i="2"/>
  <c r="E63" i="2" s="1"/>
  <c r="G64" i="2" l="1"/>
  <c r="F5" i="2"/>
  <c r="F23" i="2" s="1"/>
  <c r="D5" i="2"/>
  <c r="D23" i="2" s="1"/>
  <c r="F5" i="9"/>
  <c r="D5" i="9"/>
  <c r="F5" i="1"/>
  <c r="D5" i="1"/>
  <c r="F84" i="2" l="1"/>
  <c r="F85" i="2"/>
  <c r="F28" i="9"/>
  <c r="F16" i="9"/>
  <c r="F15" i="9"/>
  <c r="F30" i="9"/>
  <c r="D28" i="9"/>
  <c r="D16" i="9"/>
  <c r="D15" i="9"/>
  <c r="D30" i="9"/>
  <c r="D77" i="2"/>
  <c r="D80" i="2"/>
  <c r="D78" i="2"/>
  <c r="D83" i="2"/>
  <c r="D75" i="2"/>
  <c r="D82" i="2"/>
  <c r="D81" i="2"/>
  <c r="D79" i="2"/>
  <c r="D76" i="2"/>
  <c r="F83" i="2"/>
  <c r="F75" i="2"/>
  <c r="F78" i="2"/>
  <c r="F80" i="2"/>
  <c r="F81" i="2"/>
  <c r="F77" i="2"/>
  <c r="F76" i="2"/>
  <c r="F79" i="2"/>
  <c r="F82" i="2"/>
  <c r="D60" i="9"/>
  <c r="D57" i="9"/>
  <c r="F60" i="9"/>
  <c r="F57" i="9"/>
  <c r="D70" i="1"/>
  <c r="D36" i="1"/>
  <c r="F70" i="1"/>
  <c r="F36" i="1"/>
  <c r="F21" i="2"/>
  <c r="F43" i="2"/>
  <c r="D43" i="2"/>
  <c r="D21" i="2"/>
  <c r="D65" i="9"/>
  <c r="D52" i="9"/>
  <c r="D34" i="9"/>
  <c r="D42" i="9"/>
  <c r="D17" i="9"/>
  <c r="D25" i="9"/>
  <c r="D70" i="9"/>
  <c r="D68" i="9"/>
  <c r="D55" i="9"/>
  <c r="D37" i="9"/>
  <c r="D45" i="9"/>
  <c r="D20" i="9"/>
  <c r="D11" i="9"/>
  <c r="D59" i="9"/>
  <c r="D40" i="9"/>
  <c r="D13" i="9"/>
  <c r="D23" i="9"/>
  <c r="D24" i="9"/>
  <c r="D58" i="9"/>
  <c r="D12" i="9"/>
  <c r="D66" i="9"/>
  <c r="D53" i="9"/>
  <c r="D35" i="9"/>
  <c r="D43" i="9"/>
  <c r="D18" i="9"/>
  <c r="D26" i="9"/>
  <c r="D39" i="9"/>
  <c r="D22" i="9"/>
  <c r="D74" i="9"/>
  <c r="D69" i="9"/>
  <c r="D63" i="9"/>
  <c r="D56" i="9"/>
  <c r="D38" i="9"/>
  <c r="D21" i="9"/>
  <c r="D64" i="9"/>
  <c r="D51" i="9"/>
  <c r="D41" i="9"/>
  <c r="D14" i="9"/>
  <c r="D67" i="9"/>
  <c r="D54" i="9"/>
  <c r="D36" i="9"/>
  <c r="D44" i="9"/>
  <c r="D33" i="9"/>
  <c r="D19" i="9"/>
  <c r="D27" i="9"/>
  <c r="D50" i="9"/>
  <c r="F67" i="9"/>
  <c r="F54" i="9"/>
  <c r="F36" i="9"/>
  <c r="F44" i="9"/>
  <c r="F19" i="9"/>
  <c r="F27" i="9"/>
  <c r="F18" i="9"/>
  <c r="F14" i="9"/>
  <c r="F70" i="9"/>
  <c r="F58" i="9"/>
  <c r="F39" i="9"/>
  <c r="F12" i="9"/>
  <c r="F22" i="9"/>
  <c r="F26" i="9"/>
  <c r="F24" i="9"/>
  <c r="F74" i="9"/>
  <c r="F65" i="9"/>
  <c r="F63" i="9"/>
  <c r="F52" i="9"/>
  <c r="F34" i="9"/>
  <c r="F42" i="9"/>
  <c r="F17" i="9"/>
  <c r="F25" i="9"/>
  <c r="F68" i="9"/>
  <c r="F55" i="9"/>
  <c r="F37" i="9"/>
  <c r="F45" i="9"/>
  <c r="F20" i="9"/>
  <c r="F11" i="9"/>
  <c r="F59" i="9"/>
  <c r="F40" i="9"/>
  <c r="F33" i="9"/>
  <c r="F13" i="9"/>
  <c r="F23" i="9"/>
  <c r="F64" i="9"/>
  <c r="F41" i="9"/>
  <c r="F66" i="9"/>
  <c r="F53" i="9"/>
  <c r="F50" i="9"/>
  <c r="F35" i="9"/>
  <c r="F43" i="9"/>
  <c r="F51" i="9"/>
  <c r="F69" i="9"/>
  <c r="F56" i="9"/>
  <c r="F38" i="9"/>
  <c r="F21" i="9"/>
  <c r="F26" i="2"/>
  <c r="F51" i="2"/>
  <c r="F36" i="2"/>
  <c r="F13" i="2"/>
  <c r="F38" i="2"/>
  <c r="F29" i="2"/>
  <c r="F16" i="2"/>
  <c r="F49" i="2"/>
  <c r="F41" i="2"/>
  <c r="F19" i="2"/>
  <c r="F52" i="2"/>
  <c r="F27" i="2"/>
  <c r="F39" i="2"/>
  <c r="F30" i="2"/>
  <c r="F14" i="2"/>
  <c r="F17" i="2"/>
  <c r="F31" i="2"/>
  <c r="F50" i="2"/>
  <c r="F42" i="2"/>
  <c r="F20" i="2"/>
  <c r="F18" i="2"/>
  <c r="F37" i="2"/>
  <c r="F28" i="2"/>
  <c r="F40" i="2"/>
  <c r="F48" i="2"/>
  <c r="F15" i="2"/>
  <c r="F59" i="2"/>
  <c r="F61" i="2"/>
  <c r="F60" i="2"/>
  <c r="F45" i="2"/>
  <c r="D49" i="2"/>
  <c r="D41" i="2"/>
  <c r="D26" i="2"/>
  <c r="D19" i="2"/>
  <c r="D27" i="2"/>
  <c r="D52" i="2"/>
  <c r="D16" i="2"/>
  <c r="D39" i="2"/>
  <c r="D30" i="2"/>
  <c r="D14" i="2"/>
  <c r="D17" i="2"/>
  <c r="D20" i="2"/>
  <c r="D50" i="2"/>
  <c r="D42" i="2"/>
  <c r="D37" i="2"/>
  <c r="D28" i="2"/>
  <c r="D38" i="2"/>
  <c r="D48" i="2"/>
  <c r="D40" i="2"/>
  <c r="D31" i="2"/>
  <c r="D15" i="2"/>
  <c r="D18" i="2"/>
  <c r="D51" i="2"/>
  <c r="D36" i="2"/>
  <c r="D13" i="2"/>
  <c r="D29" i="2"/>
  <c r="D59" i="2"/>
  <c r="D61" i="2"/>
  <c r="D60" i="2"/>
  <c r="D45" i="2"/>
  <c r="D73" i="1"/>
  <c r="D67" i="1"/>
  <c r="D59" i="1"/>
  <c r="D57" i="1"/>
  <c r="D55" i="1"/>
  <c r="D51" i="1"/>
  <c r="D49" i="1"/>
  <c r="D47" i="1"/>
  <c r="D45" i="1"/>
  <c r="D43" i="1"/>
  <c r="D41" i="1"/>
  <c r="D32" i="1"/>
  <c r="D30" i="1"/>
  <c r="D28" i="1"/>
  <c r="D26" i="1"/>
  <c r="D69" i="1"/>
  <c r="D72" i="1"/>
  <c r="D61" i="1"/>
  <c r="D63" i="1"/>
  <c r="D52" i="1"/>
  <c r="D34" i="1"/>
  <c r="D16" i="1"/>
  <c r="D19" i="1"/>
  <c r="D20" i="1"/>
  <c r="D22" i="1"/>
  <c r="D60" i="1"/>
  <c r="D58" i="1"/>
  <c r="D56" i="1"/>
  <c r="D50" i="1"/>
  <c r="D48" i="1"/>
  <c r="D46" i="1"/>
  <c r="D44" i="1"/>
  <c r="D42" i="1"/>
  <c r="D33" i="1"/>
  <c r="D31" i="1"/>
  <c r="D29" i="1"/>
  <c r="D27" i="1"/>
  <c r="D25" i="1"/>
  <c r="D68" i="1"/>
  <c r="D71" i="1"/>
  <c r="D62" i="1"/>
  <c r="D64" i="1"/>
  <c r="D35" i="1"/>
  <c r="D15" i="1"/>
  <c r="D18" i="1"/>
  <c r="D14" i="1"/>
  <c r="D21" i="1"/>
  <c r="D13" i="1"/>
  <c r="F73" i="1"/>
  <c r="F67" i="1"/>
  <c r="F59" i="1"/>
  <c r="F57" i="1"/>
  <c r="F55" i="1"/>
  <c r="F51" i="1"/>
  <c r="F49" i="1"/>
  <c r="F47" i="1"/>
  <c r="F45" i="1"/>
  <c r="F43" i="1"/>
  <c r="F41" i="1"/>
  <c r="F32" i="1"/>
  <c r="F30" i="1"/>
  <c r="F28" i="1"/>
  <c r="F26" i="1"/>
  <c r="F68" i="1"/>
  <c r="F71" i="1"/>
  <c r="F62" i="1"/>
  <c r="F64" i="1"/>
  <c r="F35" i="1"/>
  <c r="F15" i="1"/>
  <c r="F18" i="1"/>
  <c r="F14" i="1"/>
  <c r="F21" i="1"/>
  <c r="F13" i="1"/>
  <c r="F60" i="1"/>
  <c r="F58" i="1"/>
  <c r="F56" i="1"/>
  <c r="F50" i="1"/>
  <c r="F48" i="1"/>
  <c r="F46" i="1"/>
  <c r="F44" i="1"/>
  <c r="F42" i="1"/>
  <c r="F33" i="1"/>
  <c r="F31" i="1"/>
  <c r="F29" i="1"/>
  <c r="F27" i="1"/>
  <c r="F25" i="1"/>
  <c r="F69" i="1"/>
  <c r="F72" i="1"/>
  <c r="F61" i="1"/>
  <c r="F63" i="1"/>
  <c r="F52" i="1"/>
  <c r="F34" i="1"/>
  <c r="F16" i="1"/>
  <c r="F19" i="1"/>
  <c r="F20" i="1"/>
  <c r="F22" i="1"/>
  <c r="G47" i="2"/>
  <c r="D69" i="2"/>
  <c r="F69" i="2"/>
  <c r="D10" i="9" l="1"/>
  <c r="D86" i="2"/>
  <c r="F86" i="2"/>
  <c r="F10" i="9"/>
  <c r="F62" i="9"/>
  <c r="F24" i="1"/>
  <c r="D24" i="1"/>
  <c r="D58" i="2"/>
  <c r="F58" i="2"/>
  <c r="D49" i="9"/>
  <c r="F49" i="9"/>
  <c r="D62" i="9"/>
  <c r="F32" i="9"/>
  <c r="D32" i="9"/>
  <c r="F66" i="1"/>
  <c r="D66" i="1"/>
  <c r="G47" i="9"/>
  <c r="G12" i="2"/>
  <c r="F35" i="2"/>
  <c r="D12" i="2"/>
  <c r="D35" i="2"/>
  <c r="G35" i="2"/>
  <c r="F12" i="2"/>
  <c r="D47" i="2"/>
  <c r="F47" i="2"/>
  <c r="G25" i="2"/>
  <c r="F25" i="2"/>
  <c r="D25" i="2"/>
  <c r="X49" i="9"/>
  <c r="W49" i="9"/>
  <c r="V49" i="9"/>
  <c r="P49" i="9"/>
  <c r="X45" i="1"/>
  <c r="X54" i="1"/>
  <c r="X12" i="1"/>
  <c r="G33" i="2" l="1"/>
  <c r="F33" i="2"/>
  <c r="D10" i="2"/>
  <c r="F10" i="2"/>
  <c r="G10" i="2"/>
  <c r="D33" i="2"/>
  <c r="X40" i="1"/>
  <c r="X38" i="1" s="1"/>
  <c r="G54" i="1"/>
  <c r="D12" i="1"/>
  <c r="F12" i="1"/>
  <c r="F40" i="1"/>
  <c r="F54" i="1"/>
  <c r="D40" i="1"/>
  <c r="D54" i="1"/>
  <c r="X47" i="9"/>
  <c r="X72" i="9" s="1"/>
  <c r="X75" i="9" s="1"/>
  <c r="W47" i="9"/>
  <c r="W72" i="9" s="1"/>
  <c r="W75" i="9" s="1"/>
  <c r="V47" i="9"/>
  <c r="V72" i="9" s="1"/>
  <c r="V75" i="9" s="1"/>
  <c r="P47" i="9"/>
  <c r="X10" i="1"/>
  <c r="G54" i="2" l="1"/>
  <c r="G63" i="2" s="1"/>
  <c r="D54" i="2"/>
  <c r="D63" i="2" s="1"/>
  <c r="F54" i="2"/>
  <c r="F63" i="2" s="1"/>
  <c r="F10" i="1"/>
  <c r="D10" i="1"/>
  <c r="G10" i="1"/>
  <c r="F38" i="1"/>
  <c r="G38" i="1"/>
  <c r="D38" i="1"/>
  <c r="U49" i="9"/>
  <c r="T49" i="9"/>
  <c r="G4" i="1" l="1"/>
  <c r="D4" i="1"/>
  <c r="T47" i="9"/>
  <c r="T72" i="9" s="1"/>
  <c r="T75" i="9" s="1"/>
  <c r="U47" i="9"/>
  <c r="U72" i="9" s="1"/>
  <c r="U75" i="9" s="1"/>
  <c r="W40" i="1"/>
  <c r="W54" i="1"/>
  <c r="V54" i="1"/>
  <c r="V40" i="1"/>
  <c r="W12" i="1"/>
  <c r="V12" i="1"/>
  <c r="U54" i="1"/>
  <c r="U40" i="1"/>
  <c r="U12" i="1"/>
  <c r="T54" i="1"/>
  <c r="T40" i="1"/>
  <c r="T12" i="1"/>
  <c r="W10" i="1" l="1"/>
  <c r="W38" i="1"/>
  <c r="V38" i="1"/>
  <c r="V10" i="1"/>
  <c r="U38" i="1"/>
  <c r="U10" i="1"/>
  <c r="T10" i="1"/>
  <c r="T38" i="1"/>
  <c r="S49" i="9" l="1"/>
  <c r="R49" i="9"/>
  <c r="Q49" i="9"/>
  <c r="O49" i="9"/>
  <c r="N49" i="9"/>
  <c r="N12" i="1" l="1"/>
  <c r="R47" i="9"/>
  <c r="O47" i="9"/>
  <c r="D47" i="9" l="1"/>
  <c r="R72" i="9"/>
  <c r="R75" i="9" s="1"/>
  <c r="Q47" i="9"/>
  <c r="Q72" i="9" s="1"/>
  <c r="Q75" i="9" s="1"/>
  <c r="O72" i="9"/>
  <c r="O75" i="9" s="1"/>
  <c r="P72" i="9"/>
  <c r="P75" i="9" s="1"/>
  <c r="S47" i="9"/>
  <c r="S72" i="9" s="1"/>
  <c r="S75" i="9" s="1"/>
  <c r="N47" i="9"/>
  <c r="D72" i="9" l="1"/>
  <c r="D75" i="9" s="1"/>
  <c r="F47" i="9"/>
  <c r="N72" i="9"/>
  <c r="N75" i="9" s="1"/>
  <c r="F64" i="2" l="1"/>
  <c r="G72" i="9"/>
  <c r="G75" i="9" s="1"/>
  <c r="F72" i="9"/>
  <c r="F75" i="9" s="1"/>
  <c r="S54" i="1"/>
  <c r="R54" i="1"/>
  <c r="Q54" i="1"/>
  <c r="P54" i="1"/>
  <c r="O54" i="1"/>
  <c r="N54" i="1"/>
  <c r="S40" i="1"/>
  <c r="R40" i="1"/>
  <c r="Q40" i="1"/>
  <c r="P40" i="1"/>
  <c r="O40" i="1"/>
  <c r="N40" i="1"/>
  <c r="S12" i="1"/>
  <c r="R12" i="1"/>
  <c r="Q12" i="1"/>
  <c r="P12" i="1"/>
  <c r="O12" i="1"/>
  <c r="N38" i="1" l="1"/>
  <c r="S10" i="1"/>
  <c r="R10" i="1"/>
  <c r="Q10" i="1"/>
  <c r="P10" i="1"/>
  <c r="O10" i="1"/>
  <c r="N10" i="1"/>
  <c r="S38" i="1" l="1"/>
  <c r="Q38" i="1"/>
  <c r="O38" i="1"/>
  <c r="P38" i="1"/>
  <c r="R38" i="1" l="1"/>
  <c r="D64" i="2" l="1"/>
  <c r="E64" i="2" l="1"/>
</calcChain>
</file>

<file path=xl/sharedStrings.xml><?xml version="1.0" encoding="utf-8"?>
<sst xmlns="http://schemas.openxmlformats.org/spreadsheetml/2006/main" count="565" uniqueCount="335">
  <si>
    <t>Planilha de dados históricos financeiros e operacionais</t>
  </si>
  <si>
    <t>Legenda:</t>
  </si>
  <si>
    <t xml:space="preserve"> Fórmula</t>
  </si>
  <si>
    <t xml:space="preserve"> Input (dado original)</t>
  </si>
  <si>
    <t>Demonstrações Contábeis</t>
  </si>
  <si>
    <t>UDM</t>
  </si>
  <si>
    <t xml:space="preserve">Demonstração do Resultado </t>
  </si>
  <si>
    <t>Consolidado  (R$ mil)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</si>
  <si>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</si>
  <si>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</si>
  <si>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</si>
  <si>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</si>
  <si>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</si>
  <si>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</si>
  <si>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</si>
  <si>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</si>
  <si>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</si>
  <si>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</si>
  <si>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</si>
  <si>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</si>
  <si>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</si>
  <si>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</si>
  <si>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</si>
  <si>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</si>
  <si>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Receita Líquida de Venda de Bens e/ou Serviços</t>
  </si>
  <si>
    <t>Mercado Interno</t>
  </si>
  <si>
    <t>% da receita liquida</t>
  </si>
  <si>
    <t>Mercado Externo</t>
  </si>
  <si>
    <t>Variação do valor justo dos ativos biológicos</t>
  </si>
  <si>
    <t>Custo dos produtos vendidos</t>
  </si>
  <si>
    <t>Resultado Bruto</t>
  </si>
  <si>
    <t>(Despesas) Receitas Operacionais</t>
  </si>
  <si>
    <t>Com Vendas</t>
  </si>
  <si>
    <r>
      <t xml:space="preserve">Perdas por </t>
    </r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contas a receber</t>
    </r>
  </si>
  <si>
    <t>Gerais e Administrativas</t>
  </si>
  <si>
    <t>Outras (despesas) Receitas Operacionais, líquidas</t>
  </si>
  <si>
    <t>Participação dos administradores</t>
  </si>
  <si>
    <t>Resultado Antes do Resultado Financeiro e dos Tributos</t>
  </si>
  <si>
    <t>Resultado Financeiro</t>
  </si>
  <si>
    <t>Receitas Financeiras</t>
  </si>
  <si>
    <t>Despesas Financeiras</t>
  </si>
  <si>
    <t>Resultado Antes dos Tributos sobre o Lucro</t>
  </si>
  <si>
    <t>Imposto de Renda e Contribuição Social sobre o Lucro</t>
  </si>
  <si>
    <t>Corrente</t>
  </si>
  <si>
    <t>Diferido</t>
  </si>
  <si>
    <t>Resultado Líquido das Operações Continuadas</t>
  </si>
  <si>
    <t>Resultado Líquido do período</t>
  </si>
  <si>
    <t>Resultado Operacional antes de Tributos e Participações</t>
  </si>
  <si>
    <t>Exaustão</t>
  </si>
  <si>
    <t>Depreciação e Amortização</t>
  </si>
  <si>
    <t xml:space="preserve">EBITDA </t>
  </si>
  <si>
    <t xml:space="preserve">Margem EBITDA </t>
  </si>
  <si>
    <r>
      <t xml:space="preserve">Variação do Valor Justo dos Ativos Biológicos </t>
    </r>
    <r>
      <rPr>
        <vertAlign val="superscript"/>
        <sz val="12"/>
        <rFont val="Calibri"/>
        <family val="2"/>
        <scheme val="minor"/>
      </rPr>
      <t>(1)</t>
    </r>
  </si>
  <si>
    <r>
      <t>Eventos Não Recorrentes</t>
    </r>
    <r>
      <rPr>
        <vertAlign val="superscript"/>
        <sz val="12"/>
        <rFont val="Calibri"/>
        <family val="2"/>
        <scheme val="minor"/>
      </rPr>
      <t xml:space="preserve"> (2)</t>
    </r>
  </si>
  <si>
    <r>
      <t>Participação dos Administradores</t>
    </r>
    <r>
      <rPr>
        <vertAlign val="superscript"/>
        <sz val="12"/>
        <rFont val="Calibri"/>
        <family val="2"/>
      </rPr>
      <t xml:space="preserve"> (3)</t>
    </r>
  </si>
  <si>
    <t>EBITDA Ajustado operação continuada</t>
  </si>
  <si>
    <t>Margem EBITDA Ajustada</t>
  </si>
  <si>
    <t>EBITDA Ajustado</t>
  </si>
  <si>
    <t>O valor de (R$ 1.189 mil) no 3T21 refere-se a R$ 1.176 mil da venda de ativos da operação descontinuada e (R$ 2.365 mil) de crédito de ação judicial sobre juros abusivos SP - Precatórios.</t>
  </si>
  <si>
    <t>O valor de (R$ 3.341 mil) no 2T21 refere-se a venda de ativos da operação descontinuada.</t>
  </si>
  <si>
    <t>O valor de R$ 771 mil no 4T20 refere-se a Impairment de ativos de controladas (IGE e HGE).</t>
  </si>
  <si>
    <t>O valor de (R$ 9.352 mil) 3T20 refere-se a provisão não recorrente  do crédito de PIS e COFINS.</t>
  </si>
  <si>
    <t>O valor de (R$ 16.093 mil) no 4T19 refere-se a resultado da venda de terras.</t>
  </si>
  <si>
    <t>O valor de (R$ 70.124 mil) 3T19 refere-se a provisão não recorrente referente ao crédito de PIS e COFINS no valor de (R$ 74.124) mil, e provisão para contingências não recorrentes no valor de R$ 4.000 mil.</t>
  </si>
  <si>
    <t xml:space="preserve">             </t>
  </si>
  <si>
    <t xml:space="preserve">                      </t>
  </si>
  <si>
    <t xml:space="preserve">Balanço Patrimonial  </t>
  </si>
  <si>
    <t xml:space="preserve">ATIVO TOTAL </t>
  </si>
  <si>
    <t>ATIVO CIRCULANTE</t>
  </si>
  <si>
    <t xml:space="preserve">   Caixa e equivalentes de caixa</t>
  </si>
  <si>
    <t xml:space="preserve">   Contas a receber de clientes</t>
  </si>
  <si>
    <t xml:space="preserve">   Tributos a recuperar</t>
  </si>
  <si>
    <t xml:space="preserve">   Ativos não circulantes mantidos para venda</t>
  </si>
  <si>
    <t xml:space="preserve">   Bancos conta vinculada</t>
  </si>
  <si>
    <t xml:space="preserve">   Aplicações financeiras</t>
  </si>
  <si>
    <t xml:space="preserve">   Outros ativos</t>
  </si>
  <si>
    <r>
      <t xml:space="preserve">   Instrumentos Financeiros Derivativos - </t>
    </r>
    <r>
      <rPr>
        <i/>
        <sz val="12"/>
        <color theme="1" tint="0.14999847407452621"/>
        <rFont val="Calibri"/>
        <family val="2"/>
      </rPr>
      <t>Swap</t>
    </r>
  </si>
  <si>
    <t xml:space="preserve">   Estoques</t>
  </si>
  <si>
    <t>ATIVO NÃO CIRCULANTE</t>
  </si>
  <si>
    <t xml:space="preserve">   Depósitos judiciais</t>
  </si>
  <si>
    <t xml:space="preserve">   Ativo Biológico</t>
  </si>
  <si>
    <t xml:space="preserve">   Propriedade para investimento</t>
  </si>
  <si>
    <t xml:space="preserve">   Imobilizado</t>
  </si>
  <si>
    <t xml:space="preserve">   Intangível</t>
  </si>
  <si>
    <t xml:space="preserve">   Direito de Uso de ativos</t>
  </si>
  <si>
    <t xml:space="preserve">   IRPJ e CSLL a recuperar</t>
  </si>
  <si>
    <t>Outros Investimentos</t>
  </si>
  <si>
    <t>PASSIVO TOTAL</t>
  </si>
  <si>
    <t>PASSIVO CIRCULANTE</t>
  </si>
  <si>
    <t xml:space="preserve">  Empréstimos e financiamentos</t>
  </si>
  <si>
    <t xml:space="preserve">  Passivo de arrendamento</t>
  </si>
  <si>
    <t xml:space="preserve">  Fornecedores</t>
  </si>
  <si>
    <t xml:space="preserve">  Dividendos a pagar </t>
  </si>
  <si>
    <t xml:space="preserve">  Obrigações tributárias</t>
  </si>
  <si>
    <t xml:space="preserve">  IR e CSLL a pagar</t>
  </si>
  <si>
    <t xml:space="preserve">  Obrigações sociais e previdenciárias</t>
  </si>
  <si>
    <t xml:space="preserve">  Parcelamentos tributários</t>
  </si>
  <si>
    <t xml:space="preserve">  Debêntures</t>
  </si>
  <si>
    <t xml:space="preserve">  Instrumentos financeiros derivativos - swap</t>
  </si>
  <si>
    <t xml:space="preserve">  Adiantamento de clientes</t>
  </si>
  <si>
    <t xml:space="preserve">  Outras contas a pagar</t>
  </si>
  <si>
    <t>PASSIVO NÃO CIRCULANTE</t>
  </si>
  <si>
    <r>
      <t xml:space="preserve">  Instrumentos financeiros derivativos - </t>
    </r>
    <r>
      <rPr>
        <i/>
        <sz val="12"/>
        <color theme="1" tint="0.14999847407452621"/>
        <rFont val="Calibri"/>
        <family val="2"/>
      </rPr>
      <t>swap</t>
    </r>
  </si>
  <si>
    <t xml:space="preserve">  Obrigações sociais e previdenciárias </t>
  </si>
  <si>
    <t xml:space="preserve">  Provisão para riscos cíveis, trabalhistas e tributários</t>
  </si>
  <si>
    <t xml:space="preserve">  IR e contribuição social diferidos</t>
  </si>
  <si>
    <t>PATRIMÔNIO LÍQUIDO</t>
  </si>
  <si>
    <t xml:space="preserve">  Capital social </t>
  </si>
  <si>
    <t xml:space="preserve">  Reserva de lucro</t>
  </si>
  <si>
    <t xml:space="preserve">  Reserva de capital</t>
  </si>
  <si>
    <t xml:space="preserve">  Ações em tesouraria</t>
  </si>
  <si>
    <t xml:space="preserve">  Ajustes de avaliação patrimonial</t>
  </si>
  <si>
    <t xml:space="preserve">  Lucros/Prejuízos acumulados </t>
  </si>
  <si>
    <t xml:space="preserve">  Outros</t>
  </si>
  <si>
    <t xml:space="preserve"> </t>
  </si>
  <si>
    <t>Fluxo de caixa</t>
  </si>
  <si>
    <t>Caixa Gerado nas Operações</t>
  </si>
  <si>
    <t>Lucro/(Prejuízo) antes do imposto de renda e contribuição social (LAIR)</t>
  </si>
  <si>
    <t>Depreciação, amortização e exaustão</t>
  </si>
  <si>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sobre Ativo Imobilizado</t>
    </r>
  </si>
  <si>
    <t>Provisão/reversão para riscos cíveis, trabalhistas e tributários</t>
  </si>
  <si>
    <r>
      <t>Provisão para</t>
    </r>
    <r>
      <rPr>
        <i/>
        <sz val="12"/>
        <rFont val="Calibri"/>
        <family val="2"/>
      </rPr>
      <t xml:space="preserve"> Impairment</t>
    </r>
    <r>
      <rPr>
        <sz val="12"/>
        <rFont val="Calibri"/>
        <family val="2"/>
      </rPr>
      <t xml:space="preserve"> de contas a receber de clientes </t>
    </r>
  </si>
  <si>
    <t>Provisão para perdas de outros ativos</t>
  </si>
  <si>
    <t>Variações monetárias e encargos sobre empréstimos, financiamentos e debêntures</t>
  </si>
  <si>
    <t>Juros sobre Passivos de Arrendamento</t>
  </si>
  <si>
    <t>Juros sobre Debêntures</t>
  </si>
  <si>
    <t>Exclusão do ICMS da base de cálculo do PIS e da COFINS</t>
  </si>
  <si>
    <t xml:space="preserve">Créditos Tributários Extemporâneos </t>
  </si>
  <si>
    <t>Variações nos Ativos e Passivos</t>
  </si>
  <si>
    <t xml:space="preserve">Contas a receber </t>
  </si>
  <si>
    <t>Estoques</t>
  </si>
  <si>
    <t>Impostos a recuperar</t>
  </si>
  <si>
    <t>Outros ativos</t>
  </si>
  <si>
    <t>Fornecedores</t>
  </si>
  <si>
    <t>Obrigações sociais e previdenciárias</t>
  </si>
  <si>
    <t>Adiantamento de clientes</t>
  </si>
  <si>
    <t>Obrigações tributárias</t>
  </si>
  <si>
    <t>Outras contas a pagar</t>
  </si>
  <si>
    <t xml:space="preserve">Pagamento de juros sobre empréstimos, financiamentos e debêntures </t>
  </si>
  <si>
    <t>Pagamento de juros sobre passivo de arrendamento</t>
  </si>
  <si>
    <t>Impostos pagos (IR e CSLL)</t>
  </si>
  <si>
    <t>Ajuste de swap</t>
  </si>
  <si>
    <t>Caixa Líquido Atividades Operacionais</t>
  </si>
  <si>
    <t>Caixa Líquido Atividades de Investimento</t>
  </si>
  <si>
    <t>Aquisição de imobilizado</t>
  </si>
  <si>
    <t>Aquisição de ativo biológico</t>
  </si>
  <si>
    <t>Aquisição de intangível</t>
  </si>
  <si>
    <t>Aquisição de ações de controlada</t>
  </si>
  <si>
    <t>Recebimento na Venda de Ativos não Circulantes Mantidos para Venda</t>
  </si>
  <si>
    <t>Recebimento em alienação de ativo Imobilizado</t>
  </si>
  <si>
    <t>Aplicações financeiras</t>
  </si>
  <si>
    <t>Resgate de aplicações financeiras</t>
  </si>
  <si>
    <t>Bancos conta vinculada</t>
  </si>
  <si>
    <t>Redução de capital de não controladores</t>
  </si>
  <si>
    <t>Outros investimentos</t>
  </si>
  <si>
    <t>Caixa Líquido Atividades de Financiamento</t>
  </si>
  <si>
    <t>Pagamento de dividendos e Juros sobre o Capital Próprio</t>
  </si>
  <si>
    <t>Passivo de Arrendamento pagos</t>
  </si>
  <si>
    <t>Emissão de Debêntures (Líquido dos Custos de Captação)</t>
  </si>
  <si>
    <t>Empréstimos captados</t>
  </si>
  <si>
    <t>Empréstimos e debêntures pagos</t>
  </si>
  <si>
    <t xml:space="preserve">Integralização de Capital </t>
  </si>
  <si>
    <t>Custo com Emissão de Ações</t>
  </si>
  <si>
    <t>Recompra de ações</t>
  </si>
  <si>
    <t xml:space="preserve">Aumento (redução) de Caixa e Equivalentes </t>
  </si>
  <si>
    <t>Caixa e Equivalentes de Caixa no Início do Período</t>
  </si>
  <si>
    <t>Caixa e Equivalentes de Caixa no Final do Período</t>
  </si>
  <si>
    <t xml:space="preserve">Endividamento </t>
  </si>
  <si>
    <t>Circulante</t>
  </si>
  <si>
    <t>Moeda Nacional</t>
  </si>
  <si>
    <t>FINAME</t>
  </si>
  <si>
    <t>Capital de giro</t>
  </si>
  <si>
    <r>
      <t xml:space="preserve">Leasing </t>
    </r>
    <r>
      <rPr>
        <sz val="12"/>
        <rFont val="Calibri"/>
        <family val="2"/>
        <scheme val="minor"/>
      </rPr>
      <t>financeiro</t>
    </r>
  </si>
  <si>
    <t>Capital de giro - Operação Sindicalizada</t>
  </si>
  <si>
    <t>BNDES</t>
  </si>
  <si>
    <t>Notas Promissórias</t>
  </si>
  <si>
    <t>Debênture Simples Publica (Terceira Emissão)</t>
  </si>
  <si>
    <t>Debênture Simples Privada (Quarta Emissão)</t>
  </si>
  <si>
    <t>Debênture Simples Privada (Quinta Emissão)</t>
  </si>
  <si>
    <t>Instrumentos Derivativos Swap</t>
  </si>
  <si>
    <t>Moeda estrangeira</t>
  </si>
  <si>
    <t>Adiantamento contrato de câmbio</t>
  </si>
  <si>
    <t>Bank of America - PPE</t>
  </si>
  <si>
    <t>Banco Santander - PPE</t>
  </si>
  <si>
    <t>Banco Rabobank e Santander PPE</t>
  </si>
  <si>
    <t>Banco De Lage Landen</t>
  </si>
  <si>
    <t>Banco LBBW - FINIMP</t>
  </si>
  <si>
    <t>Não Circulante</t>
  </si>
  <si>
    <t xml:space="preserve">   Bank of America - PPE</t>
  </si>
  <si>
    <t xml:space="preserve">   Banco Santander - PPE</t>
  </si>
  <si>
    <t xml:space="preserve">   Banco Rabobank e Santander PPE</t>
  </si>
  <si>
    <t xml:space="preserve">   Banco LBBW - FINIMP</t>
  </si>
  <si>
    <t xml:space="preserve">   Banco De Lage Landen</t>
  </si>
  <si>
    <t>Total</t>
  </si>
  <si>
    <t>Saldo de Caixa</t>
  </si>
  <si>
    <t>Caixa e equivalentes de caixa</t>
  </si>
  <si>
    <t>Dívida Líquida (R$ milhões)</t>
  </si>
  <si>
    <t xml:space="preserve">Dívida Líquida/EBITDA Ajustado(x) </t>
  </si>
  <si>
    <t>Custo médio da dívida</t>
  </si>
  <si>
    <t>Vencimentos no longo prazo:</t>
  </si>
  <si>
    <t>Trimestre</t>
  </si>
  <si>
    <t>Ano</t>
  </si>
  <si>
    <t>Produção/Vendas Papelão Ondulado</t>
  </si>
  <si>
    <t>Receita Líquida Papelão Ondulado</t>
  </si>
  <si>
    <t>Receita Líquida Resina</t>
  </si>
  <si>
    <t>Receita Líquida Corporativo</t>
  </si>
  <si>
    <t>Receita Líquida média P.O.</t>
  </si>
  <si>
    <t>Trimestral</t>
  </si>
  <si>
    <t>4T22</t>
  </si>
  <si>
    <t>3T22</t>
  </si>
  <si>
    <t>2T22</t>
  </si>
  <si>
    <t>1T22</t>
  </si>
  <si>
    <t>4T21</t>
  </si>
  <si>
    <t>3T21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</si>
  <si>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</si>
  <si>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</si>
  <si>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</si>
  <si>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</si>
  <si>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</si>
  <si>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</si>
  <si>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</si>
  <si>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</si>
  <si>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</si>
  <si>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</si>
  <si>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</si>
  <si>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</si>
  <si>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</si>
  <si>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</si>
  <si>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</si>
  <si>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</si>
  <si>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</si>
  <si>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</si>
  <si>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</si>
  <si>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</si>
  <si>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</si>
  <si>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</si>
  <si>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</si>
  <si>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</si>
  <si>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</si>
  <si>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</si>
  <si>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Anual</t>
  </si>
  <si>
    <t>Distribuição de Proventos</t>
  </si>
  <si>
    <t>Período</t>
  </si>
  <si>
    <t>Toneladas Expedidas no Mês</t>
  </si>
  <si>
    <t>Toneladas Expedidas nos UDM</t>
  </si>
  <si>
    <t>Mil metros Quadrados Expedidos</t>
  </si>
  <si>
    <t>* Nota: Os preços são sem IPI, com PIS, COFINS, ICMS</t>
  </si>
  <si>
    <t>Preço Líquido Aparas R$/t|FOB</t>
  </si>
  <si>
    <t>Anguti</t>
  </si>
  <si>
    <t>Irani</t>
  </si>
  <si>
    <t>O valor de (R$ 21.352) mil no 4T22 refere-se à crédito de PIS e COFINS sobre depreciação no valor de (R$ 3.225 mil), a Provisão para Contingência INSS - Cont. Substitutiva no valor de R$ 6.376 mil, (R$ 17.229 mil) refere-se a créditos tributários extemporâneos reconhecidos no período o valor de (R$ 7.274 mil) refere-se à venda de propriedade para investimento.</t>
  </si>
  <si>
    <t>1T 2023</t>
  </si>
  <si>
    <t>O valor de (R$ 3.870 mil) no 1T23 refere-se à venda de ativos da operação descontinuada</t>
  </si>
  <si>
    <t>1T23</t>
  </si>
  <si>
    <t>2T 2023</t>
  </si>
  <si>
    <t>2T23</t>
  </si>
  <si>
    <t>Consolidado</t>
  </si>
  <si>
    <t>Valor Distribuído por Ação ON - Considerando data de pagamento [R$/ação]</t>
  </si>
  <si>
    <t>Dividendos [R$/ação]</t>
  </si>
  <si>
    <t>Juros Sobre o Capital Próprio (JCP) [R$/ação]</t>
  </si>
  <si>
    <t>Montante Distribuído [R$]</t>
  </si>
  <si>
    <t>Data</t>
  </si>
  <si>
    <t>O valor de (R$ 147.272 mil) no 2T23 refere-se a crédito de PIS e COFINS na aquisição de aparas</t>
  </si>
  <si>
    <t>3T 2023</t>
  </si>
  <si>
    <t>3T23</t>
  </si>
  <si>
    <t>O valor de R$ 4.559 no 3T23 refere-se a crédito de PIS e COFINS sobre aquisição de aparas</t>
  </si>
  <si>
    <t>Produção Papel TOTAL</t>
  </si>
  <si>
    <t>Produção Papel Flexível</t>
  </si>
  <si>
    <t>Produção Papel Rígido</t>
  </si>
  <si>
    <t>Vendas Papel TOTAL</t>
  </si>
  <si>
    <t>Vendas Papel Flexível</t>
  </si>
  <si>
    <t>Vendas Papel Rígido</t>
  </si>
  <si>
    <t>Receita Líquida Papel TOTAL</t>
  </si>
  <si>
    <t>Receita Líquida Papel Flexível</t>
  </si>
  <si>
    <t>Receita Líquida Papel Rígido</t>
  </si>
  <si>
    <t>Receita Líquida Papel Outros¹</t>
  </si>
  <si>
    <t>Receita Líquida média Papel Flexível</t>
  </si>
  <si>
    <t>Receita Líquida média Papel Rígido</t>
  </si>
  <si>
    <t>¹ São subprodutos do processo de produção e sobras de toras de madeira. Não são produtos acabados.</t>
  </si>
  <si>
    <t>Produção (ton)</t>
  </si>
  <si>
    <t>Vendas (ton)</t>
  </si>
  <si>
    <t>Receita Líquida (R$ mil)</t>
  </si>
  <si>
    <t>Receita Líquida Média (R$/ton)</t>
  </si>
  <si>
    <t>4T 2023</t>
  </si>
  <si>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de propriedades para investimentos</t>
    </r>
  </si>
  <si>
    <t>Redução ao valor realizável líquido</t>
  </si>
  <si>
    <t>4T23</t>
  </si>
  <si>
    <t>O valor de (R$ 118.391 mil) em 2023 refere-se a (R$ 3.870 mil) reversão de Contigência INSS - Cont. Substitutiva, (R$ 142.713 mil) crédito de PIS e COFINS sobre aquisição de aparas</t>
  </si>
  <si>
    <t>1T 2024</t>
  </si>
  <si>
    <t>1T24</t>
  </si>
  <si>
    <t>O valor de R$ 6.237 mil no 1T24 refere-se a pagamento integral da Execução Fiscal de ICMS SC atráves do Programa Recupera Mais</t>
  </si>
  <si>
    <t>Receita Líquida Resina Outros²</t>
  </si>
  <si>
    <t>Receita Líquida Resina TOTAL</t>
  </si>
  <si>
    <t>Observação: Inclui receita líquida proveniente de operações descontinuadas, por isso o total de receita líquida em 2019 é superior ao que consta na DRE.</t>
  </si>
  <si>
    <t>Preço Médio de Venda (R$/Ton) *</t>
  </si>
  <si>
    <t>Preço Médio de Venda (R$/Mil M²) *</t>
  </si>
  <si>
    <t>2T 2024</t>
  </si>
  <si>
    <t>2T24</t>
  </si>
  <si>
    <t>3T 2024</t>
  </si>
  <si>
    <t>3T24</t>
  </si>
  <si>
    <t>4T 2024</t>
  </si>
  <si>
    <t>IRPJ e CSLL a recuperar</t>
  </si>
  <si>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de ativos mantidos para venda</t>
    </r>
  </si>
  <si>
    <t>4T24</t>
  </si>
  <si>
    <t>1T 2025</t>
  </si>
  <si>
    <t>1T25</t>
  </si>
  <si>
    <t>Receita Líquida Florestal RS</t>
  </si>
  <si>
    <t>O valor de R$558 mil no 1T25 refere-se aos custos de rescisão da operação descontinuada</t>
  </si>
  <si>
    <t>2030 em diante</t>
  </si>
  <si>
    <t>Produção Resinas (descontinuado)</t>
  </si>
  <si>
    <t>Vendas Resinas (descontinuado)</t>
  </si>
  <si>
    <t>Receita Líquida média Resina (descontinuado)</t>
  </si>
  <si>
    <t>2T 2025</t>
  </si>
  <si>
    <t>O valor de R$ 583 mil no 2T25 refere-se aos custos de rescisão da operação descontinuada.</t>
  </si>
  <si>
    <t>O valor de R$ 19.871 no 2T25 mil refere-se ao crédito de IPI sobre fretes CIF das operações de vendas, seguro e demais despesas acessórias.</t>
  </si>
  <si>
    <t>Crédito de PIS e COFINS na aquisição de insumos recicláveis</t>
  </si>
  <si>
    <t>Crédito de IPI sobre fretes "CIF" das operações de vendas, seguro e demais despesas acessórias</t>
  </si>
  <si>
    <t>2T25</t>
  </si>
  <si>
    <t>3T 2025</t>
  </si>
  <si>
    <t>3T25</t>
  </si>
  <si>
    <t>4T 2025</t>
  </si>
  <si>
    <t>Resultado na venda de ativos</t>
  </si>
  <si>
    <t>Juros sobre Aplicações Financeiras</t>
  </si>
  <si>
    <t>Debênture Simples Privada (Sexta Emissão)</t>
  </si>
  <si>
    <t>4T25</t>
  </si>
  <si>
    <r>
      <t>EBITDA Ajustado operação descontinuada</t>
    </r>
    <r>
      <rPr>
        <vertAlign val="superscript"/>
        <sz val="12"/>
        <rFont val="Calibri"/>
        <family val="2"/>
        <scheme val="minor"/>
      </rPr>
      <t xml:space="preserve"> (4)</t>
    </r>
  </si>
  <si>
    <t>No 1T25, conforme Fato Relevante publicado em 26 de março de 2025, a Companhia encerrou as atividades da fábrica de destilação de goma resina extraída de florestas de pinus, localizada no município de Balneário Pinhal/RS (“Fábrica”).</t>
  </si>
  <si>
    <r>
      <t xml:space="preserve">Resultado Líquido das operações descontinuadas </t>
    </r>
    <r>
      <rPr>
        <vertAlign val="superscript"/>
        <sz val="12"/>
        <rFont val="Calibri"/>
        <family val="2"/>
      </rPr>
      <t>(4)</t>
    </r>
  </si>
  <si>
    <t>2024: O valor líquido de R$ 26.785 mil refere-se à honorários sobre exclusão dos créditos presumidos de ICMS da base do IRPJ e da CSLL de R$ 10.616 mil, rescisão de contrato de representação comercial de R$ 6.972 mil de representação comercial de R$ 6.972 mil e ao pagamento integral de Execução Fiscal de ICMS SC através do programa Recupera mais R$ 6.237 mil, Impairment de imobilizado de R$ 1.987 mil, Impairment de propriedade para investimento de R$ 973 mil.</t>
  </si>
  <si>
    <t xml:space="preserve">2025: O valor líquido de R$ 14.530 mil refere-se crédito de IPI sobre fretes “CIF” das operações de vendas, seguro e demais despesas acessórias no valor de R$ 19.871 mil, indenização de honorários de administrador no valor de R$ 4.200 mil, custos de rescisão da operação descontinuada de R$ 1.141 mil.                       
</t>
  </si>
  <si>
    <t>No 3T19, conforme Fato Relevante publicado em 30 de setembro de 2019, a Companhia encerrou as atividades da Fábrica de Embalagem SP Vila Maria, marcando a última etapa da integração da incorporação da Indústria de Papelão São Roberto, realizada em 2014.</t>
  </si>
  <si>
    <r>
      <rPr>
        <b/>
        <vertAlign val="superscript"/>
        <sz val="12"/>
        <rFont val="Calibri"/>
        <family val="2"/>
      </rPr>
      <t xml:space="preserve">1 </t>
    </r>
    <r>
      <rPr>
        <b/>
        <sz val="12"/>
        <rFont val="Calibri"/>
        <family val="2"/>
      </rPr>
      <t>Variação do valor justo dos ativos biológicos, por não significar redução de caixa no período.</t>
    </r>
  </si>
  <si>
    <r>
      <rPr>
        <b/>
        <vertAlign val="superscript"/>
        <sz val="12"/>
        <rFont val="Calibri"/>
        <family val="2"/>
      </rPr>
      <t xml:space="preserve">2 </t>
    </r>
    <r>
      <rPr>
        <b/>
        <sz val="12"/>
        <rFont val="Calibri"/>
        <family val="2"/>
      </rPr>
      <t xml:space="preserve">Eventos não recorrentes: </t>
    </r>
  </si>
  <si>
    <r>
      <rPr>
        <b/>
        <vertAlign val="superscript"/>
        <sz val="12"/>
        <rFont val="Calibri"/>
        <family val="2"/>
      </rPr>
      <t>3</t>
    </r>
    <r>
      <rPr>
        <b/>
        <sz val="12"/>
        <rFont val="Calibri"/>
        <family val="2"/>
      </rPr>
      <t xml:space="preserve"> Participação dos administradores: ajuste por se tratar de provisão, sem efeito caixa.</t>
    </r>
  </si>
  <si>
    <r>
      <rPr>
        <b/>
        <vertAlign val="superscript"/>
        <sz val="12"/>
        <rFont val="Calibri"/>
        <family val="2"/>
        <scheme val="minor"/>
      </rPr>
      <t xml:space="preserve">4 </t>
    </r>
    <r>
      <rPr>
        <b/>
        <sz val="12"/>
        <rFont val="Calibri"/>
        <family val="2"/>
        <scheme val="minor"/>
      </rPr>
      <t>Operações descontinuadas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</si>
</sst>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%_);_(* \(#,##0.0%\);_(* &quot;-&quot;??_);_(@_)"/>
    <numFmt numFmtId="169" formatCode="_(* #,##0.00%_);_(* \(#,##0.00%\);_(* &quot;-&quot;??_);_(@_)"/>
    <numFmt numFmtId="170" formatCode="_(* #,##0.0000_);_(* \(#,##0.0000\);_(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2"/>
      <name val="Calibri"/>
      <family val="2"/>
    </font>
    <font>
      <sz val="12"/>
      <name val="Calibri"/>
      <family val="2"/>
    </font>
    <font>
      <sz val="12"/>
      <color indexed="12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2"/>
      <color rgb="FF003300"/>
      <name val="Calibri"/>
      <family val="2"/>
    </font>
    <font>
      <b/>
      <sz val="12"/>
      <color theme="1" tint="0.14999847407452621"/>
      <name val="Calibri"/>
      <family val="2"/>
    </font>
    <font>
      <sz val="12"/>
      <color theme="1" tint="0.14999847407452621"/>
      <name val="Calibri"/>
      <family val="2"/>
    </font>
    <font>
      <b/>
      <sz val="20"/>
      <color theme="1" tint="0.14999847407452621"/>
      <name val="Calibri"/>
      <family val="2"/>
    </font>
    <font>
      <b/>
      <sz val="14"/>
      <color theme="1" tint="0.499984740745262"/>
      <name val="Calibri"/>
      <family val="2"/>
    </font>
    <font>
      <b/>
      <sz val="12"/>
      <color rgb="FF003300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5"/>
      <color rgb="FF003300"/>
      <name val="Calibri"/>
      <family val="2"/>
    </font>
    <font>
      <b/>
      <sz val="13"/>
      <color rgb="FF003300"/>
      <name val="Calibri"/>
      <family val="2"/>
    </font>
    <font>
      <i/>
      <sz val="12"/>
      <name val="Calibri"/>
      <family val="2"/>
    </font>
    <font>
      <sz val="12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Arial"/>
      <family val="2"/>
    </font>
    <font>
      <b/>
      <i/>
      <sz val="12"/>
      <name val="Calibri"/>
      <family val="2"/>
      <scheme val="minor"/>
    </font>
    <font>
      <b/>
      <i/>
      <sz val="12"/>
      <name val="Calibri"/>
      <family val="2"/>
    </font>
    <font>
      <b/>
      <sz val="20"/>
      <name val="Calibri"/>
      <family val="2"/>
    </font>
    <font>
      <b/>
      <sz val="14"/>
      <color theme="0" tint="-0.499984740745262"/>
      <name val="Calibri"/>
      <family val="2"/>
    </font>
    <font>
      <vertAlign val="superscript"/>
      <sz val="12"/>
      <name val="Calibri"/>
      <family val="2"/>
    </font>
    <font>
      <vertAlign val="superscript"/>
      <sz val="12"/>
      <name val="Calibri"/>
      <family val="2"/>
      <scheme val="minor"/>
    </font>
    <font>
      <sz val="12"/>
      <color theme="0" tint="-0.14999847407452621"/>
      <name val="Calibri"/>
      <family val="2"/>
    </font>
    <font>
      <sz val="8.5"/>
      <name val="Microsoft Sans Serif"/>
      <family val="2"/>
    </font>
    <font>
      <b/>
      <sz val="9"/>
      <color indexed="8"/>
      <name val="Calibri"/>
      <family val="2"/>
      <scheme val="minor"/>
    </font>
    <font>
      <b/>
      <sz val="8.5"/>
      <name val="Microsoft Sans Serif"/>
      <family val="2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  <font>
      <i/>
      <sz val="12"/>
      <color theme="1" tint="0.14999847407452621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164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40" fillId="0" borderId="0">
      <protection locked="0"/>
    </xf>
    <xf numFmtId="0" fontId="40" fillId="0" borderId="0">
      <alignment vertical="top" wrapText="1"/>
      <protection locked="0"/>
    </xf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72">
    <xf numFmtId="0" fontId="0" fillId="0" borderId="0" xfId="0"/>
    <xf numFmtId="0" fontId="7" fillId="0" borderId="0" xfId="0" applyFont="1" applyAlignment="1">
      <alignment vertical="center"/>
    </xf>
    <xf numFmtId="14" fontId="11" fillId="0" borderId="0" xfId="1" applyNumberFormat="1" applyFont="1" applyFill="1" applyBorder="1" applyAlignment="1">
      <alignment horizontal="center" vertical="center"/>
    </xf>
    <xf numFmtId="0" fontId="18" fillId="0" borderId="0" xfId="2" applyFont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1" fillId="3" borderId="0" xfId="0" applyFont="1" applyFill="1"/>
    <xf numFmtId="165" fontId="26" fillId="0" borderId="0" xfId="8" applyNumberFormat="1" applyFont="1" applyFill="1" applyBorder="1"/>
    <xf numFmtId="0" fontId="32" fillId="0" borderId="0" xfId="13" applyFont="1"/>
    <xf numFmtId="14" fontId="11" fillId="4" borderId="5" xfId="1" applyNumberFormat="1" applyFont="1" applyFill="1" applyBorder="1" applyAlignment="1">
      <alignment horizontal="center" vertical="center"/>
    </xf>
    <xf numFmtId="0" fontId="11" fillId="5" borderId="5" xfId="1" applyNumberFormat="1" applyFont="1" applyFill="1" applyBorder="1" applyAlignment="1">
      <alignment horizontal="center" vertical="center"/>
    </xf>
    <xf numFmtId="165" fontId="6" fillId="6" borderId="0" xfId="0" applyNumberFormat="1" applyFont="1" applyFill="1"/>
    <xf numFmtId="165" fontId="6" fillId="0" borderId="0" xfId="0" applyNumberFormat="1" applyFont="1" applyAlignment="1">
      <alignment horizontal="right" vertical="center" wrapText="1"/>
    </xf>
    <xf numFmtId="165" fontId="26" fillId="6" borderId="0" xfId="0" applyNumberFormat="1" applyFont="1" applyFill="1"/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3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11" fillId="2" borderId="0" xfId="0" applyNumberFormat="1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0" fontId="11" fillId="2" borderId="0" xfId="0" quotePrefix="1" applyFont="1" applyFill="1" applyAlignment="1">
      <alignment horizontal="left" vertical="center"/>
    </xf>
    <xf numFmtId="39" fontId="5" fillId="0" borderId="0" xfId="0" applyNumberFormat="1" applyFont="1" applyAlignment="1">
      <alignment horizontal="centerContinuous" vertical="center"/>
    </xf>
    <xf numFmtId="3" fontId="5" fillId="0" borderId="0" xfId="0" applyNumberFormat="1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6" fillId="6" borderId="0" xfId="1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3" fontId="11" fillId="0" borderId="0" xfId="0" quotePrefix="1" applyNumberFormat="1" applyFont="1" applyAlignment="1">
      <alignment vertical="center"/>
    </xf>
    <xf numFmtId="164" fontId="12" fillId="2" borderId="0" xfId="1" applyFont="1" applyFill="1" applyAlignment="1">
      <alignment vertical="center"/>
    </xf>
    <xf numFmtId="0" fontId="12" fillId="0" borderId="0" xfId="0" applyFont="1" applyAlignment="1">
      <alignment vertical="center" wrapText="1"/>
    </xf>
    <xf numFmtId="165" fontId="12" fillId="6" borderId="0" xfId="1" applyNumberFormat="1" applyFont="1" applyFill="1" applyAlignment="1">
      <alignment vertical="center"/>
    </xf>
    <xf numFmtId="165" fontId="12" fillId="6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37" fontId="6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6" borderId="0" xfId="0" applyNumberFormat="1" applyFont="1" applyFill="1" applyAlignment="1">
      <alignment vertical="center"/>
    </xf>
    <xf numFmtId="165" fontId="6" fillId="0" borderId="0" xfId="5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/>
    </xf>
    <xf numFmtId="0" fontId="2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7" fontId="6" fillId="0" borderId="4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65" fontId="26" fillId="0" borderId="0" xfId="8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166" fontId="34" fillId="0" borderId="0" xfId="10" applyNumberFormat="1" applyFont="1" applyFill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165" fontId="6" fillId="6" borderId="0" xfId="8" applyNumberFormat="1" applyFont="1" applyFill="1" applyBorder="1" applyAlignment="1">
      <alignment vertical="center"/>
    </xf>
    <xf numFmtId="0" fontId="18" fillId="0" borderId="0" xfId="2" applyFont="1" applyAlignment="1">
      <alignment vertical="center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17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165" fontId="19" fillId="0" borderId="0" xfId="2" applyNumberFormat="1" applyFont="1" applyAlignment="1">
      <alignment vertical="center"/>
    </xf>
    <xf numFmtId="165" fontId="18" fillId="0" borderId="0" xfId="2" applyNumberFormat="1" applyFont="1" applyAlignment="1">
      <alignment vertical="center"/>
    </xf>
    <xf numFmtId="165" fontId="9" fillId="0" borderId="0" xfId="3" applyNumberFormat="1" applyFont="1" applyFill="1" applyBorder="1" applyAlignment="1">
      <alignment horizontal="right" vertical="center"/>
    </xf>
    <xf numFmtId="0" fontId="26" fillId="0" borderId="0" xfId="2" applyFont="1" applyAlignment="1">
      <alignment vertical="center"/>
    </xf>
    <xf numFmtId="37" fontId="19" fillId="0" borderId="0" xfId="2" applyNumberFormat="1" applyFont="1" applyAlignment="1">
      <alignment vertical="center"/>
    </xf>
    <xf numFmtId="37" fontId="26" fillId="0" borderId="0" xfId="2" applyNumberFormat="1" applyFont="1" applyAlignment="1">
      <alignment vertical="center"/>
    </xf>
    <xf numFmtId="0" fontId="19" fillId="0" borderId="0" xfId="2" applyFont="1" applyAlignment="1">
      <alignment vertical="center"/>
    </xf>
    <xf numFmtId="3" fontId="19" fillId="0" borderId="0" xfId="2" applyNumberFormat="1" applyFont="1" applyAlignment="1">
      <alignment vertical="center"/>
    </xf>
    <xf numFmtId="164" fontId="26" fillId="0" borderId="0" xfId="3" applyFont="1" applyFill="1" applyAlignment="1">
      <alignment vertical="center"/>
    </xf>
    <xf numFmtId="41" fontId="26" fillId="0" borderId="0" xfId="2" applyNumberFormat="1" applyFont="1" applyAlignment="1">
      <alignment vertical="center"/>
    </xf>
    <xf numFmtId="0" fontId="29" fillId="0" borderId="0" xfId="2" applyFont="1" applyAlignment="1">
      <alignment vertical="center"/>
    </xf>
    <xf numFmtId="164" fontId="29" fillId="0" borderId="0" xfId="3" applyFont="1" applyAlignment="1">
      <alignment vertical="center"/>
    </xf>
    <xf numFmtId="3" fontId="29" fillId="0" borderId="0" xfId="2" applyNumberFormat="1" applyFont="1" applyAlignment="1">
      <alignment vertical="center"/>
    </xf>
    <xf numFmtId="37" fontId="28" fillId="0" borderId="0" xfId="3" applyNumberFormat="1" applyFont="1" applyFill="1" applyBorder="1" applyAlignment="1">
      <alignment horizontal="right" vertical="center"/>
    </xf>
    <xf numFmtId="0" fontId="28" fillId="0" borderId="0" xfId="2" applyFont="1" applyAlignment="1">
      <alignment vertical="center"/>
    </xf>
    <xf numFmtId="0" fontId="26" fillId="0" borderId="0" xfId="2" applyFont="1" applyAlignment="1">
      <alignment horizontal="right" vertical="center"/>
    </xf>
    <xf numFmtId="14" fontId="27" fillId="0" borderId="0" xfId="1" applyNumberFormat="1" applyFont="1" applyFill="1" applyBorder="1" applyAlignment="1">
      <alignment vertical="center"/>
    </xf>
    <xf numFmtId="165" fontId="9" fillId="0" borderId="0" xfId="3" applyNumberFormat="1" applyFont="1" applyBorder="1" applyAlignment="1">
      <alignment horizontal="right" vertical="center"/>
    </xf>
    <xf numFmtId="37" fontId="26" fillId="0" borderId="0" xfId="2" applyNumberFormat="1" applyFont="1" applyAlignment="1">
      <alignment horizontal="right" vertical="center"/>
    </xf>
    <xf numFmtId="0" fontId="22" fillId="0" borderId="0" xfId="2" applyFont="1" applyAlignment="1">
      <alignment vertical="center"/>
    </xf>
    <xf numFmtId="37" fontId="28" fillId="0" borderId="0" xfId="3" applyNumberFormat="1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164" fontId="19" fillId="0" borderId="0" xfId="3" applyFont="1" applyBorder="1" applyAlignment="1">
      <alignment vertical="center"/>
    </xf>
    <xf numFmtId="0" fontId="21" fillId="0" borderId="0" xfId="2" applyFont="1" applyAlignment="1">
      <alignment vertical="center"/>
    </xf>
    <xf numFmtId="165" fontId="26" fillId="6" borderId="0" xfId="8" applyNumberFormat="1" applyFont="1" applyFill="1" applyBorder="1"/>
    <xf numFmtId="49" fontId="41" fillId="7" borderId="5" xfId="14" applyNumberFormat="1" applyFont="1" applyFill="1" applyBorder="1" applyAlignment="1">
      <alignment horizontal="center" vertical="center"/>
      <protection locked="0"/>
    </xf>
    <xf numFmtId="0" fontId="43" fillId="9" borderId="5" xfId="14" applyFont="1" applyFill="1" applyBorder="1" applyAlignment="1">
      <alignment horizontal="center" vertical="center" wrapText="1"/>
      <protection locked="0"/>
    </xf>
    <xf numFmtId="0" fontId="40" fillId="0" borderId="0" xfId="15" applyAlignment="1">
      <alignment vertical="center" wrapText="1"/>
      <protection locked="0"/>
    </xf>
    <xf numFmtId="0" fontId="42" fillId="0" borderId="0" xfId="15" applyFont="1" applyAlignment="1">
      <alignment vertical="center" wrapText="1"/>
      <protection locked="0"/>
    </xf>
    <xf numFmtId="0" fontId="45" fillId="10" borderId="0" xfId="14" applyFont="1" applyFill="1" applyAlignment="1">
      <alignment horizontal="left" vertical="center"/>
      <protection locked="0"/>
    </xf>
    <xf numFmtId="0" fontId="45" fillId="10" borderId="0" xfId="14" applyFont="1" applyFill="1" applyAlignment="1">
      <alignment horizontal="center" vertical="center" wrapText="1"/>
      <protection locked="0"/>
    </xf>
    <xf numFmtId="0" fontId="40" fillId="10" borderId="0" xfId="15" applyFill="1" applyAlignment="1">
      <alignment vertical="center" wrapText="1"/>
      <protection locked="0"/>
    </xf>
    <xf numFmtId="0" fontId="45" fillId="10" borderId="0" xfId="14" applyFont="1" applyFill="1" applyAlignment="1">
      <alignment vertical="center" wrapText="1"/>
      <protection locked="0"/>
    </xf>
    <xf numFmtId="167" fontId="45" fillId="10" borderId="0" xfId="16" applyNumberFormat="1" applyFont="1" applyFill="1" applyAlignment="1" applyProtection="1">
      <alignment vertical="center" wrapText="1"/>
      <protection locked="0"/>
    </xf>
    <xf numFmtId="167" fontId="45" fillId="6" borderId="0" xfId="16" applyNumberFormat="1" applyFont="1" applyFill="1" applyAlignment="1" applyProtection="1">
      <alignment vertical="center" wrapText="1"/>
      <protection locked="0"/>
    </xf>
    <xf numFmtId="0" fontId="6" fillId="2" borderId="0" xfId="0" applyFont="1" applyFill="1" applyAlignment="1">
      <alignment horizontal="left" vertical="center" indent="1"/>
    </xf>
    <xf numFmtId="0" fontId="18" fillId="0" borderId="1" xfId="2" applyFont="1" applyBorder="1" applyAlignment="1">
      <alignment vertical="center"/>
    </xf>
    <xf numFmtId="0" fontId="31" fillId="3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165" fontId="8" fillId="0" borderId="3" xfId="8" applyNumberFormat="1" applyFont="1" applyFill="1" applyBorder="1" applyAlignment="1">
      <alignment vertical="center"/>
    </xf>
    <xf numFmtId="2" fontId="28" fillId="0" borderId="0" xfId="0" applyNumberFormat="1" applyFont="1" applyAlignment="1">
      <alignment horizontal="center" vertical="center"/>
    </xf>
    <xf numFmtId="165" fontId="6" fillId="6" borderId="0" xfId="9" applyNumberFormat="1" applyFont="1" applyFill="1" applyBorder="1"/>
    <xf numFmtId="165" fontId="26" fillId="6" borderId="0" xfId="9" applyNumberFormat="1" applyFont="1" applyFill="1" applyBorder="1"/>
    <xf numFmtId="166" fontId="28" fillId="0" borderId="0" xfId="10" applyNumberFormat="1" applyFont="1" applyFill="1" applyBorder="1" applyAlignment="1">
      <alignment vertical="center"/>
    </xf>
    <xf numFmtId="167" fontId="45" fillId="6" borderId="0" xfId="16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5" fontId="8" fillId="0" borderId="3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165" fontId="34" fillId="0" borderId="3" xfId="8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165" fontId="8" fillId="0" borderId="2" xfId="1" applyNumberFormat="1" applyFont="1" applyFill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3" fontId="12" fillId="0" borderId="0" xfId="0" applyNumberFormat="1" applyFont="1" applyAlignment="1">
      <alignment horizontal="left" vertical="center" indent="1"/>
    </xf>
    <xf numFmtId="0" fontId="11" fillId="2" borderId="0" xfId="0" quotePrefix="1" applyFont="1" applyFill="1" applyAlignment="1">
      <alignment horizontal="left" vertical="center" indent="1"/>
    </xf>
    <xf numFmtId="0" fontId="11" fillId="0" borderId="0" xfId="0" quotePrefix="1" applyFont="1" applyAlignment="1">
      <alignment horizontal="left" vertical="center" inden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165" fontId="18" fillId="0" borderId="0" xfId="2" applyNumberFormat="1" applyFont="1" applyAlignment="1">
      <alignment horizontal="left" vertical="center" indent="1"/>
    </xf>
    <xf numFmtId="0" fontId="18" fillId="0" borderId="0" xfId="2" applyFont="1" applyAlignment="1">
      <alignment horizontal="left" vertical="center" indent="1"/>
    </xf>
    <xf numFmtId="0" fontId="8" fillId="0" borderId="0" xfId="0" applyFont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164" fontId="8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left" indent="1"/>
    </xf>
    <xf numFmtId="0" fontId="30" fillId="0" borderId="1" xfId="0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165" fontId="32" fillId="0" borderId="0" xfId="13" applyNumberFormat="1" applyFont="1"/>
    <xf numFmtId="165" fontId="26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168" fontId="25" fillId="0" borderId="0" xfId="7" applyNumberFormat="1" applyFont="1" applyFill="1" applyAlignment="1">
      <alignment vertical="center"/>
    </xf>
    <xf numFmtId="168" fontId="25" fillId="0" borderId="0" xfId="0" applyNumberFormat="1" applyFont="1" applyAlignment="1">
      <alignment vertical="center"/>
    </xf>
    <xf numFmtId="168" fontId="25" fillId="0" borderId="1" xfId="7" applyNumberFormat="1" applyFont="1" applyFill="1" applyBorder="1" applyAlignment="1">
      <alignment vertical="center"/>
    </xf>
    <xf numFmtId="168" fontId="25" fillId="0" borderId="1" xfId="10" applyNumberFormat="1" applyFont="1" applyFill="1" applyBorder="1" applyAlignment="1">
      <alignment vertical="center"/>
    </xf>
    <xf numFmtId="168" fontId="26" fillId="0" borderId="0" xfId="0" applyNumberFormat="1" applyFont="1" applyAlignment="1">
      <alignment vertical="center"/>
    </xf>
    <xf numFmtId="168" fontId="30" fillId="0" borderId="1" xfId="10" applyNumberFormat="1" applyFont="1" applyFill="1" applyBorder="1" applyAlignment="1">
      <alignment vertical="center"/>
    </xf>
    <xf numFmtId="168" fontId="30" fillId="0" borderId="0" xfId="0" applyNumberFormat="1" applyFont="1" applyAlignment="1">
      <alignment vertical="center"/>
    </xf>
    <xf numFmtId="165" fontId="11" fillId="2" borderId="0" xfId="0" applyNumberFormat="1" applyFont="1" applyFill="1" applyAlignment="1">
      <alignment vertical="center"/>
    </xf>
    <xf numFmtId="165" fontId="11" fillId="2" borderId="2" xfId="0" applyNumberFormat="1" applyFont="1" applyFill="1" applyBorder="1" applyAlignment="1">
      <alignment vertical="center"/>
    </xf>
    <xf numFmtId="165" fontId="11" fillId="0" borderId="0" xfId="0" quotePrefix="1" applyNumberFormat="1" applyFont="1" applyAlignment="1">
      <alignment horizontal="left" vertical="center"/>
    </xf>
    <xf numFmtId="165" fontId="11" fillId="2" borderId="0" xfId="0" quotePrefix="1" applyNumberFormat="1" applyFont="1" applyFill="1" applyAlignment="1">
      <alignment vertical="center"/>
    </xf>
    <xf numFmtId="165" fontId="12" fillId="0" borderId="0" xfId="0" applyNumberFormat="1" applyFont="1" applyAlignment="1">
      <alignment vertical="center"/>
    </xf>
    <xf numFmtId="165" fontId="11" fillId="0" borderId="0" xfId="0" quotePrefix="1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 wrapText="1"/>
    </xf>
    <xf numFmtId="165" fontId="12" fillId="6" borderId="0" xfId="0" applyNumberFormat="1" applyFont="1" applyFill="1" applyAlignment="1">
      <alignment vertical="center" wrapText="1"/>
    </xf>
    <xf numFmtId="165" fontId="6" fillId="6" borderId="0" xfId="0" applyNumberFormat="1" applyFont="1" applyFill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165" fontId="8" fillId="0" borderId="2" xfId="0" applyNumberFormat="1" applyFont="1" applyBorder="1" applyAlignment="1">
      <alignment vertical="center" wrapText="1"/>
    </xf>
    <xf numFmtId="165" fontId="9" fillId="0" borderId="0" xfId="3" applyNumberFormat="1" applyFont="1" applyFill="1" applyBorder="1" applyAlignment="1">
      <alignment vertical="center"/>
    </xf>
    <xf numFmtId="165" fontId="6" fillId="6" borderId="3" xfId="0" applyNumberFormat="1" applyFont="1" applyFill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39" fontId="5" fillId="0" borderId="0" xfId="0" applyNumberFormat="1" applyFont="1" applyAlignment="1">
      <alignment vertical="center"/>
    </xf>
    <xf numFmtId="0" fontId="28" fillId="0" borderId="2" xfId="2" applyFont="1" applyBorder="1" applyAlignment="1">
      <alignment vertical="center"/>
    </xf>
    <xf numFmtId="0" fontId="49" fillId="0" borderId="0" xfId="2" applyFont="1" applyAlignment="1">
      <alignment vertical="center"/>
    </xf>
    <xf numFmtId="165" fontId="49" fillId="0" borderId="2" xfId="2" applyNumberFormat="1" applyFont="1" applyBorder="1" applyAlignment="1">
      <alignment vertical="center"/>
    </xf>
    <xf numFmtId="0" fontId="28" fillId="0" borderId="0" xfId="2" applyFont="1" applyAlignment="1">
      <alignment horizontal="left" vertical="center"/>
    </xf>
    <xf numFmtId="165" fontId="49" fillId="0" borderId="0" xfId="2" applyNumberFormat="1" applyFont="1" applyAlignment="1">
      <alignment vertical="center"/>
    </xf>
    <xf numFmtId="0" fontId="26" fillId="0" borderId="0" xfId="2" applyFont="1" applyAlignment="1">
      <alignment horizontal="left" vertical="center"/>
    </xf>
    <xf numFmtId="3" fontId="21" fillId="0" borderId="0" xfId="2" applyNumberFormat="1" applyFont="1" applyAlignment="1">
      <alignment vertical="center"/>
    </xf>
    <xf numFmtId="0" fontId="29" fillId="0" borderId="0" xfId="2" applyFont="1" applyAlignment="1">
      <alignment horizontal="left" vertical="center"/>
    </xf>
    <xf numFmtId="0" fontId="28" fillId="0" borderId="2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37" fontId="28" fillId="0" borderId="2" xfId="3" applyNumberFormat="1" applyFont="1" applyFill="1" applyBorder="1" applyAlignment="1">
      <alignment horizontal="right" vertical="center"/>
    </xf>
    <xf numFmtId="165" fontId="28" fillId="0" borderId="2" xfId="3" applyNumberFormat="1" applyFont="1" applyFill="1" applyBorder="1" applyAlignment="1">
      <alignment horizontal="right" vertical="center"/>
    </xf>
    <xf numFmtId="37" fontId="28" fillId="0" borderId="0" xfId="3" applyNumberFormat="1" applyFont="1" applyFill="1" applyBorder="1" applyAlignment="1">
      <alignment horizontal="left" vertical="center"/>
    </xf>
    <xf numFmtId="165" fontId="28" fillId="0" borderId="0" xfId="3" applyNumberFormat="1" applyFont="1" applyFill="1" applyBorder="1" applyAlignment="1">
      <alignment horizontal="right" vertical="center"/>
    </xf>
    <xf numFmtId="0" fontId="48" fillId="0" borderId="0" xfId="13" applyFont="1" applyAlignment="1">
      <alignment vertical="center"/>
    </xf>
    <xf numFmtId="165" fontId="28" fillId="0" borderId="3" xfId="3" applyNumberFormat="1" applyFont="1" applyFill="1" applyBorder="1" applyAlignment="1">
      <alignment horizontal="right" vertical="center"/>
    </xf>
    <xf numFmtId="0" fontId="33" fillId="0" borderId="1" xfId="0" applyFont="1" applyBorder="1" applyAlignment="1">
      <alignment horizontal="left" vertical="center" wrapText="1"/>
    </xf>
    <xf numFmtId="0" fontId="50" fillId="0" borderId="0" xfId="13" applyFont="1" applyAlignment="1">
      <alignment vertical="center"/>
    </xf>
    <xf numFmtId="164" fontId="33" fillId="0" borderId="1" xfId="0" applyNumberFormat="1" applyFont="1" applyBorder="1" applyAlignment="1">
      <alignment vertical="center" wrapText="1"/>
    </xf>
    <xf numFmtId="2" fontId="34" fillId="0" borderId="1" xfId="0" applyNumberFormat="1" applyFont="1" applyBorder="1" applyAlignment="1">
      <alignment vertical="center" wrapText="1"/>
    </xf>
    <xf numFmtId="2" fontId="33" fillId="0" borderId="1" xfId="0" applyNumberFormat="1" applyFont="1" applyBorder="1" applyAlignment="1">
      <alignment vertical="center" wrapText="1"/>
    </xf>
    <xf numFmtId="2" fontId="33" fillId="0" borderId="1" xfId="0" applyNumberFormat="1" applyFont="1" applyBorder="1" applyAlignment="1">
      <alignment horizontal="right" vertical="center" wrapText="1"/>
    </xf>
    <xf numFmtId="0" fontId="51" fillId="0" borderId="0" xfId="2" applyFont="1" applyAlignment="1">
      <alignment vertical="center"/>
    </xf>
    <xf numFmtId="0" fontId="26" fillId="0" borderId="0" xfId="0" applyFont="1" applyAlignment="1">
      <alignment vertical="center" wrapText="1"/>
    </xf>
    <xf numFmtId="0" fontId="32" fillId="0" borderId="0" xfId="13" applyFont="1" applyAlignment="1">
      <alignment vertical="center"/>
    </xf>
    <xf numFmtId="2" fontId="28" fillId="0" borderId="0" xfId="0" applyNumberFormat="1" applyFont="1" applyAlignment="1">
      <alignment horizontal="right" vertical="center" wrapText="1"/>
    </xf>
    <xf numFmtId="2" fontId="6" fillId="0" borderId="0" xfId="0" applyNumberFormat="1" applyFont="1" applyAlignment="1">
      <alignment vertical="center" wrapText="1"/>
    </xf>
    <xf numFmtId="0" fontId="28" fillId="0" borderId="2" xfId="13" applyFont="1" applyBorder="1" applyAlignment="1">
      <alignment vertical="center"/>
    </xf>
    <xf numFmtId="10" fontId="28" fillId="0" borderId="2" xfId="10" applyNumberFormat="1" applyFont="1" applyFill="1" applyBorder="1" applyAlignment="1">
      <alignment vertical="center"/>
    </xf>
    <xf numFmtId="0" fontId="18" fillId="0" borderId="0" xfId="13" applyFont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28" fillId="0" borderId="0" xfId="0" applyNumberFormat="1" applyFont="1" applyAlignment="1">
      <alignment vertical="center" wrapText="1"/>
    </xf>
    <xf numFmtId="1" fontId="8" fillId="0" borderId="0" xfId="0" applyNumberFormat="1" applyFont="1" applyAlignment="1">
      <alignment vertical="center" wrapText="1"/>
    </xf>
    <xf numFmtId="0" fontId="28" fillId="0" borderId="2" xfId="2" applyFont="1" applyBorder="1" applyAlignment="1">
      <alignment horizontal="right" vertical="center"/>
    </xf>
    <xf numFmtId="0" fontId="29" fillId="0" borderId="0" xfId="2" applyFont="1" applyAlignment="1">
      <alignment horizontal="left" vertical="center" indent="1"/>
    </xf>
    <xf numFmtId="0" fontId="26" fillId="0" borderId="0" xfId="2" applyFont="1" applyAlignment="1">
      <alignment horizontal="left" vertical="center" indent="1"/>
    </xf>
    <xf numFmtId="0" fontId="30" fillId="0" borderId="0" xfId="2" applyFont="1" applyAlignment="1">
      <alignment horizontal="left" vertical="center" indent="1"/>
    </xf>
    <xf numFmtId="0" fontId="18" fillId="3" borderId="0" xfId="2" applyFont="1" applyFill="1" applyAlignment="1">
      <alignment vertical="center"/>
    </xf>
    <xf numFmtId="165" fontId="26" fillId="0" borderId="4" xfId="0" applyNumberFormat="1" applyFont="1" applyBorder="1" applyAlignment="1">
      <alignment vertical="center"/>
    </xf>
    <xf numFmtId="166" fontId="18" fillId="0" borderId="0" xfId="2" applyNumberFormat="1" applyFont="1" applyAlignment="1">
      <alignment vertical="center"/>
    </xf>
    <xf numFmtId="165" fontId="8" fillId="2" borderId="0" xfId="0" quotePrefix="1" applyNumberFormat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65" fontId="39" fillId="0" borderId="0" xfId="0" applyNumberFormat="1" applyFont="1" applyAlignment="1">
      <alignment vertical="center"/>
    </xf>
    <xf numFmtId="168" fontId="25" fillId="0" borderId="0" xfId="7" applyNumberFormat="1" applyFont="1" applyFill="1" applyBorder="1" applyAlignment="1">
      <alignment vertical="center"/>
    </xf>
    <xf numFmtId="165" fontId="34" fillId="0" borderId="0" xfId="8" applyNumberFormat="1" applyFont="1" applyFill="1" applyBorder="1" applyAlignment="1">
      <alignment vertical="center"/>
    </xf>
    <xf numFmtId="168" fontId="25" fillId="0" borderId="0" xfId="10" applyNumberFormat="1" applyFont="1" applyFill="1" applyBorder="1" applyAlignment="1">
      <alignment vertical="center"/>
    </xf>
    <xf numFmtId="165" fontId="8" fillId="0" borderId="0" xfId="8" applyNumberFormat="1" applyFont="1" applyFill="1" applyBorder="1" applyAlignment="1">
      <alignment vertical="center"/>
    </xf>
    <xf numFmtId="168" fontId="30" fillId="0" borderId="0" xfId="1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65" fontId="28" fillId="0" borderId="0" xfId="2" applyNumberFormat="1" applyFont="1" applyAlignment="1">
      <alignment vertical="center"/>
    </xf>
    <xf numFmtId="165" fontId="26" fillId="0" borderId="0" xfId="2" applyNumberFormat="1" applyFont="1" applyAlignment="1">
      <alignment vertical="center"/>
    </xf>
    <xf numFmtId="165" fontId="26" fillId="0" borderId="0" xfId="3" applyNumberFormat="1" applyFont="1" applyFill="1" applyAlignment="1">
      <alignment vertical="center"/>
    </xf>
    <xf numFmtId="165" fontId="29" fillId="0" borderId="0" xfId="2" applyNumberFormat="1" applyFont="1" applyAlignment="1">
      <alignment vertical="center"/>
    </xf>
    <xf numFmtId="165" fontId="9" fillId="0" borderId="0" xfId="2" applyNumberFormat="1" applyFont="1" applyAlignment="1">
      <alignment horizontal="center" vertical="center"/>
    </xf>
    <xf numFmtId="165" fontId="26" fillId="6" borderId="0" xfId="2" applyNumberFormat="1" applyFont="1" applyFill="1" applyAlignment="1">
      <alignment vertical="center"/>
    </xf>
    <xf numFmtId="169" fontId="28" fillId="6" borderId="2" xfId="10" applyNumberFormat="1" applyFont="1" applyFill="1" applyBorder="1" applyAlignment="1">
      <alignment vertical="center"/>
    </xf>
    <xf numFmtId="169" fontId="28" fillId="6" borderId="2" xfId="7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52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3" fillId="0" borderId="0" xfId="0" applyFont="1" applyAlignment="1">
      <alignment vertical="center"/>
    </xf>
    <xf numFmtId="0" fontId="53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165" fontId="8" fillId="6" borderId="0" xfId="0" applyNumberFormat="1" applyFont="1" applyFill="1" applyAlignment="1">
      <alignment vertical="center" wrapText="1"/>
    </xf>
    <xf numFmtId="165" fontId="21" fillId="0" borderId="0" xfId="2" applyNumberFormat="1" applyFont="1" applyAlignment="1">
      <alignment vertical="center"/>
    </xf>
    <xf numFmtId="170" fontId="8" fillId="0" borderId="2" xfId="0" applyNumberFormat="1" applyFont="1" applyBorder="1" applyAlignment="1">
      <alignment vertical="center" wrapText="1"/>
    </xf>
    <xf numFmtId="170" fontId="26" fillId="0" borderId="0" xfId="8" applyNumberFormat="1" applyFont="1" applyFill="1" applyBorder="1"/>
    <xf numFmtId="170" fontId="6" fillId="6" borderId="0" xfId="0" applyNumberFormat="1" applyFont="1" applyFill="1" applyAlignment="1">
      <alignment vertical="center" wrapText="1"/>
    </xf>
    <xf numFmtId="165" fontId="12" fillId="6" borderId="0" xfId="0" applyNumberFormat="1" applyFont="1" applyFill="1" applyAlignment="1">
      <alignment horizontal="right" vertical="center"/>
    </xf>
    <xf numFmtId="17" fontId="55" fillId="0" borderId="12" xfId="0" applyNumberFormat="1" applyFont="1" applyBorder="1" applyAlignment="1">
      <alignment horizontal="center" vertical="center"/>
    </xf>
    <xf numFmtId="17" fontId="55" fillId="0" borderId="5" xfId="0" applyNumberFormat="1" applyFont="1" applyBorder="1" applyAlignment="1">
      <alignment horizontal="center" vertical="center"/>
    </xf>
    <xf numFmtId="0" fontId="55" fillId="3" borderId="0" xfId="0" applyFont="1" applyFill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0" fontId="56" fillId="11" borderId="1" xfId="0" applyFont="1" applyFill="1" applyBorder="1" applyAlignment="1">
      <alignment horizontal="center" vertical="center" wrapText="1"/>
    </xf>
    <xf numFmtId="0" fontId="31" fillId="3" borderId="1" xfId="0" applyFont="1" applyFill="1" applyBorder="1"/>
    <xf numFmtId="0" fontId="55" fillId="3" borderId="9" xfId="0" applyFont="1" applyFill="1" applyBorder="1" applyAlignment="1">
      <alignment horizontal="center" vertical="center" wrapText="1"/>
    </xf>
    <xf numFmtId="17" fontId="59" fillId="0" borderId="5" xfId="0" applyNumberFormat="1" applyFont="1" applyBorder="1" applyAlignment="1">
      <alignment horizontal="center" vertical="center"/>
    </xf>
    <xf numFmtId="17" fontId="59" fillId="0" borderId="14" xfId="0" applyNumberFormat="1" applyFont="1" applyBorder="1" applyAlignment="1">
      <alignment horizontal="center" vertical="center"/>
    </xf>
    <xf numFmtId="17" fontId="59" fillId="0" borderId="12" xfId="0" applyNumberFormat="1" applyFont="1" applyBorder="1" applyAlignment="1">
      <alignment horizontal="center" vertical="center"/>
    </xf>
    <xf numFmtId="17" fontId="59" fillId="0" borderId="15" xfId="0" applyNumberFormat="1" applyFont="1" applyBorder="1" applyAlignment="1">
      <alignment horizontal="center" vertical="center"/>
    </xf>
    <xf numFmtId="3" fontId="54" fillId="11" borderId="3" xfId="0" applyNumberFormat="1" applyFont="1" applyFill="1" applyBorder="1" applyAlignment="1">
      <alignment horizontal="center" vertical="center"/>
    </xf>
    <xf numFmtId="17" fontId="55" fillId="3" borderId="0" xfId="0" applyNumberFormat="1" applyFont="1" applyFill="1" applyAlignment="1">
      <alignment horizontal="center" vertical="center"/>
    </xf>
    <xf numFmtId="17" fontId="55" fillId="3" borderId="9" xfId="0" applyNumberFormat="1" applyFont="1" applyFill="1" applyBorder="1" applyAlignment="1">
      <alignment horizontal="center" vertical="center"/>
    </xf>
    <xf numFmtId="0" fontId="31" fillId="3" borderId="9" xfId="0" applyFont="1" applyFill="1" applyBorder="1"/>
    <xf numFmtId="17" fontId="56" fillId="3" borderId="0" xfId="0" applyNumberFormat="1" applyFont="1" applyFill="1" applyAlignment="1">
      <alignment horizontal="center" vertical="center"/>
    </xf>
    <xf numFmtId="0" fontId="56" fillId="3" borderId="0" xfId="0" applyFont="1" applyFill="1"/>
    <xf numFmtId="3" fontId="56" fillId="12" borderId="12" xfId="0" applyNumberFormat="1" applyFont="1" applyFill="1" applyBorder="1" applyAlignment="1">
      <alignment horizontal="center" vertical="center"/>
    </xf>
    <xf numFmtId="3" fontId="56" fillId="12" borderId="5" xfId="0" applyNumberFormat="1" applyFont="1" applyFill="1" applyBorder="1" applyAlignment="1">
      <alignment horizontal="center" vertical="center"/>
    </xf>
    <xf numFmtId="3" fontId="60" fillId="12" borderId="5" xfId="0" applyNumberFormat="1" applyFont="1" applyFill="1" applyBorder="1" applyAlignment="1">
      <alignment horizontal="center" vertical="center"/>
    </xf>
    <xf numFmtId="3" fontId="60" fillId="12" borderId="14" xfId="0" applyNumberFormat="1" applyFont="1" applyFill="1" applyBorder="1" applyAlignment="1">
      <alignment horizontal="center" vertical="center"/>
    </xf>
    <xf numFmtId="3" fontId="60" fillId="12" borderId="12" xfId="0" applyNumberFormat="1" applyFont="1" applyFill="1" applyBorder="1" applyAlignment="1">
      <alignment horizontal="center" vertical="center"/>
    </xf>
    <xf numFmtId="3" fontId="60" fillId="12" borderId="15" xfId="0" applyNumberFormat="1" applyFont="1" applyFill="1" applyBorder="1" applyAlignment="1">
      <alignment horizontal="center" vertical="center"/>
    </xf>
    <xf numFmtId="3" fontId="56" fillId="12" borderId="11" xfId="0" applyNumberFormat="1" applyFont="1" applyFill="1" applyBorder="1" applyAlignment="1">
      <alignment horizontal="center" vertical="center"/>
    </xf>
    <xf numFmtId="3" fontId="56" fillId="12" borderId="13" xfId="0" applyNumberFormat="1" applyFont="1" applyFill="1" applyBorder="1" applyAlignment="1">
      <alignment horizontal="center" vertical="center"/>
    </xf>
    <xf numFmtId="3" fontId="60" fillId="12" borderId="13" xfId="0" applyNumberFormat="1" applyFont="1" applyFill="1" applyBorder="1" applyAlignment="1">
      <alignment horizontal="center" vertical="center"/>
    </xf>
    <xf numFmtId="3" fontId="60" fillId="12" borderId="17" xfId="0" applyNumberFormat="1" applyFont="1" applyFill="1" applyBorder="1" applyAlignment="1">
      <alignment horizontal="center" vertical="center"/>
    </xf>
    <xf numFmtId="3" fontId="60" fillId="12" borderId="11" xfId="0" applyNumberFormat="1" applyFont="1" applyFill="1" applyBorder="1" applyAlignment="1">
      <alignment horizontal="center" vertical="center"/>
    </xf>
    <xf numFmtId="3" fontId="60" fillId="12" borderId="13" xfId="7" applyNumberFormat="1" applyFont="1" applyFill="1" applyBorder="1" applyAlignment="1">
      <alignment horizontal="center" vertical="center"/>
    </xf>
    <xf numFmtId="3" fontId="61" fillId="12" borderId="5" xfId="0" applyNumberFormat="1" applyFont="1" applyFill="1" applyBorder="1" applyAlignment="1">
      <alignment horizontal="center" vertical="center"/>
    </xf>
    <xf numFmtId="3" fontId="60" fillId="12" borderId="16" xfId="0" applyNumberFormat="1" applyFont="1" applyFill="1" applyBorder="1" applyAlignment="1">
      <alignment horizontal="center" vertical="center"/>
    </xf>
    <xf numFmtId="3" fontId="61" fillId="12" borderId="12" xfId="0" applyNumberFormat="1" applyFont="1" applyFill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 wrapText="1"/>
    </xf>
    <xf numFmtId="0" fontId="58" fillId="13" borderId="5" xfId="0" applyFont="1" applyFill="1" applyBorder="1" applyAlignment="1">
      <alignment horizontal="center" vertical="center" wrapText="1"/>
    </xf>
    <xf numFmtId="0" fontId="58" fillId="13" borderId="13" xfId="0" applyFont="1" applyFill="1" applyBorder="1" applyAlignment="1">
      <alignment horizontal="center" vertical="center" wrapText="1"/>
    </xf>
    <xf numFmtId="0" fontId="58" fillId="1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49" fillId="3" borderId="0" xfId="2" applyFont="1" applyFill="1" applyAlignment="1">
      <alignment vertical="center"/>
    </xf>
    <xf numFmtId="37" fontId="28" fillId="3" borderId="0" xfId="3" applyNumberFormat="1" applyFont="1" applyFill="1" applyBorder="1" applyAlignment="1">
      <alignment horizontal="right" vertical="center"/>
    </xf>
    <xf numFmtId="165" fontId="49" fillId="3" borderId="0" xfId="2" applyNumberFormat="1" applyFont="1" applyFill="1" applyAlignment="1">
      <alignment vertical="center"/>
    </xf>
    <xf numFmtId="165" fontId="28" fillId="3" borderId="3" xfId="3" applyNumberFormat="1" applyFont="1" applyFill="1" applyBorder="1" applyAlignment="1">
      <alignment horizontal="right"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39" fillId="3" borderId="0" xfId="0" applyFont="1" applyFill="1" applyAlignment="1">
      <alignment horizontal="center" vertical="center"/>
    </xf>
    <xf numFmtId="0" fontId="11" fillId="3" borderId="0" xfId="1" applyNumberFormat="1" applyFont="1" applyFill="1" applyBorder="1" applyAlignment="1">
      <alignment horizontal="center" vertical="center"/>
    </xf>
    <xf numFmtId="14" fontId="11" fillId="3" borderId="0" xfId="1" applyNumberFormat="1" applyFont="1" applyFill="1" applyBorder="1" applyAlignment="1">
      <alignment horizontal="center" vertical="center"/>
    </xf>
    <xf numFmtId="37" fontId="6" fillId="3" borderId="0" xfId="0" applyNumberFormat="1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28" fillId="3" borderId="0" xfId="0" applyFont="1" applyFill="1"/>
    <xf numFmtId="10" fontId="28" fillId="3" borderId="2" xfId="10" applyNumberFormat="1" applyFont="1" applyFill="1" applyBorder="1" applyAlignment="1">
      <alignment vertical="center"/>
    </xf>
    <xf numFmtId="0" fontId="12" fillId="0" borderId="0" xfId="0" applyFont="1" applyAlignment="1">
      <alignment horizontal="left" indent="2"/>
    </xf>
    <xf numFmtId="165" fontId="28" fillId="3" borderId="2" xfId="3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19" fillId="3" borderId="0" xfId="2" applyFont="1" applyFill="1" applyAlignment="1">
      <alignment horizontal="center" vertical="center"/>
    </xf>
    <xf numFmtId="0" fontId="19" fillId="3" borderId="0" xfId="2" applyFont="1" applyFill="1" applyAlignment="1">
      <alignment vertical="center"/>
    </xf>
    <xf numFmtId="3" fontId="19" fillId="3" borderId="0" xfId="2" applyNumberFormat="1" applyFont="1" applyFill="1" applyAlignment="1">
      <alignment vertical="center"/>
    </xf>
    <xf numFmtId="3" fontId="21" fillId="3" borderId="0" xfId="2" applyNumberFormat="1" applyFont="1" applyFill="1" applyAlignment="1">
      <alignment vertical="center"/>
    </xf>
    <xf numFmtId="37" fontId="19" fillId="3" borderId="0" xfId="2" applyNumberFormat="1" applyFont="1" applyFill="1" applyAlignment="1">
      <alignment vertical="center"/>
    </xf>
    <xf numFmtId="0" fontId="21" fillId="3" borderId="0" xfId="2" applyFont="1" applyFill="1" applyAlignment="1">
      <alignment horizontal="left" vertical="center"/>
    </xf>
    <xf numFmtId="165" fontId="9" fillId="3" borderId="0" xfId="3" applyNumberFormat="1" applyFont="1" applyFill="1" applyBorder="1" applyAlignment="1">
      <alignment horizontal="right" vertical="center"/>
    </xf>
    <xf numFmtId="165" fontId="8" fillId="3" borderId="0" xfId="0" applyNumberFormat="1" applyFont="1" applyFill="1" applyAlignment="1">
      <alignment horizontal="right" vertical="center" wrapText="1"/>
    </xf>
    <xf numFmtId="2" fontId="33" fillId="3" borderId="0" xfId="0" applyNumberFormat="1" applyFont="1" applyFill="1" applyAlignment="1">
      <alignment horizontal="right" vertical="center" wrapText="1"/>
    </xf>
    <xf numFmtId="2" fontId="28" fillId="3" borderId="0" xfId="0" applyNumberFormat="1" applyFont="1" applyFill="1" applyAlignment="1">
      <alignment horizontal="right" vertical="center" wrapText="1"/>
    </xf>
    <xf numFmtId="0" fontId="22" fillId="3" borderId="0" xfId="2" applyFont="1" applyFill="1" applyAlignment="1">
      <alignment vertical="center"/>
    </xf>
    <xf numFmtId="165" fontId="63" fillId="3" borderId="0" xfId="2" applyNumberFormat="1" applyFont="1" applyFill="1" applyAlignment="1">
      <alignment vertical="center"/>
    </xf>
    <xf numFmtId="0" fontId="43" fillId="14" borderId="5" xfId="14" applyFont="1" applyFill="1" applyBorder="1" applyAlignment="1">
      <alignment horizontal="center" vertical="center" wrapText="1"/>
      <protection locked="0"/>
    </xf>
    <xf numFmtId="0" fontId="43" fillId="15" borderId="5" xfId="14" applyFont="1" applyFill="1" applyBorder="1" applyAlignment="1">
      <alignment horizontal="center" vertical="center" wrapText="1"/>
      <protection locked="0"/>
    </xf>
    <xf numFmtId="0" fontId="45" fillId="3" borderId="0" xfId="14" applyFont="1" applyFill="1" applyAlignment="1">
      <alignment vertical="center" wrapText="1"/>
      <protection locked="0"/>
    </xf>
    <xf numFmtId="0" fontId="40" fillId="3" borderId="0" xfId="15" applyFill="1" applyAlignment="1">
      <alignment vertical="center" wrapText="1"/>
      <protection locked="0"/>
    </xf>
    <xf numFmtId="49" fontId="44" fillId="3" borderId="0" xfId="14" applyNumberFormat="1" applyFont="1" applyFill="1" applyAlignment="1">
      <alignment horizontal="center" vertical="center"/>
      <protection locked="0"/>
    </xf>
    <xf numFmtId="0" fontId="45" fillId="3" borderId="0" xfId="14" applyFont="1" applyFill="1" applyAlignment="1">
      <alignment horizontal="center" vertical="center" wrapText="1"/>
      <protection locked="0"/>
    </xf>
    <xf numFmtId="0" fontId="18" fillId="3" borderId="0" xfId="2" applyFont="1" applyFill="1"/>
    <xf numFmtId="17" fontId="45" fillId="3" borderId="0" xfId="14" applyNumberFormat="1" applyFont="1" applyFill="1" applyAlignment="1">
      <alignment horizontal="center" vertical="center" wrapText="1"/>
      <protection locked="0"/>
    </xf>
    <xf numFmtId="167" fontId="45" fillId="3" borderId="0" xfId="16" applyNumberFormat="1" applyFont="1" applyFill="1" applyAlignment="1" applyProtection="1">
      <alignment vertical="center" wrapText="1"/>
      <protection locked="0"/>
    </xf>
    <xf numFmtId="167" fontId="0" fillId="3" borderId="0" xfId="16" applyNumberFormat="1" applyFont="1" applyFill="1" applyBorder="1" applyAlignment="1" applyProtection="1">
      <alignment vertical="center" wrapText="1"/>
      <protection locked="0"/>
    </xf>
    <xf numFmtId="0" fontId="45" fillId="3" borderId="0" xfId="14" applyFont="1" applyFill="1" applyAlignment="1">
      <alignment vertical="center"/>
      <protection locked="0"/>
    </xf>
    <xf numFmtId="0" fontId="43" fillId="3" borderId="0" xfId="14" applyFont="1" applyFill="1" applyAlignment="1">
      <alignment vertical="center" wrapText="1"/>
      <protection locked="0"/>
    </xf>
    <xf numFmtId="167" fontId="45" fillId="3" borderId="0" xfId="14" applyNumberFormat="1" applyFont="1" applyFill="1" applyAlignment="1">
      <alignment vertical="center" wrapText="1"/>
      <protection locked="0"/>
    </xf>
    <xf numFmtId="166" fontId="45" fillId="3" borderId="0" xfId="14" applyNumberFormat="1" applyFont="1" applyFill="1" applyAlignment="1">
      <alignment vertical="center" wrapText="1"/>
      <protection locked="0"/>
    </xf>
    <xf numFmtId="3" fontId="45" fillId="3" borderId="0" xfId="14" applyNumberFormat="1" applyFont="1" applyFill="1" applyAlignment="1">
      <alignment vertical="center" wrapText="1"/>
      <protection locked="0"/>
    </xf>
    <xf numFmtId="167" fontId="45" fillId="3" borderId="0" xfId="16" applyNumberFormat="1" applyFont="1" applyFill="1" applyBorder="1" applyAlignment="1" applyProtection="1">
      <alignment vertical="center" wrapText="1"/>
      <protection locked="0"/>
    </xf>
    <xf numFmtId="0" fontId="42" fillId="3" borderId="0" xfId="15" applyFont="1" applyFill="1" applyAlignment="1">
      <alignment vertical="center" wrapText="1"/>
      <protection locked="0"/>
    </xf>
    <xf numFmtId="0" fontId="43" fillId="16" borderId="5" xfId="14" applyFont="1" applyFill="1" applyBorder="1" applyAlignment="1">
      <alignment horizontal="center" vertical="center" wrapText="1"/>
      <protection locked="0"/>
    </xf>
    <xf numFmtId="0" fontId="43" fillId="3" borderId="1" xfId="14" applyFont="1" applyFill="1" applyBorder="1" applyAlignment="1">
      <alignment horizontal="centerContinuous" vertical="center" wrapText="1"/>
      <protection locked="0"/>
    </xf>
    <xf numFmtId="0" fontId="45" fillId="3" borderId="1" xfId="14" applyFont="1" applyFill="1" applyBorder="1" applyAlignment="1">
      <alignment horizontal="centerContinuous" vertical="center" wrapText="1"/>
      <protection locked="0"/>
    </xf>
    <xf numFmtId="17" fontId="55" fillId="3" borderId="5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indent="2"/>
    </xf>
    <xf numFmtId="165" fontId="8" fillId="3" borderId="1" xfId="0" applyNumberFormat="1" applyFont="1" applyFill="1" applyBorder="1" applyAlignment="1">
      <alignment vertical="center" wrapText="1"/>
    </xf>
    <xf numFmtId="0" fontId="28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6" fontId="28" fillId="3" borderId="0" xfId="10" applyNumberFormat="1" applyFont="1" applyFill="1" applyBorder="1" applyAlignment="1">
      <alignment vertical="center"/>
    </xf>
    <xf numFmtId="43" fontId="33" fillId="0" borderId="1" xfId="0" applyNumberFormat="1" applyFont="1" applyBorder="1" applyAlignment="1">
      <alignment horizontal="right" vertical="center" wrapText="1"/>
    </xf>
    <xf numFmtId="43" fontId="33" fillId="0" borderId="1" xfId="0" applyNumberFormat="1" applyFont="1" applyBorder="1" applyAlignment="1">
      <alignment vertical="center" wrapText="1"/>
    </xf>
    <xf numFmtId="168" fontId="25" fillId="0" borderId="0" xfId="7" applyNumberFormat="1" applyFont="1" applyAlignment="1">
      <alignment vertical="center"/>
    </xf>
    <xf numFmtId="0" fontId="31" fillId="3" borderId="0" xfId="0" applyFont="1" applyFill="1" applyAlignment="1">
      <alignment horizontal="left"/>
    </xf>
    <xf numFmtId="165" fontId="31" fillId="3" borderId="0" xfId="8" applyNumberFormat="1" applyFont="1" applyFill="1" applyBorder="1"/>
    <xf numFmtId="165" fontId="61" fillId="3" borderId="0" xfId="0" applyNumberFormat="1" applyFont="1" applyFill="1" applyAlignment="1">
      <alignment vertical="center"/>
    </xf>
    <xf numFmtId="167" fontId="31" fillId="6" borderId="0" xfId="16" applyNumberFormat="1" applyFont="1" applyFill="1" applyAlignment="1" applyProtection="1">
      <alignment vertical="center" wrapText="1"/>
      <protection locked="0"/>
    </xf>
    <xf numFmtId="0" fontId="6" fillId="3" borderId="0" xfId="0" applyFont="1" applyFill="1" applyAlignment="1">
      <alignment horizontal="left" vertical="center" wrapText="1" indent="1"/>
    </xf>
    <xf numFmtId="0" fontId="6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2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26" fillId="3" borderId="0" xfId="8" applyNumberFormat="1" applyFont="1" applyFill="1" applyBorder="1"/>
    <xf numFmtId="0" fontId="8" fillId="3" borderId="0" xfId="0" applyFont="1" applyFill="1" applyAlignment="1">
      <alignment horizontal="left" vertical="center"/>
    </xf>
  </cellXfs>
  <cellStyles count="27">
    <cellStyle name="Comma 2" xfId="16" xr:uid="{6D3698C8-5A60-4DEA-A768-160740104011}"/>
    <cellStyle name="Comma 2 2" xfId="17" xr:uid="{7755EAAF-F2A8-44DB-861F-68D242981EFC}"/>
    <cellStyle name="Normal" xfId="0" builtinId="0"/>
    <cellStyle name="Normal 2" xfId="2" xr:uid="{DB260429-EC49-4F86-9C59-CF9277836E05}"/>
    <cellStyle name="Normal 2 2" xfId="13" xr:uid="{8857B715-49BA-4D5E-AE36-2F850B244324}"/>
    <cellStyle name="Normal 2 2 2" xfId="18" xr:uid="{1CF7CC74-18D6-48F4-B196-AC73247BB90B}"/>
    <cellStyle name="Normal 2 3" xfId="14" xr:uid="{8EBAB71D-C30B-42B7-BA6F-B22941DD936C}"/>
    <cellStyle name="Normal 2 4" xfId="19" xr:uid="{C2A2D906-A786-486A-9BC4-3A6FB4E0A052}"/>
    <cellStyle name="Normal 3" xfId="15" xr:uid="{E766BD20-008C-4E18-85C1-FDFB412C2396}"/>
    <cellStyle name="Normal 6" xfId="12" xr:uid="{AEF00235-41E0-4CEF-84B7-8B33DBA41C16}"/>
    <cellStyle name="Porcentagem" xfId="7" builtinId="5"/>
    <cellStyle name="Porcentagem 3" xfId="10" xr:uid="{57B0E390-0BC4-46EE-87C1-3DC132F130DA}"/>
    <cellStyle name="Porcentagem 3 2" xfId="11" xr:uid="{9F3F992E-0725-447C-B239-8A84147A6B5A}"/>
    <cellStyle name="Separador de milhares 2" xfId="5" xr:uid="{A6231D17-C1DD-4FD7-BEFC-D3867CB057BC}"/>
    <cellStyle name="Separador de milhares 2 2" xfId="20" xr:uid="{339E6305-A90E-4DC1-9A5E-A7774D754E2F}"/>
    <cellStyle name="Separador de milhares 3 2" xfId="6" xr:uid="{E0203D2F-F9AE-4318-9D64-B22EA1D89EB7}"/>
    <cellStyle name="Separador de milhares 3 2 2" xfId="21" xr:uid="{E5BF20BC-6EF4-496C-B97D-5BFA18315958}"/>
    <cellStyle name="Separador de milhares 5" xfId="8" xr:uid="{7F573219-A6CA-4514-AAF7-8D85E3BA29FB}"/>
    <cellStyle name="Separador de milhares 5 2" xfId="9" xr:uid="{45B95C11-77FE-41D0-94B6-D48CCCB12A92}"/>
    <cellStyle name="Separador de milhares 5 2 2" xfId="22" xr:uid="{AA485F7E-D82B-4625-8415-F54EF47D46FD}"/>
    <cellStyle name="Separador de milhares 5 3" xfId="23" xr:uid="{D3D4BC05-D13A-4E3C-B1EA-BE7C1DBC0481}"/>
    <cellStyle name="Vírgula" xfId="1" builtinId="3"/>
    <cellStyle name="Vírgula 2" xfId="3" xr:uid="{201A1E6E-A2B4-4A1B-B3E3-970529FFD0AC}"/>
    <cellStyle name="Vírgula 2 2" xfId="24" xr:uid="{4A9D594C-F5A1-425A-8626-5EBDA234F3BE}"/>
    <cellStyle name="Vírgula 3" xfId="4" xr:uid="{AD2A84C3-D66C-419F-AF01-D75D5C3122BC}"/>
    <cellStyle name="Vírgula 3 2" xfId="25" xr:uid="{3C6248EC-E03A-40E0-9BF6-C99C1943C13A}"/>
    <cellStyle name="Vírgula 4" xfId="26" xr:uid="{43501D30-9680-429E-85D9-0C5510FAA57A}"/>
  </cellStyles>
  <dxfs count="6"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BBB59"/>
      <color rgb="FF262F13"/>
      <color rgb="FF39471D"/>
      <color rgb="FF088E7E"/>
      <color rgb="FF31F3DC"/>
      <color rgb="FF055A5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Preços Médios P.O. [R$/ton]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'05. Dados Históricos'!$B$8:$B$51</c:f>
              <c:strCache>
                <c:ptCount val="44"/>
                <c:pt idx="0">
                  <c:v>4T25</c:v>
                </c:pt>
                <c:pt idx="1">
                  <c:v>3T25</c:v>
                </c:pt>
                <c:pt idx="2">
                  <c:v>2T25</c:v>
                </c:pt>
                <c:pt idx="3">
                  <c:v>1T25</c:v>
                </c:pt>
                <c:pt idx="4">
                  <c:v>4T24</c:v>
                </c:pt>
                <c:pt idx="5">
                  <c:v>3T24</c:v>
                </c:pt>
                <c:pt idx="6">
                  <c:v>2T24</c:v>
                </c:pt>
                <c:pt idx="7">
                  <c:v>1T24</c:v>
                </c:pt>
                <c:pt idx="8">
                  <c:v>4T23</c:v>
                </c:pt>
                <c:pt idx="9">
                  <c:v>3T23</c:v>
                </c:pt>
                <c:pt idx="10">
                  <c:v>2T23</c:v>
                </c:pt>
                <c:pt idx="11">
                  <c:v>1T23</c:v>
                </c:pt>
                <c:pt idx="12">
                  <c:v>4T22</c:v>
                </c:pt>
                <c:pt idx="13">
                  <c:v>3T22</c:v>
                </c:pt>
                <c:pt idx="14">
                  <c:v>2T22</c:v>
                </c:pt>
                <c:pt idx="15">
                  <c:v>1T22</c:v>
                </c:pt>
                <c:pt idx="16">
                  <c:v>4T21</c:v>
                </c:pt>
                <c:pt idx="17">
                  <c:v>3T21</c:v>
                </c:pt>
                <c:pt idx="18">
                  <c:v>2T21</c:v>
                </c:pt>
                <c:pt idx="19">
                  <c:v>1T21</c:v>
                </c:pt>
                <c:pt idx="20">
                  <c:v>4T20</c:v>
                </c:pt>
                <c:pt idx="21">
                  <c:v>3T20</c:v>
                </c:pt>
                <c:pt idx="22">
                  <c:v>2T20</c:v>
                </c:pt>
                <c:pt idx="23">
                  <c:v>1T20</c:v>
                </c:pt>
                <c:pt idx="24">
                  <c:v>4T19</c:v>
                </c:pt>
                <c:pt idx="25">
                  <c:v>3T19</c:v>
                </c:pt>
                <c:pt idx="26">
                  <c:v>2T19</c:v>
                </c:pt>
                <c:pt idx="27">
                  <c:v>1T19</c:v>
                </c:pt>
                <c:pt idx="28">
                  <c:v>4T18</c:v>
                </c:pt>
                <c:pt idx="29">
                  <c:v>3T18</c:v>
                </c:pt>
                <c:pt idx="30">
                  <c:v>2T18</c:v>
                </c:pt>
                <c:pt idx="31">
                  <c:v>1T18</c:v>
                </c:pt>
                <c:pt idx="32">
                  <c:v>4T17</c:v>
                </c:pt>
                <c:pt idx="33">
                  <c:v>3T17</c:v>
                </c:pt>
                <c:pt idx="34">
                  <c:v>2T17</c:v>
                </c:pt>
                <c:pt idx="35">
                  <c:v>1T17</c:v>
                </c:pt>
                <c:pt idx="36">
                  <c:v>4T16</c:v>
                </c:pt>
                <c:pt idx="37">
                  <c:v>3T16</c:v>
                </c:pt>
                <c:pt idx="38">
                  <c:v>2T16</c:v>
                </c:pt>
                <c:pt idx="39">
                  <c:v>1T16</c:v>
                </c:pt>
                <c:pt idx="40">
                  <c:v>4T15</c:v>
                </c:pt>
                <c:pt idx="41">
                  <c:v>3T15</c:v>
                </c:pt>
                <c:pt idx="42">
                  <c:v>2T15</c:v>
                </c:pt>
                <c:pt idx="43">
                  <c:v>1T15</c:v>
                </c:pt>
              </c:strCache>
            </c:strRef>
          </c:cat>
          <c:val>
            <c:numRef>
              <c:f>'05. Dados Históricos'!$AD$9:$AD$51</c:f>
              <c:numCache>
                <c:formatCode>_-* #,##0_-;\-* #,##0_-;_-* "-"??_-;_-@_-</c:formatCode>
                <c:ptCount val="43"/>
                <c:pt idx="0">
                  <c:v>6191.5869265142828</c:v>
                </c:pt>
                <c:pt idx="1">
                  <c:v>6063.4101868957077</c:v>
                </c:pt>
                <c:pt idx="2">
                  <c:v>5825.0613236743766</c:v>
                </c:pt>
                <c:pt idx="3">
                  <c:v>5725.479660599548</c:v>
                </c:pt>
                <c:pt idx="4">
                  <c:v>5425.8122860280346</c:v>
                </c:pt>
                <c:pt idx="5">
                  <c:v>5344.5336008024069</c:v>
                </c:pt>
                <c:pt idx="6">
                  <c:v>5311.6337146796641</c:v>
                </c:pt>
                <c:pt idx="7">
                  <c:v>5334.3490317158557</c:v>
                </c:pt>
                <c:pt idx="8">
                  <c:v>5537.8318528455302</c:v>
                </c:pt>
                <c:pt idx="9">
                  <c:v>5760.6078649649207</c:v>
                </c:pt>
                <c:pt idx="10">
                  <c:v>5880.166915990867</c:v>
                </c:pt>
                <c:pt idx="11">
                  <c:v>5874.3417239902237</c:v>
                </c:pt>
                <c:pt idx="12">
                  <c:v>5720.3828754999013</c:v>
                </c:pt>
                <c:pt idx="13">
                  <c:v>5797.8728728728729</c:v>
                </c:pt>
                <c:pt idx="14">
                  <c:v>6074.9840274147646</c:v>
                </c:pt>
                <c:pt idx="15">
                  <c:v>6210.6311023836797</c:v>
                </c:pt>
                <c:pt idx="16">
                  <c:v>6160.7362579413902</c:v>
                </c:pt>
                <c:pt idx="17">
                  <c:v>5727.7999901278445</c:v>
                </c:pt>
                <c:pt idx="18">
                  <c:v>4875.3144886784075</c:v>
                </c:pt>
                <c:pt idx="19">
                  <c:v>3894.5510542525467</c:v>
                </c:pt>
                <c:pt idx="20">
                  <c:v>3448.676071999444</c:v>
                </c:pt>
                <c:pt idx="21">
                  <c:v>3424.8350257631</c:v>
                </c:pt>
                <c:pt idx="22">
                  <c:v>3348.664406779661</c:v>
                </c:pt>
                <c:pt idx="23">
                  <c:v>3308.728959032564</c:v>
                </c:pt>
                <c:pt idx="24">
                  <c:v>3239.1903893797034</c:v>
                </c:pt>
                <c:pt idx="25">
                  <c:v>3240.9904875443958</c:v>
                </c:pt>
                <c:pt idx="26">
                  <c:v>3178.2818961287762</c:v>
                </c:pt>
                <c:pt idx="27">
                  <c:v>3095.2181577787574</c:v>
                </c:pt>
                <c:pt idx="28">
                  <c:v>3070.1727991746907</c:v>
                </c:pt>
                <c:pt idx="29">
                  <c:v>3119.8790211712949</c:v>
                </c:pt>
                <c:pt idx="30">
                  <c:v>3025.4507346493574</c:v>
                </c:pt>
                <c:pt idx="31">
                  <c:v>2999.5327862192248</c:v>
                </c:pt>
                <c:pt idx="32">
                  <c:v>2931.6779795401367</c:v>
                </c:pt>
                <c:pt idx="33">
                  <c:v>2886.5261813537677</c:v>
                </c:pt>
                <c:pt idx="34">
                  <c:v>2773.1212916602335</c:v>
                </c:pt>
                <c:pt idx="35">
                  <c:v>2775.3244059280428</c:v>
                </c:pt>
                <c:pt idx="36">
                  <c:v>2725.1609836207267</c:v>
                </c:pt>
                <c:pt idx="37">
                  <c:v>2685.9883236030023</c:v>
                </c:pt>
                <c:pt idx="38">
                  <c:v>2641.8723286915761</c:v>
                </c:pt>
                <c:pt idx="39">
                  <c:v>2487.1907620540665</c:v>
                </c:pt>
                <c:pt idx="40">
                  <c:v>2531.5528578654526</c:v>
                </c:pt>
                <c:pt idx="41">
                  <c:v>2542.2008322474885</c:v>
                </c:pt>
                <c:pt idx="42">
                  <c:v>2469.7739939976727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0-4583-A2B9-62D19D76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253136"/>
        <c:axId val="1535096000"/>
      </c:lineChart>
      <c:catAx>
        <c:axId val="14682531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5096000"/>
        <c:crosses val="autoZero"/>
        <c:auto val="1"/>
        <c:lblAlgn val="ctr"/>
        <c:lblOffset val="100"/>
        <c:noMultiLvlLbl val="0"/>
      </c:catAx>
      <c:valAx>
        <c:axId val="15350960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82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Preços Médios Papel Flexível [R$/ton]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'05. Dados Históricos'!$B$8:$B$51</c:f>
              <c:strCache>
                <c:ptCount val="44"/>
                <c:pt idx="0">
                  <c:v>4T25</c:v>
                </c:pt>
                <c:pt idx="1">
                  <c:v>3T25</c:v>
                </c:pt>
                <c:pt idx="2">
                  <c:v>2T25</c:v>
                </c:pt>
                <c:pt idx="3">
                  <c:v>1T25</c:v>
                </c:pt>
                <c:pt idx="4">
                  <c:v>4T24</c:v>
                </c:pt>
                <c:pt idx="5">
                  <c:v>3T24</c:v>
                </c:pt>
                <c:pt idx="6">
                  <c:v>2T24</c:v>
                </c:pt>
                <c:pt idx="7">
                  <c:v>1T24</c:v>
                </c:pt>
                <c:pt idx="8">
                  <c:v>4T23</c:v>
                </c:pt>
                <c:pt idx="9">
                  <c:v>3T23</c:v>
                </c:pt>
                <c:pt idx="10">
                  <c:v>2T23</c:v>
                </c:pt>
                <c:pt idx="11">
                  <c:v>1T23</c:v>
                </c:pt>
                <c:pt idx="12">
                  <c:v>4T22</c:v>
                </c:pt>
                <c:pt idx="13">
                  <c:v>3T22</c:v>
                </c:pt>
                <c:pt idx="14">
                  <c:v>2T22</c:v>
                </c:pt>
                <c:pt idx="15">
                  <c:v>1T22</c:v>
                </c:pt>
                <c:pt idx="16">
                  <c:v>4T21</c:v>
                </c:pt>
                <c:pt idx="17">
                  <c:v>3T21</c:v>
                </c:pt>
                <c:pt idx="18">
                  <c:v>2T21</c:v>
                </c:pt>
                <c:pt idx="19">
                  <c:v>1T21</c:v>
                </c:pt>
                <c:pt idx="20">
                  <c:v>4T20</c:v>
                </c:pt>
                <c:pt idx="21">
                  <c:v>3T20</c:v>
                </c:pt>
                <c:pt idx="22">
                  <c:v>2T20</c:v>
                </c:pt>
                <c:pt idx="23">
                  <c:v>1T20</c:v>
                </c:pt>
                <c:pt idx="24">
                  <c:v>4T19</c:v>
                </c:pt>
                <c:pt idx="25">
                  <c:v>3T19</c:v>
                </c:pt>
                <c:pt idx="26">
                  <c:v>2T19</c:v>
                </c:pt>
                <c:pt idx="27">
                  <c:v>1T19</c:v>
                </c:pt>
                <c:pt idx="28">
                  <c:v>4T18</c:v>
                </c:pt>
                <c:pt idx="29">
                  <c:v>3T18</c:v>
                </c:pt>
                <c:pt idx="30">
                  <c:v>2T18</c:v>
                </c:pt>
                <c:pt idx="31">
                  <c:v>1T18</c:v>
                </c:pt>
                <c:pt idx="32">
                  <c:v>4T17</c:v>
                </c:pt>
                <c:pt idx="33">
                  <c:v>3T17</c:v>
                </c:pt>
                <c:pt idx="34">
                  <c:v>2T17</c:v>
                </c:pt>
                <c:pt idx="35">
                  <c:v>1T17</c:v>
                </c:pt>
                <c:pt idx="36">
                  <c:v>4T16</c:v>
                </c:pt>
                <c:pt idx="37">
                  <c:v>3T16</c:v>
                </c:pt>
                <c:pt idx="38">
                  <c:v>2T16</c:v>
                </c:pt>
                <c:pt idx="39">
                  <c:v>1T16</c:v>
                </c:pt>
                <c:pt idx="40">
                  <c:v>4T15</c:v>
                </c:pt>
                <c:pt idx="41">
                  <c:v>3T15</c:v>
                </c:pt>
                <c:pt idx="42">
                  <c:v>2T15</c:v>
                </c:pt>
                <c:pt idx="43">
                  <c:v>1T15</c:v>
                </c:pt>
              </c:strCache>
            </c:strRef>
          </c:cat>
          <c:val>
            <c:numRef>
              <c:f>'05. Dados Históricos'!$AB$9:$AB$51</c:f>
              <c:numCache>
                <c:formatCode>_-* #,##0_-;\-* #,##0_-;_-* "-"??_-;_-@_-</c:formatCode>
                <c:ptCount val="43"/>
                <c:pt idx="0">
                  <c:v>5239.9703923019988</c:v>
                </c:pt>
                <c:pt idx="1">
                  <c:v>5325.5536481731742</c:v>
                </c:pt>
                <c:pt idx="2">
                  <c:v>5421.6650717703351</c:v>
                </c:pt>
                <c:pt idx="3">
                  <c:v>5473.33556934429</c:v>
                </c:pt>
                <c:pt idx="4">
                  <c:v>5216.5526522372993</c:v>
                </c:pt>
                <c:pt idx="5">
                  <c:v>5025.7943006878477</c:v>
                </c:pt>
                <c:pt idx="6">
                  <c:v>4976.4520322256758</c:v>
                </c:pt>
                <c:pt idx="7">
                  <c:v>5092.542901180238</c:v>
                </c:pt>
                <c:pt idx="8">
                  <c:v>5179.8781864703205</c:v>
                </c:pt>
                <c:pt idx="9">
                  <c:v>5436.1012744621921</c:v>
                </c:pt>
                <c:pt idx="10">
                  <c:v>5488.5971999121475</c:v>
                </c:pt>
                <c:pt idx="11">
                  <c:v>5335.8452087545265</c:v>
                </c:pt>
                <c:pt idx="12">
                  <c:v>5095.0317478471188</c:v>
                </c:pt>
                <c:pt idx="13">
                  <c:v>4813.6102965263826</c:v>
                </c:pt>
                <c:pt idx="14">
                  <c:v>4698.7331590589183</c:v>
                </c:pt>
                <c:pt idx="15">
                  <c:v>4514.1887439768234</c:v>
                </c:pt>
                <c:pt idx="16">
                  <c:v>4314.8486135503599</c:v>
                </c:pt>
                <c:pt idx="17">
                  <c:v>4155.6728775908041</c:v>
                </c:pt>
                <c:pt idx="18">
                  <c:v>3813.8460909722507</c:v>
                </c:pt>
                <c:pt idx="19">
                  <c:v>3556.455745625808</c:v>
                </c:pt>
                <c:pt idx="20">
                  <c:v>3269.8401924308823</c:v>
                </c:pt>
                <c:pt idx="21">
                  <c:v>3373.4749079189687</c:v>
                </c:pt>
                <c:pt idx="22">
                  <c:v>3378.6422311552769</c:v>
                </c:pt>
                <c:pt idx="23">
                  <c:v>3107.1604667725856</c:v>
                </c:pt>
                <c:pt idx="24">
                  <c:v>3165.1103147384597</c:v>
                </c:pt>
                <c:pt idx="25">
                  <c:v>2796.3595579406697</c:v>
                </c:pt>
                <c:pt idx="26">
                  <c:v>3064.4624375836911</c:v>
                </c:pt>
                <c:pt idx="27">
                  <c:v>3003.7685555402363</c:v>
                </c:pt>
                <c:pt idx="28">
                  <c:v>3089.5178104067782</c:v>
                </c:pt>
                <c:pt idx="29">
                  <c:v>2916.8654703868892</c:v>
                </c:pt>
                <c:pt idx="30">
                  <c:v>2711.0528823249165</c:v>
                </c:pt>
                <c:pt idx="31">
                  <c:v>2753.4653465346537</c:v>
                </c:pt>
                <c:pt idx="32">
                  <c:v>2669.2976588628762</c:v>
                </c:pt>
                <c:pt idx="33">
                  <c:v>2617.1169062222016</c:v>
                </c:pt>
                <c:pt idx="34">
                  <c:v>2517.1112104505041</c:v>
                </c:pt>
                <c:pt idx="35">
                  <c:v>2582.5206821648103</c:v>
                </c:pt>
                <c:pt idx="36">
                  <c:v>2595.225176342919</c:v>
                </c:pt>
                <c:pt idx="37">
                  <c:v>2561.5097630699161</c:v>
                </c:pt>
                <c:pt idx="38">
                  <c:v>2706.5287653522946</c:v>
                </c:pt>
                <c:pt idx="39">
                  <c:v>2701.583495679105</c:v>
                </c:pt>
                <c:pt idx="40">
                  <c:v>2636.5625</c:v>
                </c:pt>
                <c:pt idx="41">
                  <c:v>2481.0881417537485</c:v>
                </c:pt>
                <c:pt idx="42">
                  <c:v>2489.6267960407995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0-4583-A2B9-62D19D76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253136"/>
        <c:axId val="1535096000"/>
      </c:lineChart>
      <c:catAx>
        <c:axId val="14682531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5096000"/>
        <c:crosses val="autoZero"/>
        <c:auto val="1"/>
        <c:lblAlgn val="ctr"/>
        <c:lblOffset val="100"/>
        <c:noMultiLvlLbl val="1"/>
      </c:catAx>
      <c:valAx>
        <c:axId val="1535096000"/>
        <c:scaling>
          <c:orientation val="minMax"/>
          <c:max val="7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82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Preços Médios Papel Rígido [R$/ton]</a:t>
            </a:r>
          </a:p>
        </c:rich>
      </c:tx>
      <c:layout>
        <c:manualLayout>
          <c:xMode val="edge"/>
          <c:yMode val="edge"/>
          <c:x val="0.1919582239720034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'05. Dados Históricos'!$B$9:$B$51</c:f>
              <c:strCache>
                <c:ptCount val="43"/>
                <c:pt idx="0">
                  <c:v>3T25</c:v>
                </c:pt>
                <c:pt idx="1">
                  <c:v>2T25</c:v>
                </c:pt>
                <c:pt idx="2">
                  <c:v>1T25</c:v>
                </c:pt>
                <c:pt idx="3">
                  <c:v>4T24</c:v>
                </c:pt>
                <c:pt idx="4">
                  <c:v>3T24</c:v>
                </c:pt>
                <c:pt idx="5">
                  <c:v>2T24</c:v>
                </c:pt>
                <c:pt idx="6">
                  <c:v>1T24</c:v>
                </c:pt>
                <c:pt idx="7">
                  <c:v>4T23</c:v>
                </c:pt>
                <c:pt idx="8">
                  <c:v>3T23</c:v>
                </c:pt>
                <c:pt idx="9">
                  <c:v>2T23</c:v>
                </c:pt>
                <c:pt idx="10">
                  <c:v>1T23</c:v>
                </c:pt>
                <c:pt idx="11">
                  <c:v>4T22</c:v>
                </c:pt>
                <c:pt idx="12">
                  <c:v>3T22</c:v>
                </c:pt>
                <c:pt idx="13">
                  <c:v>2T22</c:v>
                </c:pt>
                <c:pt idx="14">
                  <c:v>1T22</c:v>
                </c:pt>
                <c:pt idx="15">
                  <c:v>4T21</c:v>
                </c:pt>
                <c:pt idx="16">
                  <c:v>3T21</c:v>
                </c:pt>
                <c:pt idx="17">
                  <c:v>2T21</c:v>
                </c:pt>
                <c:pt idx="18">
                  <c:v>1T21</c:v>
                </c:pt>
                <c:pt idx="19">
                  <c:v>4T20</c:v>
                </c:pt>
                <c:pt idx="20">
                  <c:v>3T20</c:v>
                </c:pt>
                <c:pt idx="21">
                  <c:v>2T20</c:v>
                </c:pt>
                <c:pt idx="22">
                  <c:v>1T20</c:v>
                </c:pt>
                <c:pt idx="23">
                  <c:v>4T19</c:v>
                </c:pt>
                <c:pt idx="24">
                  <c:v>3T19</c:v>
                </c:pt>
                <c:pt idx="25">
                  <c:v>2T19</c:v>
                </c:pt>
                <c:pt idx="26">
                  <c:v>1T19</c:v>
                </c:pt>
                <c:pt idx="27">
                  <c:v>4T18</c:v>
                </c:pt>
                <c:pt idx="28">
                  <c:v>3T18</c:v>
                </c:pt>
                <c:pt idx="29">
                  <c:v>2T18</c:v>
                </c:pt>
                <c:pt idx="30">
                  <c:v>1T18</c:v>
                </c:pt>
                <c:pt idx="31">
                  <c:v>4T17</c:v>
                </c:pt>
                <c:pt idx="32">
                  <c:v>3T17</c:v>
                </c:pt>
                <c:pt idx="33">
                  <c:v>2T17</c:v>
                </c:pt>
                <c:pt idx="34">
                  <c:v>1T17</c:v>
                </c:pt>
                <c:pt idx="35">
                  <c:v>4T16</c:v>
                </c:pt>
                <c:pt idx="36">
                  <c:v>3T16</c:v>
                </c:pt>
                <c:pt idx="37">
                  <c:v>2T16</c:v>
                </c:pt>
                <c:pt idx="38">
                  <c:v>1T16</c:v>
                </c:pt>
                <c:pt idx="39">
                  <c:v>4T15</c:v>
                </c:pt>
                <c:pt idx="40">
                  <c:v>3T15</c:v>
                </c:pt>
                <c:pt idx="41">
                  <c:v>2T15</c:v>
                </c:pt>
                <c:pt idx="42">
                  <c:v>1T15</c:v>
                </c:pt>
              </c:strCache>
            </c:strRef>
          </c:cat>
          <c:val>
            <c:numRef>
              <c:f>'05. Dados Históricos'!$AC$9:$AC$51</c:f>
              <c:numCache>
                <c:formatCode>_-* #,##0_-;\-* #,##0_-;_-* "-"??_-;_-@_-</c:formatCode>
                <c:ptCount val="43"/>
                <c:pt idx="0">
                  <c:v>3839.2188771358828</c:v>
                </c:pt>
                <c:pt idx="1">
                  <c:v>3786.7074439574994</c:v>
                </c:pt>
                <c:pt idx="2">
                  <c:v>3626.2911627085728</c:v>
                </c:pt>
                <c:pt idx="3">
                  <c:v>3529.3253516471409</c:v>
                </c:pt>
                <c:pt idx="4">
                  <c:v>3321.457041990011</c:v>
                </c:pt>
                <c:pt idx="5">
                  <c:v>3047.3790184502855</c:v>
                </c:pt>
                <c:pt idx="6">
                  <c:v>3118.6699777193112</c:v>
                </c:pt>
                <c:pt idx="7">
                  <c:v>3070.9930878564942</c:v>
                </c:pt>
                <c:pt idx="8">
                  <c:v>3078.6519809496808</c:v>
                </c:pt>
                <c:pt idx="9">
                  <c:v>3246.2053083528494</c:v>
                </c:pt>
                <c:pt idx="10">
                  <c:v>3511.4703118983443</c:v>
                </c:pt>
                <c:pt idx="11">
                  <c:v>3819.2341067723069</c:v>
                </c:pt>
                <c:pt idx="12">
                  <c:v>3628.3428154187836</c:v>
                </c:pt>
                <c:pt idx="13">
                  <c:v>3455.1071844765438</c:v>
                </c:pt>
                <c:pt idx="14">
                  <c:v>3684.5232057728253</c:v>
                </c:pt>
                <c:pt idx="15">
                  <c:v>3880.1023374811029</c:v>
                </c:pt>
                <c:pt idx="16">
                  <c:v>4147.5168061462482</c:v>
                </c:pt>
                <c:pt idx="17">
                  <c:v>3963.3897453609216</c:v>
                </c:pt>
                <c:pt idx="18">
                  <c:v>3381.8651216546837</c:v>
                </c:pt>
                <c:pt idx="19">
                  <c:v>2519.5249145395114</c:v>
                </c:pt>
                <c:pt idx="20">
                  <c:v>1961.9207280565201</c:v>
                </c:pt>
                <c:pt idx="21">
                  <c:v>1970.5281080076497</c:v>
                </c:pt>
                <c:pt idx="22">
                  <c:v>1838.564690923607</c:v>
                </c:pt>
                <c:pt idx="23">
                  <c:v>1774.7702197583924</c:v>
                </c:pt>
                <c:pt idx="24">
                  <c:v>1788.7393547942213</c:v>
                </c:pt>
                <c:pt idx="25">
                  <c:v>2693.8782648234132</c:v>
                </c:pt>
                <c:pt idx="26">
                  <c:v>1859.2384478456754</c:v>
                </c:pt>
                <c:pt idx="27">
                  <c:v>2432.8644501278773</c:v>
                </c:pt>
                <c:pt idx="28">
                  <c:v>1933.3141707387181</c:v>
                </c:pt>
                <c:pt idx="29">
                  <c:v>1848.819688598694</c:v>
                </c:pt>
                <c:pt idx="30">
                  <c:v>1824.2027800490596</c:v>
                </c:pt>
                <c:pt idx="31">
                  <c:v>1579.1015625</c:v>
                </c:pt>
                <c:pt idx="32">
                  <c:v>1654.1916167664672</c:v>
                </c:pt>
                <c:pt idx="33">
                  <c:v>1660.3575184016825</c:v>
                </c:pt>
                <c:pt idx="34">
                  <c:v>1575.2688172043011</c:v>
                </c:pt>
                <c:pt idx="35">
                  <c:v>1634.0070298769772</c:v>
                </c:pt>
                <c:pt idx="36">
                  <c:v>1462.2173193601766</c:v>
                </c:pt>
                <c:pt idx="37">
                  <c:v>1465.2730950775456</c:v>
                </c:pt>
                <c:pt idx="38">
                  <c:v>1582.7067669172932</c:v>
                </c:pt>
                <c:pt idx="39">
                  <c:v>1432.4133050247699</c:v>
                </c:pt>
                <c:pt idx="40">
                  <c:v>1270.8883025505718</c:v>
                </c:pt>
                <c:pt idx="41">
                  <c:v>1295.8115183246073</c:v>
                </c:pt>
                <c:pt idx="42">
                  <c:v>1255.3740326741186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0-4583-A2B9-62D19D76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253136"/>
        <c:axId val="1535096000"/>
      </c:lineChart>
      <c:catAx>
        <c:axId val="14682531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5096000"/>
        <c:crosses val="autoZero"/>
        <c:auto val="1"/>
        <c:lblAlgn val="ctr"/>
        <c:lblOffset val="100"/>
        <c:noMultiLvlLbl val="1"/>
      </c:catAx>
      <c:valAx>
        <c:axId val="1535096000"/>
        <c:scaling>
          <c:orientation val="minMax"/>
          <c:max val="7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82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Expedição UDM (ton)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'07. Série Histórica Empapel'!$A$4:$A$231</c:f>
              <c:numCache>
                <c:formatCode>mmm\-yy</c:formatCode>
                <c:ptCount val="228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  <c:pt idx="84">
                  <c:v>43435</c:v>
                </c:pt>
                <c:pt idx="85">
                  <c:v>43405</c:v>
                </c:pt>
                <c:pt idx="86">
                  <c:v>43374</c:v>
                </c:pt>
                <c:pt idx="87">
                  <c:v>43344</c:v>
                </c:pt>
                <c:pt idx="88">
                  <c:v>43313</c:v>
                </c:pt>
                <c:pt idx="89">
                  <c:v>43282</c:v>
                </c:pt>
                <c:pt idx="90">
                  <c:v>43252</c:v>
                </c:pt>
                <c:pt idx="91">
                  <c:v>43221</c:v>
                </c:pt>
                <c:pt idx="92">
                  <c:v>43191</c:v>
                </c:pt>
                <c:pt idx="93">
                  <c:v>43160</c:v>
                </c:pt>
                <c:pt idx="94">
                  <c:v>43132</c:v>
                </c:pt>
                <c:pt idx="95">
                  <c:v>43101</c:v>
                </c:pt>
                <c:pt idx="96">
                  <c:v>43070</c:v>
                </c:pt>
                <c:pt idx="97">
                  <c:v>43040</c:v>
                </c:pt>
                <c:pt idx="98">
                  <c:v>43009</c:v>
                </c:pt>
                <c:pt idx="99">
                  <c:v>42979</c:v>
                </c:pt>
                <c:pt idx="100">
                  <c:v>42948</c:v>
                </c:pt>
                <c:pt idx="101">
                  <c:v>42917</c:v>
                </c:pt>
                <c:pt idx="102">
                  <c:v>42887</c:v>
                </c:pt>
                <c:pt idx="103">
                  <c:v>42856</c:v>
                </c:pt>
                <c:pt idx="104">
                  <c:v>42826</c:v>
                </c:pt>
                <c:pt idx="105">
                  <c:v>42795</c:v>
                </c:pt>
                <c:pt idx="106">
                  <c:v>42767</c:v>
                </c:pt>
                <c:pt idx="107">
                  <c:v>42736</c:v>
                </c:pt>
                <c:pt idx="108">
                  <c:v>42705</c:v>
                </c:pt>
                <c:pt idx="109">
                  <c:v>42675</c:v>
                </c:pt>
                <c:pt idx="110">
                  <c:v>42644</c:v>
                </c:pt>
                <c:pt idx="111">
                  <c:v>42614</c:v>
                </c:pt>
                <c:pt idx="112">
                  <c:v>42583</c:v>
                </c:pt>
                <c:pt idx="113">
                  <c:v>42552</c:v>
                </c:pt>
                <c:pt idx="114">
                  <c:v>42522</c:v>
                </c:pt>
                <c:pt idx="115">
                  <c:v>42491</c:v>
                </c:pt>
                <c:pt idx="116">
                  <c:v>42461</c:v>
                </c:pt>
                <c:pt idx="117">
                  <c:v>42430</c:v>
                </c:pt>
                <c:pt idx="118">
                  <c:v>42401</c:v>
                </c:pt>
                <c:pt idx="119">
                  <c:v>42370</c:v>
                </c:pt>
                <c:pt idx="120">
                  <c:v>42339</c:v>
                </c:pt>
                <c:pt idx="121">
                  <c:v>42309</c:v>
                </c:pt>
                <c:pt idx="122">
                  <c:v>42278</c:v>
                </c:pt>
                <c:pt idx="123">
                  <c:v>42248</c:v>
                </c:pt>
                <c:pt idx="124">
                  <c:v>42217</c:v>
                </c:pt>
                <c:pt idx="125">
                  <c:v>42186</c:v>
                </c:pt>
                <c:pt idx="126">
                  <c:v>42156</c:v>
                </c:pt>
                <c:pt idx="127">
                  <c:v>42125</c:v>
                </c:pt>
                <c:pt idx="128">
                  <c:v>42095</c:v>
                </c:pt>
                <c:pt idx="129">
                  <c:v>42064</c:v>
                </c:pt>
                <c:pt idx="130">
                  <c:v>42036</c:v>
                </c:pt>
                <c:pt idx="131">
                  <c:v>42005</c:v>
                </c:pt>
                <c:pt idx="132">
                  <c:v>41974</c:v>
                </c:pt>
                <c:pt idx="133">
                  <c:v>41944</c:v>
                </c:pt>
                <c:pt idx="134">
                  <c:v>41913</c:v>
                </c:pt>
                <c:pt idx="135">
                  <c:v>41883</c:v>
                </c:pt>
                <c:pt idx="136">
                  <c:v>41852</c:v>
                </c:pt>
                <c:pt idx="137">
                  <c:v>41821</c:v>
                </c:pt>
                <c:pt idx="138">
                  <c:v>41791</c:v>
                </c:pt>
                <c:pt idx="139">
                  <c:v>41760</c:v>
                </c:pt>
                <c:pt idx="140">
                  <c:v>41730</c:v>
                </c:pt>
                <c:pt idx="141">
                  <c:v>41699</c:v>
                </c:pt>
                <c:pt idx="142">
                  <c:v>41671</c:v>
                </c:pt>
                <c:pt idx="143">
                  <c:v>41640</c:v>
                </c:pt>
                <c:pt idx="144">
                  <c:v>41609</c:v>
                </c:pt>
                <c:pt idx="145">
                  <c:v>41579</c:v>
                </c:pt>
                <c:pt idx="146">
                  <c:v>41548</c:v>
                </c:pt>
                <c:pt idx="147">
                  <c:v>41518</c:v>
                </c:pt>
                <c:pt idx="148">
                  <c:v>41487</c:v>
                </c:pt>
                <c:pt idx="149">
                  <c:v>41456</c:v>
                </c:pt>
                <c:pt idx="150">
                  <c:v>41426</c:v>
                </c:pt>
                <c:pt idx="151">
                  <c:v>41395</c:v>
                </c:pt>
                <c:pt idx="152">
                  <c:v>41365</c:v>
                </c:pt>
                <c:pt idx="153">
                  <c:v>41334</c:v>
                </c:pt>
                <c:pt idx="154">
                  <c:v>41306</c:v>
                </c:pt>
                <c:pt idx="155">
                  <c:v>41275</c:v>
                </c:pt>
                <c:pt idx="156">
                  <c:v>41244</c:v>
                </c:pt>
                <c:pt idx="157">
                  <c:v>41214</c:v>
                </c:pt>
                <c:pt idx="158">
                  <c:v>41183</c:v>
                </c:pt>
                <c:pt idx="159">
                  <c:v>41153</c:v>
                </c:pt>
                <c:pt idx="160">
                  <c:v>41122</c:v>
                </c:pt>
                <c:pt idx="161">
                  <c:v>41091</c:v>
                </c:pt>
                <c:pt idx="162">
                  <c:v>41061</c:v>
                </c:pt>
                <c:pt idx="163">
                  <c:v>41030</c:v>
                </c:pt>
                <c:pt idx="164">
                  <c:v>41000</c:v>
                </c:pt>
                <c:pt idx="165">
                  <c:v>40969</c:v>
                </c:pt>
                <c:pt idx="166">
                  <c:v>40940</c:v>
                </c:pt>
                <c:pt idx="167">
                  <c:v>40909</c:v>
                </c:pt>
                <c:pt idx="168">
                  <c:v>40878</c:v>
                </c:pt>
                <c:pt idx="169">
                  <c:v>40848</c:v>
                </c:pt>
                <c:pt idx="170">
                  <c:v>40817</c:v>
                </c:pt>
                <c:pt idx="171">
                  <c:v>40787</c:v>
                </c:pt>
                <c:pt idx="172">
                  <c:v>40756</c:v>
                </c:pt>
                <c:pt idx="173">
                  <c:v>40725</c:v>
                </c:pt>
                <c:pt idx="174">
                  <c:v>40695</c:v>
                </c:pt>
                <c:pt idx="175">
                  <c:v>40664</c:v>
                </c:pt>
                <c:pt idx="176">
                  <c:v>40634</c:v>
                </c:pt>
                <c:pt idx="177">
                  <c:v>40603</c:v>
                </c:pt>
                <c:pt idx="178">
                  <c:v>40575</c:v>
                </c:pt>
                <c:pt idx="179">
                  <c:v>40544</c:v>
                </c:pt>
                <c:pt idx="180">
                  <c:v>40513</c:v>
                </c:pt>
                <c:pt idx="181">
                  <c:v>40483</c:v>
                </c:pt>
                <c:pt idx="182">
                  <c:v>40452</c:v>
                </c:pt>
                <c:pt idx="183">
                  <c:v>40422</c:v>
                </c:pt>
                <c:pt idx="184">
                  <c:v>40391</c:v>
                </c:pt>
                <c:pt idx="185">
                  <c:v>40360</c:v>
                </c:pt>
                <c:pt idx="186">
                  <c:v>40330</c:v>
                </c:pt>
                <c:pt idx="187">
                  <c:v>40299</c:v>
                </c:pt>
                <c:pt idx="188">
                  <c:v>40269</c:v>
                </c:pt>
                <c:pt idx="189">
                  <c:v>40238</c:v>
                </c:pt>
                <c:pt idx="190">
                  <c:v>40210</c:v>
                </c:pt>
                <c:pt idx="191">
                  <c:v>40179</c:v>
                </c:pt>
                <c:pt idx="192">
                  <c:v>40148</c:v>
                </c:pt>
                <c:pt idx="193">
                  <c:v>40118</c:v>
                </c:pt>
                <c:pt idx="194">
                  <c:v>40087</c:v>
                </c:pt>
                <c:pt idx="195">
                  <c:v>40057</c:v>
                </c:pt>
                <c:pt idx="196">
                  <c:v>40026</c:v>
                </c:pt>
                <c:pt idx="197">
                  <c:v>39995</c:v>
                </c:pt>
                <c:pt idx="198">
                  <c:v>39965</c:v>
                </c:pt>
                <c:pt idx="199">
                  <c:v>39934</c:v>
                </c:pt>
                <c:pt idx="200">
                  <c:v>39904</c:v>
                </c:pt>
                <c:pt idx="201">
                  <c:v>39873</c:v>
                </c:pt>
                <c:pt idx="202">
                  <c:v>39845</c:v>
                </c:pt>
                <c:pt idx="203">
                  <c:v>39814</c:v>
                </c:pt>
                <c:pt idx="204">
                  <c:v>39783</c:v>
                </c:pt>
                <c:pt idx="205">
                  <c:v>39753</c:v>
                </c:pt>
                <c:pt idx="206">
                  <c:v>39722</c:v>
                </c:pt>
                <c:pt idx="207">
                  <c:v>39692</c:v>
                </c:pt>
                <c:pt idx="208">
                  <c:v>39661</c:v>
                </c:pt>
                <c:pt idx="209">
                  <c:v>39630</c:v>
                </c:pt>
                <c:pt idx="210">
                  <c:v>39600</c:v>
                </c:pt>
                <c:pt idx="211">
                  <c:v>39569</c:v>
                </c:pt>
                <c:pt idx="212">
                  <c:v>39539</c:v>
                </c:pt>
                <c:pt idx="213">
                  <c:v>39508</c:v>
                </c:pt>
                <c:pt idx="214">
                  <c:v>39479</c:v>
                </c:pt>
                <c:pt idx="215">
                  <c:v>39448</c:v>
                </c:pt>
                <c:pt idx="216">
                  <c:v>39417</c:v>
                </c:pt>
                <c:pt idx="217">
                  <c:v>39387</c:v>
                </c:pt>
                <c:pt idx="218">
                  <c:v>39356</c:v>
                </c:pt>
                <c:pt idx="219">
                  <c:v>39326</c:v>
                </c:pt>
                <c:pt idx="220">
                  <c:v>39295</c:v>
                </c:pt>
                <c:pt idx="221">
                  <c:v>39264</c:v>
                </c:pt>
                <c:pt idx="222">
                  <c:v>39234</c:v>
                </c:pt>
                <c:pt idx="223">
                  <c:v>39203</c:v>
                </c:pt>
                <c:pt idx="224">
                  <c:v>39173</c:v>
                </c:pt>
                <c:pt idx="225">
                  <c:v>39142</c:v>
                </c:pt>
                <c:pt idx="226">
                  <c:v>39114</c:v>
                </c:pt>
                <c:pt idx="227">
                  <c:v>39083</c:v>
                </c:pt>
              </c:numCache>
            </c:numRef>
          </c:cat>
          <c:val>
            <c:numRef>
              <c:f>'07. Série Histórica Empapel'!$E$4:$E$220</c:f>
              <c:numCache>
                <c:formatCode>#,##0</c:formatCode>
                <c:ptCount val="217"/>
                <c:pt idx="0">
                  <c:v>4226716</c:v>
                </c:pt>
                <c:pt idx="1">
                  <c:v>4226152</c:v>
                </c:pt>
                <c:pt idx="2">
                  <c:v>4230346</c:v>
                </c:pt>
                <c:pt idx="3">
                  <c:v>4230073</c:v>
                </c:pt>
                <c:pt idx="4">
                  <c:v>4218822</c:v>
                </c:pt>
                <c:pt idx="5">
                  <c:v>4225869</c:v>
                </c:pt>
                <c:pt idx="6">
                  <c:v>4220366</c:v>
                </c:pt>
                <c:pt idx="7">
                  <c:v>4223870</c:v>
                </c:pt>
                <c:pt idx="8">
                  <c:v>4216334</c:v>
                </c:pt>
                <c:pt idx="9">
                  <c:v>4227393</c:v>
                </c:pt>
                <c:pt idx="10">
                  <c:v>4222815</c:v>
                </c:pt>
                <c:pt idx="11">
                  <c:v>4226930</c:v>
                </c:pt>
                <c:pt idx="12">
                  <c:v>4229131</c:v>
                </c:pt>
                <c:pt idx="13">
                  <c:v>4231107</c:v>
                </c:pt>
                <c:pt idx="14">
                  <c:v>4214856</c:v>
                </c:pt>
                <c:pt idx="15">
                  <c:v>4181938</c:v>
                </c:pt>
                <c:pt idx="16">
                  <c:v>4171246</c:v>
                </c:pt>
                <c:pt idx="17">
                  <c:v>4161437</c:v>
                </c:pt>
                <c:pt idx="18">
                  <c:v>4131934</c:v>
                </c:pt>
                <c:pt idx="19">
                  <c:v>4124675</c:v>
                </c:pt>
                <c:pt idx="20">
                  <c:v>4115002</c:v>
                </c:pt>
                <c:pt idx="21">
                  <c:v>4078706</c:v>
                </c:pt>
                <c:pt idx="22">
                  <c:v>4075820</c:v>
                </c:pt>
                <c:pt idx="23">
                  <c:v>4043211</c:v>
                </c:pt>
                <c:pt idx="24">
                  <c:v>4026285</c:v>
                </c:pt>
                <c:pt idx="25">
                  <c:v>4013843</c:v>
                </c:pt>
                <c:pt idx="26">
                  <c:v>3997801</c:v>
                </c:pt>
                <c:pt idx="27">
                  <c:v>3988325</c:v>
                </c:pt>
                <c:pt idx="28">
                  <c:v>3996949</c:v>
                </c:pt>
                <c:pt idx="29">
                  <c:v>3997103</c:v>
                </c:pt>
                <c:pt idx="30">
                  <c:v>4010234</c:v>
                </c:pt>
                <c:pt idx="31">
                  <c:v>4017766</c:v>
                </c:pt>
                <c:pt idx="32">
                  <c:v>4013481</c:v>
                </c:pt>
                <c:pt idx="33">
                  <c:v>4012419</c:v>
                </c:pt>
                <c:pt idx="34">
                  <c:v>4005886</c:v>
                </c:pt>
                <c:pt idx="35">
                  <c:v>4007910</c:v>
                </c:pt>
                <c:pt idx="36">
                  <c:v>3999516</c:v>
                </c:pt>
                <c:pt idx="37">
                  <c:v>4009332.69</c:v>
                </c:pt>
                <c:pt idx="38">
                  <c:v>4008645.69</c:v>
                </c:pt>
                <c:pt idx="39">
                  <c:v>4002224.69</c:v>
                </c:pt>
                <c:pt idx="40">
                  <c:v>3989403.69</c:v>
                </c:pt>
                <c:pt idx="41">
                  <c:v>3965298.69</c:v>
                </c:pt>
                <c:pt idx="42">
                  <c:v>3960338.69</c:v>
                </c:pt>
                <c:pt idx="43">
                  <c:v>3957780.69</c:v>
                </c:pt>
                <c:pt idx="44">
                  <c:v>3959755.69</c:v>
                </c:pt>
                <c:pt idx="45">
                  <c:v>3979650.69</c:v>
                </c:pt>
                <c:pt idx="46">
                  <c:v>4012639.69</c:v>
                </c:pt>
                <c:pt idx="47">
                  <c:v>4051233.69</c:v>
                </c:pt>
                <c:pt idx="48">
                  <c:v>4077526.69</c:v>
                </c:pt>
                <c:pt idx="49">
                  <c:v>4091445</c:v>
                </c:pt>
                <c:pt idx="50">
                  <c:v>4104464</c:v>
                </c:pt>
                <c:pt idx="51">
                  <c:v>4133298</c:v>
                </c:pt>
                <c:pt idx="52">
                  <c:v>4153018</c:v>
                </c:pt>
                <c:pt idx="53">
                  <c:v>4163191</c:v>
                </c:pt>
                <c:pt idx="54">
                  <c:v>4154678</c:v>
                </c:pt>
                <c:pt idx="55">
                  <c:v>4114527</c:v>
                </c:pt>
                <c:pt idx="56">
                  <c:v>4046354</c:v>
                </c:pt>
                <c:pt idx="57">
                  <c:v>4005322</c:v>
                </c:pt>
                <c:pt idx="58">
                  <c:v>3968050</c:v>
                </c:pt>
                <c:pt idx="59">
                  <c:v>3928923</c:v>
                </c:pt>
                <c:pt idx="60">
                  <c:v>3909405</c:v>
                </c:pt>
                <c:pt idx="61">
                  <c:v>3877372</c:v>
                </c:pt>
                <c:pt idx="62">
                  <c:v>3864444</c:v>
                </c:pt>
                <c:pt idx="63">
                  <c:v>3837525</c:v>
                </c:pt>
                <c:pt idx="64">
                  <c:v>3789539</c:v>
                </c:pt>
                <c:pt idx="65">
                  <c:v>3764738</c:v>
                </c:pt>
                <c:pt idx="66">
                  <c:v>3740623</c:v>
                </c:pt>
                <c:pt idx="67">
                  <c:v>3724252</c:v>
                </c:pt>
                <c:pt idx="68">
                  <c:v>3765129</c:v>
                </c:pt>
                <c:pt idx="69">
                  <c:v>3773918</c:v>
                </c:pt>
                <c:pt idx="70">
                  <c:v>3743437</c:v>
                </c:pt>
                <c:pt idx="71">
                  <c:v>3733917</c:v>
                </c:pt>
                <c:pt idx="72">
                  <c:v>3712956</c:v>
                </c:pt>
                <c:pt idx="73">
                  <c:v>3691462</c:v>
                </c:pt>
                <c:pt idx="74">
                  <c:v>3677006</c:v>
                </c:pt>
                <c:pt idx="75">
                  <c:v>3666845</c:v>
                </c:pt>
                <c:pt idx="76">
                  <c:v>3659852</c:v>
                </c:pt>
                <c:pt idx="77">
                  <c:v>3667202</c:v>
                </c:pt>
                <c:pt idx="78">
                  <c:v>3665482</c:v>
                </c:pt>
                <c:pt idx="79">
                  <c:v>3713694</c:v>
                </c:pt>
                <c:pt idx="80">
                  <c:v>3642092</c:v>
                </c:pt>
                <c:pt idx="81">
                  <c:v>3637449</c:v>
                </c:pt>
                <c:pt idx="82">
                  <c:v>3650961</c:v>
                </c:pt>
                <c:pt idx="83">
                  <c:v>3640004</c:v>
                </c:pt>
                <c:pt idx="84">
                  <c:v>3641289</c:v>
                </c:pt>
                <c:pt idx="85">
                  <c:v>3651806</c:v>
                </c:pt>
                <c:pt idx="86">
                  <c:v>3650491</c:v>
                </c:pt>
                <c:pt idx="87">
                  <c:v>3637967</c:v>
                </c:pt>
                <c:pt idx="88">
                  <c:v>3640883</c:v>
                </c:pt>
                <c:pt idx="89">
                  <c:v>3633411</c:v>
                </c:pt>
                <c:pt idx="90">
                  <c:v>3620769</c:v>
                </c:pt>
                <c:pt idx="91">
                  <c:v>3588023</c:v>
                </c:pt>
                <c:pt idx="92">
                  <c:v>3649504</c:v>
                </c:pt>
                <c:pt idx="93">
                  <c:v>3626480</c:v>
                </c:pt>
                <c:pt idx="94">
                  <c:v>3622175</c:v>
                </c:pt>
                <c:pt idx="95">
                  <c:v>3613449</c:v>
                </c:pt>
                <c:pt idx="96">
                  <c:v>3600791</c:v>
                </c:pt>
                <c:pt idx="97">
                  <c:v>3582605.5997283547</c:v>
                </c:pt>
                <c:pt idx="98">
                  <c:v>3551252.5639195582</c:v>
                </c:pt>
                <c:pt idx="99">
                  <c:v>3518010.1772499685</c:v>
                </c:pt>
                <c:pt idx="100">
                  <c:v>3491994.8333962006</c:v>
                </c:pt>
                <c:pt idx="101">
                  <c:v>3456724.2127460195</c:v>
                </c:pt>
                <c:pt idx="102">
                  <c:v>3439683.9840076813</c:v>
                </c:pt>
                <c:pt idx="103">
                  <c:v>3423508.5478256471</c:v>
                </c:pt>
                <c:pt idx="104">
                  <c:v>3398340.4074061783</c:v>
                </c:pt>
                <c:pt idx="105">
                  <c:v>3402401.2409869847</c:v>
                </c:pt>
                <c:pt idx="106">
                  <c:v>3375082.6725849775</c:v>
                </c:pt>
                <c:pt idx="107">
                  <c:v>3359604.3482848499</c:v>
                </c:pt>
                <c:pt idx="108">
                  <c:v>3337548.5946961213</c:v>
                </c:pt>
                <c:pt idx="109">
                  <c:v>3345533.8901508553</c:v>
                </c:pt>
                <c:pt idx="110">
                  <c:v>3352522.5061764647</c:v>
                </c:pt>
                <c:pt idx="111">
                  <c:v>3376989.8088932107</c:v>
                </c:pt>
                <c:pt idx="112">
                  <c:v>3386679.0249554701</c:v>
                </c:pt>
                <c:pt idx="113">
                  <c:v>3378702.496838124</c:v>
                </c:pt>
                <c:pt idx="114">
                  <c:v>3379317.5808902206</c:v>
                </c:pt>
                <c:pt idx="115">
                  <c:v>3371770.4096054649</c:v>
                </c:pt>
                <c:pt idx="116">
                  <c:v>3374270.28165075</c:v>
                </c:pt>
                <c:pt idx="117">
                  <c:v>3374700.0475726877</c:v>
                </c:pt>
                <c:pt idx="118">
                  <c:v>3391488.9122846164</c:v>
                </c:pt>
                <c:pt idx="119">
                  <c:v>3402826.0190220755</c:v>
                </c:pt>
                <c:pt idx="120">
                  <c:v>3424211.0769986208</c:v>
                </c:pt>
                <c:pt idx="121">
                  <c:v>3421233.974078076</c:v>
                </c:pt>
                <c:pt idx="122">
                  <c:v>3431538.6018866254</c:v>
                </c:pt>
                <c:pt idx="123">
                  <c:v>3442091.5707790321</c:v>
                </c:pt>
                <c:pt idx="124">
                  <c:v>3453404.1212676624</c:v>
                </c:pt>
                <c:pt idx="125">
                  <c:v>3470399.4653976467</c:v>
                </c:pt>
                <c:pt idx="126">
                  <c:v>3481805.3212512592</c:v>
                </c:pt>
                <c:pt idx="127">
                  <c:v>3476239.1298819054</c:v>
                </c:pt>
                <c:pt idx="128">
                  <c:v>3492905.7599357129</c:v>
                </c:pt>
                <c:pt idx="129">
                  <c:v>3498971.2069667936</c:v>
                </c:pt>
                <c:pt idx="130">
                  <c:v>3494865.7912741583</c:v>
                </c:pt>
                <c:pt idx="131">
                  <c:v>3505312.3344779625</c:v>
                </c:pt>
                <c:pt idx="132">
                  <c:v>3505672.9437696738</c:v>
                </c:pt>
                <c:pt idx="133">
                  <c:v>3501194.836090425</c:v>
                </c:pt>
                <c:pt idx="134">
                  <c:v>3505887.7002610746</c:v>
                </c:pt>
                <c:pt idx="135">
                  <c:v>3509260.1111837672</c:v>
                </c:pt>
                <c:pt idx="136">
                  <c:v>3499549.0376062389</c:v>
                </c:pt>
                <c:pt idx="137">
                  <c:v>3493914.6230140678</c:v>
                </c:pt>
                <c:pt idx="138">
                  <c:v>3482421.0149790845</c:v>
                </c:pt>
                <c:pt idx="139">
                  <c:v>3489620.1836878094</c:v>
                </c:pt>
                <c:pt idx="140">
                  <c:v>3491688.8025442241</c:v>
                </c:pt>
                <c:pt idx="141">
                  <c:v>3505015.4741092212</c:v>
                </c:pt>
                <c:pt idx="142">
                  <c:v>3497190.1733168093</c:v>
                </c:pt>
                <c:pt idx="143">
                  <c:v>3479986.4043787834</c:v>
                </c:pt>
                <c:pt idx="144">
                  <c:v>3473112.4297072324</c:v>
                </c:pt>
                <c:pt idx="145">
                  <c:v>3463556.4294997258</c:v>
                </c:pt>
                <c:pt idx="146">
                  <c:v>3451594.6702592527</c:v>
                </c:pt>
                <c:pt idx="147">
                  <c:v>3434748.3995467676</c:v>
                </c:pt>
                <c:pt idx="148">
                  <c:v>3427125.5617650216</c:v>
                </c:pt>
                <c:pt idx="149">
                  <c:v>3434772.6193942875</c:v>
                </c:pt>
                <c:pt idx="150">
                  <c:v>3424509.6278964444</c:v>
                </c:pt>
                <c:pt idx="151">
                  <c:v>3426629.9016944137</c:v>
                </c:pt>
                <c:pt idx="152">
                  <c:v>3418340.5200175531</c:v>
                </c:pt>
                <c:pt idx="153">
                  <c:v>3385192.3610549849</c:v>
                </c:pt>
                <c:pt idx="154">
                  <c:v>3384748.5961461426</c:v>
                </c:pt>
                <c:pt idx="155">
                  <c:v>3376599.6092432169</c:v>
                </c:pt>
                <c:pt idx="156">
                  <c:v>3349343.4362821165</c:v>
                </c:pt>
                <c:pt idx="157">
                  <c:v>3351553.9875554885</c:v>
                </c:pt>
                <c:pt idx="158">
                  <c:v>3342973.678374487</c:v>
                </c:pt>
                <c:pt idx="159">
                  <c:v>3320671.8053658195</c:v>
                </c:pt>
                <c:pt idx="160">
                  <c:v>3308517.4555053525</c:v>
                </c:pt>
                <c:pt idx="161">
                  <c:v>3290197.7337236777</c:v>
                </c:pt>
                <c:pt idx="162">
                  <c:v>3290978.6979167052</c:v>
                </c:pt>
                <c:pt idx="163">
                  <c:v>3287482.2734042238</c:v>
                </c:pt>
                <c:pt idx="164">
                  <c:v>3281508.7977303052</c:v>
                </c:pt>
                <c:pt idx="165">
                  <c:v>3278688.3559446493</c:v>
                </c:pt>
                <c:pt idx="166">
                  <c:v>3272584.3857769957</c:v>
                </c:pt>
                <c:pt idx="167">
                  <c:v>3270845.3619757355</c:v>
                </c:pt>
                <c:pt idx="168">
                  <c:v>3266389.98839971</c:v>
                </c:pt>
                <c:pt idx="169">
                  <c:v>3263225.3825741294</c:v>
                </c:pt>
                <c:pt idx="170">
                  <c:v>3254628.5811683675</c:v>
                </c:pt>
                <c:pt idx="171">
                  <c:v>3251819.7048028079</c:v>
                </c:pt>
                <c:pt idx="172">
                  <c:v>3252110.7904291041</c:v>
                </c:pt>
                <c:pt idx="173">
                  <c:v>3237892.2997116963</c:v>
                </c:pt>
                <c:pt idx="174">
                  <c:v>3237084.7439623335</c:v>
                </c:pt>
                <c:pt idx="175">
                  <c:v>3240758.361499663</c:v>
                </c:pt>
                <c:pt idx="176">
                  <c:v>3246356.9017317253</c:v>
                </c:pt>
                <c:pt idx="177">
                  <c:v>3250606.0798426392</c:v>
                </c:pt>
                <c:pt idx="178">
                  <c:v>3255058.8318154472</c:v>
                </c:pt>
                <c:pt idx="179">
                  <c:v>3251875.1379768346</c:v>
                </c:pt>
                <c:pt idx="180">
                  <c:v>3247924.4558969554</c:v>
                </c:pt>
                <c:pt idx="181">
                  <c:v>3248420.0833142637</c:v>
                </c:pt>
                <c:pt idx="182">
                  <c:v>3245033.1833421639</c:v>
                </c:pt>
                <c:pt idx="183">
                  <c:v>3247972.0197683782</c:v>
                </c:pt>
                <c:pt idx="184">
                  <c:v>3241819.0460401447</c:v>
                </c:pt>
                <c:pt idx="185">
                  <c:v>3221615.4727359968</c:v>
                </c:pt>
                <c:pt idx="186">
                  <c:v>3196838.0905195288</c:v>
                </c:pt>
                <c:pt idx="187">
                  <c:v>3161598.3475468759</c:v>
                </c:pt>
                <c:pt idx="188">
                  <c:v>3113543.0850355569</c:v>
                </c:pt>
                <c:pt idx="189">
                  <c:v>3076835.9772598087</c:v>
                </c:pt>
                <c:pt idx="190">
                  <c:v>3033480.9948245748</c:v>
                </c:pt>
                <c:pt idx="191">
                  <c:v>2996720.3911405252</c:v>
                </c:pt>
                <c:pt idx="192">
                  <c:v>2963334.6137777716</c:v>
                </c:pt>
                <c:pt idx="193">
                  <c:v>2910980.7873169906</c:v>
                </c:pt>
                <c:pt idx="194">
                  <c:v>2877593.8296626154</c:v>
                </c:pt>
                <c:pt idx="195">
                  <c:v>2859833.7619050886</c:v>
                </c:pt>
                <c:pt idx="196">
                  <c:v>2845761.9343506284</c:v>
                </c:pt>
                <c:pt idx="197">
                  <c:v>2843521.6830280451</c:v>
                </c:pt>
                <c:pt idx="198">
                  <c:v>2851742.3859395124</c:v>
                </c:pt>
                <c:pt idx="199">
                  <c:v>2864568.9505695831</c:v>
                </c:pt>
                <c:pt idx="200">
                  <c:v>2880269.9826738071</c:v>
                </c:pt>
                <c:pt idx="201">
                  <c:v>2901255.0337280338</c:v>
                </c:pt>
                <c:pt idx="202">
                  <c:v>2905337.2158177141</c:v>
                </c:pt>
                <c:pt idx="203">
                  <c:v>2926369.7558299587</c:v>
                </c:pt>
                <c:pt idx="204">
                  <c:v>2948857.8133285688</c:v>
                </c:pt>
                <c:pt idx="205">
                  <c:v>2957682.0285824854</c:v>
                </c:pt>
                <c:pt idx="206">
                  <c:v>2962912.1780058956</c:v>
                </c:pt>
                <c:pt idx="207">
                  <c:v>2951028.3173084185</c:v>
                </c:pt>
                <c:pt idx="208">
                  <c:v>2937031.7161645694</c:v>
                </c:pt>
                <c:pt idx="209">
                  <c:v>2933395.8497531232</c:v>
                </c:pt>
                <c:pt idx="210">
                  <c:v>2913889.8302125842</c:v>
                </c:pt>
                <c:pt idx="211">
                  <c:v>2906694.7880763356</c:v>
                </c:pt>
                <c:pt idx="212">
                  <c:v>2906770.7272725604</c:v>
                </c:pt>
                <c:pt idx="213">
                  <c:v>2906958.688835735</c:v>
                </c:pt>
                <c:pt idx="214">
                  <c:v>2922336.6183817345</c:v>
                </c:pt>
                <c:pt idx="215">
                  <c:v>2913852.4677920798</c:v>
                </c:pt>
                <c:pt idx="216">
                  <c:v>2908737.3574465746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F-4942-8111-2A0E37377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034080"/>
        <c:axId val="1464026592"/>
      </c:lineChart>
      <c:dateAx>
        <c:axId val="1464034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026592"/>
        <c:crosses val="autoZero"/>
        <c:auto val="1"/>
        <c:lblOffset val="100"/>
        <c:baseTimeUnit val="months"/>
      </c:dateAx>
      <c:valAx>
        <c:axId val="146402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03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Preço Médio de Venda (R$/ton)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'07. Série Histórica Empapel'!$A$7:$A$231</c:f>
              <c:numCache>
                <c:formatCode>mmm\-yy</c:formatCode>
                <c:ptCount val="225"/>
                <c:pt idx="0">
                  <c:v>45901</c:v>
                </c:pt>
                <c:pt idx="1">
                  <c:v>45870</c:v>
                </c:pt>
                <c:pt idx="2">
                  <c:v>45839</c:v>
                </c:pt>
                <c:pt idx="3">
                  <c:v>45809</c:v>
                </c:pt>
                <c:pt idx="4">
                  <c:v>45778</c:v>
                </c:pt>
                <c:pt idx="5">
                  <c:v>45748</c:v>
                </c:pt>
                <c:pt idx="6">
                  <c:v>45717</c:v>
                </c:pt>
                <c:pt idx="7">
                  <c:v>45689</c:v>
                </c:pt>
                <c:pt idx="8">
                  <c:v>45658</c:v>
                </c:pt>
                <c:pt idx="9">
                  <c:v>45627</c:v>
                </c:pt>
                <c:pt idx="10">
                  <c:v>45597</c:v>
                </c:pt>
                <c:pt idx="11">
                  <c:v>45566</c:v>
                </c:pt>
                <c:pt idx="12">
                  <c:v>45536</c:v>
                </c:pt>
                <c:pt idx="13">
                  <c:v>45505</c:v>
                </c:pt>
                <c:pt idx="14">
                  <c:v>45474</c:v>
                </c:pt>
                <c:pt idx="15">
                  <c:v>45444</c:v>
                </c:pt>
                <c:pt idx="16">
                  <c:v>45413</c:v>
                </c:pt>
                <c:pt idx="17">
                  <c:v>45383</c:v>
                </c:pt>
                <c:pt idx="18">
                  <c:v>45352</c:v>
                </c:pt>
                <c:pt idx="19">
                  <c:v>45323</c:v>
                </c:pt>
                <c:pt idx="20">
                  <c:v>45292</c:v>
                </c:pt>
                <c:pt idx="21">
                  <c:v>45261</c:v>
                </c:pt>
                <c:pt idx="22">
                  <c:v>45231</c:v>
                </c:pt>
                <c:pt idx="23">
                  <c:v>45200</c:v>
                </c:pt>
                <c:pt idx="24">
                  <c:v>45170</c:v>
                </c:pt>
                <c:pt idx="25">
                  <c:v>45139</c:v>
                </c:pt>
                <c:pt idx="26">
                  <c:v>45108</c:v>
                </c:pt>
                <c:pt idx="27">
                  <c:v>45078</c:v>
                </c:pt>
                <c:pt idx="28">
                  <c:v>45047</c:v>
                </c:pt>
                <c:pt idx="29">
                  <c:v>45017</c:v>
                </c:pt>
                <c:pt idx="30">
                  <c:v>44986</c:v>
                </c:pt>
                <c:pt idx="31">
                  <c:v>44958</c:v>
                </c:pt>
                <c:pt idx="32">
                  <c:v>44927</c:v>
                </c:pt>
                <c:pt idx="33">
                  <c:v>44896</c:v>
                </c:pt>
                <c:pt idx="34">
                  <c:v>44866</c:v>
                </c:pt>
                <c:pt idx="35">
                  <c:v>44835</c:v>
                </c:pt>
                <c:pt idx="36">
                  <c:v>44805</c:v>
                </c:pt>
                <c:pt idx="37">
                  <c:v>44774</c:v>
                </c:pt>
                <c:pt idx="38">
                  <c:v>44743</c:v>
                </c:pt>
                <c:pt idx="39">
                  <c:v>44713</c:v>
                </c:pt>
                <c:pt idx="40">
                  <c:v>44682</c:v>
                </c:pt>
                <c:pt idx="41">
                  <c:v>44652</c:v>
                </c:pt>
                <c:pt idx="42">
                  <c:v>44621</c:v>
                </c:pt>
                <c:pt idx="43">
                  <c:v>44593</c:v>
                </c:pt>
                <c:pt idx="44">
                  <c:v>44562</c:v>
                </c:pt>
                <c:pt idx="45">
                  <c:v>44531</c:v>
                </c:pt>
                <c:pt idx="46">
                  <c:v>44501</c:v>
                </c:pt>
                <c:pt idx="47">
                  <c:v>44470</c:v>
                </c:pt>
                <c:pt idx="48">
                  <c:v>44440</c:v>
                </c:pt>
                <c:pt idx="49">
                  <c:v>44409</c:v>
                </c:pt>
                <c:pt idx="50">
                  <c:v>44378</c:v>
                </c:pt>
                <c:pt idx="51">
                  <c:v>44348</c:v>
                </c:pt>
                <c:pt idx="52">
                  <c:v>44317</c:v>
                </c:pt>
                <c:pt idx="53">
                  <c:v>44287</c:v>
                </c:pt>
                <c:pt idx="54">
                  <c:v>44256</c:v>
                </c:pt>
                <c:pt idx="55">
                  <c:v>44228</c:v>
                </c:pt>
                <c:pt idx="56">
                  <c:v>44197</c:v>
                </c:pt>
                <c:pt idx="57">
                  <c:v>44166</c:v>
                </c:pt>
                <c:pt idx="58">
                  <c:v>44136</c:v>
                </c:pt>
                <c:pt idx="59">
                  <c:v>44105</c:v>
                </c:pt>
                <c:pt idx="60">
                  <c:v>44075</c:v>
                </c:pt>
                <c:pt idx="61">
                  <c:v>44044</c:v>
                </c:pt>
                <c:pt idx="62">
                  <c:v>44013</c:v>
                </c:pt>
                <c:pt idx="63">
                  <c:v>43983</c:v>
                </c:pt>
                <c:pt idx="64">
                  <c:v>43952</c:v>
                </c:pt>
                <c:pt idx="65">
                  <c:v>43922</c:v>
                </c:pt>
                <c:pt idx="66">
                  <c:v>43891</c:v>
                </c:pt>
                <c:pt idx="67">
                  <c:v>43862</c:v>
                </c:pt>
                <c:pt idx="68">
                  <c:v>43831</c:v>
                </c:pt>
                <c:pt idx="69">
                  <c:v>43800</c:v>
                </c:pt>
                <c:pt idx="70">
                  <c:v>43770</c:v>
                </c:pt>
                <c:pt idx="71">
                  <c:v>43739</c:v>
                </c:pt>
                <c:pt idx="72">
                  <c:v>43709</c:v>
                </c:pt>
                <c:pt idx="73">
                  <c:v>43678</c:v>
                </c:pt>
                <c:pt idx="74">
                  <c:v>43647</c:v>
                </c:pt>
                <c:pt idx="75">
                  <c:v>43617</c:v>
                </c:pt>
                <c:pt idx="76">
                  <c:v>43586</c:v>
                </c:pt>
                <c:pt idx="77">
                  <c:v>43556</c:v>
                </c:pt>
                <c:pt idx="78">
                  <c:v>43525</c:v>
                </c:pt>
                <c:pt idx="79">
                  <c:v>43497</c:v>
                </c:pt>
                <c:pt idx="80">
                  <c:v>43466</c:v>
                </c:pt>
                <c:pt idx="81">
                  <c:v>43435</c:v>
                </c:pt>
                <c:pt idx="82">
                  <c:v>43405</c:v>
                </c:pt>
                <c:pt idx="83">
                  <c:v>43374</c:v>
                </c:pt>
                <c:pt idx="84">
                  <c:v>43344</c:v>
                </c:pt>
                <c:pt idx="85">
                  <c:v>43313</c:v>
                </c:pt>
                <c:pt idx="86">
                  <c:v>43282</c:v>
                </c:pt>
                <c:pt idx="87">
                  <c:v>43252</c:v>
                </c:pt>
                <c:pt idx="88">
                  <c:v>43221</c:v>
                </c:pt>
                <c:pt idx="89">
                  <c:v>43191</c:v>
                </c:pt>
                <c:pt idx="90">
                  <c:v>43160</c:v>
                </c:pt>
                <c:pt idx="91">
                  <c:v>43132</c:v>
                </c:pt>
                <c:pt idx="92">
                  <c:v>43101</c:v>
                </c:pt>
                <c:pt idx="93">
                  <c:v>43070</c:v>
                </c:pt>
                <c:pt idx="94">
                  <c:v>43040</c:v>
                </c:pt>
                <c:pt idx="95">
                  <c:v>43009</c:v>
                </c:pt>
                <c:pt idx="96">
                  <c:v>42979</c:v>
                </c:pt>
                <c:pt idx="97">
                  <c:v>42948</c:v>
                </c:pt>
                <c:pt idx="98">
                  <c:v>42917</c:v>
                </c:pt>
                <c:pt idx="99">
                  <c:v>42887</c:v>
                </c:pt>
                <c:pt idx="100">
                  <c:v>42856</c:v>
                </c:pt>
                <c:pt idx="101">
                  <c:v>42826</c:v>
                </c:pt>
                <c:pt idx="102">
                  <c:v>42795</c:v>
                </c:pt>
                <c:pt idx="103">
                  <c:v>42767</c:v>
                </c:pt>
                <c:pt idx="104">
                  <c:v>42736</c:v>
                </c:pt>
                <c:pt idx="105">
                  <c:v>42705</c:v>
                </c:pt>
                <c:pt idx="106">
                  <c:v>42675</c:v>
                </c:pt>
                <c:pt idx="107">
                  <c:v>42644</c:v>
                </c:pt>
                <c:pt idx="108">
                  <c:v>42614</c:v>
                </c:pt>
                <c:pt idx="109">
                  <c:v>42583</c:v>
                </c:pt>
                <c:pt idx="110">
                  <c:v>42552</c:v>
                </c:pt>
                <c:pt idx="111">
                  <c:v>42522</c:v>
                </c:pt>
                <c:pt idx="112">
                  <c:v>42491</c:v>
                </c:pt>
                <c:pt idx="113">
                  <c:v>42461</c:v>
                </c:pt>
                <c:pt idx="114">
                  <c:v>42430</c:v>
                </c:pt>
                <c:pt idx="115">
                  <c:v>42401</c:v>
                </c:pt>
                <c:pt idx="116">
                  <c:v>42370</c:v>
                </c:pt>
                <c:pt idx="117">
                  <c:v>42339</c:v>
                </c:pt>
                <c:pt idx="118">
                  <c:v>42309</c:v>
                </c:pt>
                <c:pt idx="119">
                  <c:v>42278</c:v>
                </c:pt>
                <c:pt idx="120">
                  <c:v>42248</c:v>
                </c:pt>
                <c:pt idx="121">
                  <c:v>42217</c:v>
                </c:pt>
                <c:pt idx="122">
                  <c:v>42186</c:v>
                </c:pt>
                <c:pt idx="123">
                  <c:v>42156</c:v>
                </c:pt>
                <c:pt idx="124">
                  <c:v>42125</c:v>
                </c:pt>
                <c:pt idx="125">
                  <c:v>42095</c:v>
                </c:pt>
                <c:pt idx="126">
                  <c:v>42064</c:v>
                </c:pt>
                <c:pt idx="127">
                  <c:v>42036</c:v>
                </c:pt>
                <c:pt idx="128">
                  <c:v>42005</c:v>
                </c:pt>
                <c:pt idx="129">
                  <c:v>41974</c:v>
                </c:pt>
                <c:pt idx="130">
                  <c:v>41944</c:v>
                </c:pt>
                <c:pt idx="131">
                  <c:v>41913</c:v>
                </c:pt>
                <c:pt idx="132">
                  <c:v>41883</c:v>
                </c:pt>
                <c:pt idx="133">
                  <c:v>41852</c:v>
                </c:pt>
                <c:pt idx="134">
                  <c:v>41821</c:v>
                </c:pt>
                <c:pt idx="135">
                  <c:v>41791</c:v>
                </c:pt>
                <c:pt idx="136">
                  <c:v>41760</c:v>
                </c:pt>
                <c:pt idx="137">
                  <c:v>41730</c:v>
                </c:pt>
                <c:pt idx="138">
                  <c:v>41699</c:v>
                </c:pt>
                <c:pt idx="139">
                  <c:v>41671</c:v>
                </c:pt>
                <c:pt idx="140">
                  <c:v>41640</c:v>
                </c:pt>
                <c:pt idx="141">
                  <c:v>41609</c:v>
                </c:pt>
                <c:pt idx="142">
                  <c:v>41579</c:v>
                </c:pt>
                <c:pt idx="143">
                  <c:v>41548</c:v>
                </c:pt>
                <c:pt idx="144">
                  <c:v>41518</c:v>
                </c:pt>
                <c:pt idx="145">
                  <c:v>41487</c:v>
                </c:pt>
                <c:pt idx="146">
                  <c:v>41456</c:v>
                </c:pt>
                <c:pt idx="147">
                  <c:v>41426</c:v>
                </c:pt>
                <c:pt idx="148">
                  <c:v>41395</c:v>
                </c:pt>
                <c:pt idx="149">
                  <c:v>41365</c:v>
                </c:pt>
                <c:pt idx="150">
                  <c:v>41334</c:v>
                </c:pt>
                <c:pt idx="151">
                  <c:v>41306</c:v>
                </c:pt>
                <c:pt idx="152">
                  <c:v>41275</c:v>
                </c:pt>
                <c:pt idx="153">
                  <c:v>41244</c:v>
                </c:pt>
                <c:pt idx="154">
                  <c:v>41214</c:v>
                </c:pt>
                <c:pt idx="155">
                  <c:v>41183</c:v>
                </c:pt>
                <c:pt idx="156">
                  <c:v>41153</c:v>
                </c:pt>
                <c:pt idx="157">
                  <c:v>41122</c:v>
                </c:pt>
                <c:pt idx="158">
                  <c:v>41091</c:v>
                </c:pt>
                <c:pt idx="159">
                  <c:v>41061</c:v>
                </c:pt>
                <c:pt idx="160">
                  <c:v>41030</c:v>
                </c:pt>
                <c:pt idx="161">
                  <c:v>41000</c:v>
                </c:pt>
                <c:pt idx="162">
                  <c:v>40969</c:v>
                </c:pt>
                <c:pt idx="163">
                  <c:v>40940</c:v>
                </c:pt>
                <c:pt idx="164">
                  <c:v>40909</c:v>
                </c:pt>
                <c:pt idx="165">
                  <c:v>40878</c:v>
                </c:pt>
                <c:pt idx="166">
                  <c:v>40848</c:v>
                </c:pt>
                <c:pt idx="167">
                  <c:v>40817</c:v>
                </c:pt>
                <c:pt idx="168">
                  <c:v>40787</c:v>
                </c:pt>
                <c:pt idx="169">
                  <c:v>40756</c:v>
                </c:pt>
                <c:pt idx="170">
                  <c:v>40725</c:v>
                </c:pt>
                <c:pt idx="171">
                  <c:v>40695</c:v>
                </c:pt>
                <c:pt idx="172">
                  <c:v>40664</c:v>
                </c:pt>
                <c:pt idx="173">
                  <c:v>40634</c:v>
                </c:pt>
                <c:pt idx="174">
                  <c:v>40603</c:v>
                </c:pt>
                <c:pt idx="175">
                  <c:v>40575</c:v>
                </c:pt>
                <c:pt idx="176">
                  <c:v>40544</c:v>
                </c:pt>
                <c:pt idx="177">
                  <c:v>40513</c:v>
                </c:pt>
                <c:pt idx="178">
                  <c:v>40483</c:v>
                </c:pt>
                <c:pt idx="179">
                  <c:v>40452</c:v>
                </c:pt>
                <c:pt idx="180">
                  <c:v>40422</c:v>
                </c:pt>
                <c:pt idx="181">
                  <c:v>40391</c:v>
                </c:pt>
                <c:pt idx="182">
                  <c:v>40360</c:v>
                </c:pt>
                <c:pt idx="183">
                  <c:v>40330</c:v>
                </c:pt>
                <c:pt idx="184">
                  <c:v>40299</c:v>
                </c:pt>
                <c:pt idx="185">
                  <c:v>40269</c:v>
                </c:pt>
                <c:pt idx="186">
                  <c:v>40238</c:v>
                </c:pt>
                <c:pt idx="187">
                  <c:v>40210</c:v>
                </c:pt>
                <c:pt idx="188">
                  <c:v>40179</c:v>
                </c:pt>
                <c:pt idx="189">
                  <c:v>40148</c:v>
                </c:pt>
                <c:pt idx="190">
                  <c:v>40118</c:v>
                </c:pt>
                <c:pt idx="191">
                  <c:v>40087</c:v>
                </c:pt>
                <c:pt idx="192">
                  <c:v>40057</c:v>
                </c:pt>
                <c:pt idx="193">
                  <c:v>40026</c:v>
                </c:pt>
                <c:pt idx="194">
                  <c:v>39995</c:v>
                </c:pt>
                <c:pt idx="195">
                  <c:v>39965</c:v>
                </c:pt>
                <c:pt idx="196">
                  <c:v>39934</c:v>
                </c:pt>
                <c:pt idx="197">
                  <c:v>39904</c:v>
                </c:pt>
                <c:pt idx="198">
                  <c:v>39873</c:v>
                </c:pt>
                <c:pt idx="199">
                  <c:v>39845</c:v>
                </c:pt>
                <c:pt idx="200">
                  <c:v>39814</c:v>
                </c:pt>
                <c:pt idx="201">
                  <c:v>39783</c:v>
                </c:pt>
                <c:pt idx="202">
                  <c:v>39753</c:v>
                </c:pt>
                <c:pt idx="203">
                  <c:v>39722</c:v>
                </c:pt>
                <c:pt idx="204">
                  <c:v>39692</c:v>
                </c:pt>
                <c:pt idx="205">
                  <c:v>39661</c:v>
                </c:pt>
                <c:pt idx="206">
                  <c:v>39630</c:v>
                </c:pt>
                <c:pt idx="207">
                  <c:v>39600</c:v>
                </c:pt>
                <c:pt idx="208">
                  <c:v>39569</c:v>
                </c:pt>
                <c:pt idx="209">
                  <c:v>39539</c:v>
                </c:pt>
                <c:pt idx="210">
                  <c:v>39508</c:v>
                </c:pt>
                <c:pt idx="211">
                  <c:v>39479</c:v>
                </c:pt>
                <c:pt idx="212">
                  <c:v>39448</c:v>
                </c:pt>
                <c:pt idx="213">
                  <c:v>39417</c:v>
                </c:pt>
                <c:pt idx="214">
                  <c:v>39387</c:v>
                </c:pt>
                <c:pt idx="215">
                  <c:v>39356</c:v>
                </c:pt>
                <c:pt idx="216">
                  <c:v>39326</c:v>
                </c:pt>
                <c:pt idx="217">
                  <c:v>39295</c:v>
                </c:pt>
                <c:pt idx="218">
                  <c:v>39264</c:v>
                </c:pt>
                <c:pt idx="219">
                  <c:v>39234</c:v>
                </c:pt>
                <c:pt idx="220">
                  <c:v>39203</c:v>
                </c:pt>
                <c:pt idx="221">
                  <c:v>39173</c:v>
                </c:pt>
                <c:pt idx="222">
                  <c:v>39142</c:v>
                </c:pt>
                <c:pt idx="223">
                  <c:v>39114</c:v>
                </c:pt>
                <c:pt idx="224">
                  <c:v>39083</c:v>
                </c:pt>
              </c:numCache>
            </c:numRef>
          </c:cat>
          <c:val>
            <c:numRef>
              <c:f>'07. Série Histórica Empapel'!$I$7:$I$231</c:f>
              <c:numCache>
                <c:formatCode>#,##0</c:formatCode>
                <c:ptCount val="225"/>
                <c:pt idx="0">
                  <c:v>7985</c:v>
                </c:pt>
                <c:pt idx="1">
                  <c:v>7976</c:v>
                </c:pt>
                <c:pt idx="2">
                  <c:v>7889</c:v>
                </c:pt>
                <c:pt idx="3">
                  <c:v>7882</c:v>
                </c:pt>
                <c:pt idx="4">
                  <c:v>7845</c:v>
                </c:pt>
                <c:pt idx="5">
                  <c:v>7803</c:v>
                </c:pt>
                <c:pt idx="6">
                  <c:v>7652</c:v>
                </c:pt>
                <c:pt idx="7">
                  <c:v>7686</c:v>
                </c:pt>
                <c:pt idx="8">
                  <c:v>7495</c:v>
                </c:pt>
                <c:pt idx="9">
                  <c:v>7451</c:v>
                </c:pt>
                <c:pt idx="10">
                  <c:v>7508</c:v>
                </c:pt>
                <c:pt idx="11">
                  <c:v>7404</c:v>
                </c:pt>
                <c:pt idx="12">
                  <c:v>7267</c:v>
                </c:pt>
                <c:pt idx="13">
                  <c:v>7098</c:v>
                </c:pt>
                <c:pt idx="14">
                  <c:v>7014</c:v>
                </c:pt>
                <c:pt idx="15">
                  <c:v>7003</c:v>
                </c:pt>
                <c:pt idx="16">
                  <c:v>7024</c:v>
                </c:pt>
                <c:pt idx="17">
                  <c:v>6987</c:v>
                </c:pt>
                <c:pt idx="18">
                  <c:v>7005</c:v>
                </c:pt>
                <c:pt idx="19">
                  <c:v>7021</c:v>
                </c:pt>
                <c:pt idx="20">
                  <c:v>7054</c:v>
                </c:pt>
                <c:pt idx="21">
                  <c:v>7193</c:v>
                </c:pt>
                <c:pt idx="22">
                  <c:v>7104</c:v>
                </c:pt>
                <c:pt idx="23">
                  <c:v>7145</c:v>
                </c:pt>
                <c:pt idx="24">
                  <c:v>7161</c:v>
                </c:pt>
                <c:pt idx="25">
                  <c:v>7141</c:v>
                </c:pt>
                <c:pt idx="26">
                  <c:v>7179</c:v>
                </c:pt>
                <c:pt idx="27">
                  <c:v>7252</c:v>
                </c:pt>
                <c:pt idx="28">
                  <c:v>7282</c:v>
                </c:pt>
                <c:pt idx="29">
                  <c:v>7349</c:v>
                </c:pt>
                <c:pt idx="30">
                  <c:v>7359</c:v>
                </c:pt>
                <c:pt idx="31">
                  <c:v>7360</c:v>
                </c:pt>
                <c:pt idx="32">
                  <c:v>7360</c:v>
                </c:pt>
                <c:pt idx="33">
                  <c:v>7444</c:v>
                </c:pt>
                <c:pt idx="34">
                  <c:v>7422</c:v>
                </c:pt>
                <c:pt idx="35">
                  <c:v>7295</c:v>
                </c:pt>
                <c:pt idx="36">
                  <c:v>7282</c:v>
                </c:pt>
                <c:pt idx="37">
                  <c:v>7237</c:v>
                </c:pt>
                <c:pt idx="38">
                  <c:v>7115</c:v>
                </c:pt>
                <c:pt idx="39">
                  <c:v>7086</c:v>
                </c:pt>
                <c:pt idx="40">
                  <c:v>7105</c:v>
                </c:pt>
                <c:pt idx="41">
                  <c:v>7076</c:v>
                </c:pt>
                <c:pt idx="42">
                  <c:v>7103</c:v>
                </c:pt>
                <c:pt idx="43">
                  <c:v>7145</c:v>
                </c:pt>
                <c:pt idx="44">
                  <c:v>7112</c:v>
                </c:pt>
                <c:pt idx="45">
                  <c:v>7032.9615398962951</c:v>
                </c:pt>
                <c:pt idx="46">
                  <c:v>7088.0541010483885</c:v>
                </c:pt>
                <c:pt idx="47">
                  <c:v>7065.1881114957132</c:v>
                </c:pt>
                <c:pt idx="48">
                  <c:v>7087.9821929008504</c:v>
                </c:pt>
                <c:pt idx="49">
                  <c:v>7015.0034395433377</c:v>
                </c:pt>
                <c:pt idx="50">
                  <c:v>6908.0836681534083</c:v>
                </c:pt>
                <c:pt idx="51">
                  <c:v>6667.3045629750432</c:v>
                </c:pt>
                <c:pt idx="52">
                  <c:v>6338.3307098160876</c:v>
                </c:pt>
                <c:pt idx="53">
                  <c:v>6160.1632662495549</c:v>
                </c:pt>
                <c:pt idx="54">
                  <c:v>5935.7235636026408</c:v>
                </c:pt>
                <c:pt idx="55">
                  <c:v>5748.3821433095136</c:v>
                </c:pt>
                <c:pt idx="56">
                  <c:v>5664.910049499681</c:v>
                </c:pt>
                <c:pt idx="57">
                  <c:v>5114.7484119954952</c:v>
                </c:pt>
                <c:pt idx="58">
                  <c:v>4872.7255087223612</c:v>
                </c:pt>
                <c:pt idx="59">
                  <c:v>4663.6160676654663</c:v>
                </c:pt>
                <c:pt idx="60">
                  <c:v>4506.5720637509885</c:v>
                </c:pt>
                <c:pt idx="61">
                  <c:v>4426.5816251674487</c:v>
                </c:pt>
                <c:pt idx="62">
                  <c:v>4370.5503745119904</c:v>
                </c:pt>
                <c:pt idx="63">
                  <c:v>4346.3038788536333</c:v>
                </c:pt>
                <c:pt idx="64">
                  <c:v>4288.0811599763974</c:v>
                </c:pt>
                <c:pt idx="65">
                  <c:v>4312.9556130119536</c:v>
                </c:pt>
                <c:pt idx="66">
                  <c:v>4299.4351955853554</c:v>
                </c:pt>
                <c:pt idx="67">
                  <c:v>4274.4648501270221</c:v>
                </c:pt>
                <c:pt idx="68">
                  <c:v>4250.8136364720431</c:v>
                </c:pt>
                <c:pt idx="69">
                  <c:v>4119.6541006640136</c:v>
                </c:pt>
                <c:pt idx="70">
                  <c:v>4157.36522381551</c:v>
                </c:pt>
                <c:pt idx="71">
                  <c:v>4164.9288217626208</c:v>
                </c:pt>
                <c:pt idx="72">
                  <c:v>4160.7735539668256</c:v>
                </c:pt>
                <c:pt idx="73">
                  <c:v>4148.4025230150646</c:v>
                </c:pt>
                <c:pt idx="74">
                  <c:v>4130.7098776974817</c:v>
                </c:pt>
                <c:pt idx="75">
                  <c:v>4112.6985980846375</c:v>
                </c:pt>
                <c:pt idx="76">
                  <c:v>4106.6644387638016</c:v>
                </c:pt>
                <c:pt idx="77">
                  <c:v>4093.0408743196595</c:v>
                </c:pt>
                <c:pt idx="78">
                  <c:v>4072.6497817253771</c:v>
                </c:pt>
                <c:pt idx="79">
                  <c:v>4017.7548714247264</c:v>
                </c:pt>
                <c:pt idx="80">
                  <c:v>3947.8401844443324</c:v>
                </c:pt>
                <c:pt idx="81">
                  <c:v>4036.3472409956485</c:v>
                </c:pt>
                <c:pt idx="82">
                  <c:v>4011.322464895457</c:v>
                </c:pt>
                <c:pt idx="83">
                  <c:v>4025.2831866003785</c:v>
                </c:pt>
                <c:pt idx="84">
                  <c:v>4005.5048846755658</c:v>
                </c:pt>
                <c:pt idx="85">
                  <c:v>3950.120764265841</c:v>
                </c:pt>
                <c:pt idx="86">
                  <c:v>3971.1855066550816</c:v>
                </c:pt>
                <c:pt idx="87">
                  <c:v>3942.8836804608386</c:v>
                </c:pt>
                <c:pt idx="88">
                  <c:v>3939.1500733478156</c:v>
                </c:pt>
                <c:pt idx="89">
                  <c:v>3924.2830991954211</c:v>
                </c:pt>
                <c:pt idx="90">
                  <c:v>3893.7540489942248</c:v>
                </c:pt>
                <c:pt idx="91">
                  <c:v>3847.0423309587845</c:v>
                </c:pt>
                <c:pt idx="92">
                  <c:v>3837.1168507307934</c:v>
                </c:pt>
                <c:pt idx="93">
                  <c:v>3798.5001297287013</c:v>
                </c:pt>
                <c:pt idx="94">
                  <c:v>3810.8128065101741</c:v>
                </c:pt>
                <c:pt idx="95">
                  <c:v>3806.9780960584626</c:v>
                </c:pt>
                <c:pt idx="96">
                  <c:v>3794.8784130777362</c:v>
                </c:pt>
                <c:pt idx="97">
                  <c:v>3765.6960540189648</c:v>
                </c:pt>
                <c:pt idx="98">
                  <c:v>3761.7112169764928</c:v>
                </c:pt>
                <c:pt idx="99">
                  <c:v>3755.6266589988277</c:v>
                </c:pt>
                <c:pt idx="100">
                  <c:v>3748.6580459463466</c:v>
                </c:pt>
                <c:pt idx="101">
                  <c:v>3754.8385925971938</c:v>
                </c:pt>
                <c:pt idx="102">
                  <c:v>3747.1201097730595</c:v>
                </c:pt>
                <c:pt idx="103">
                  <c:v>3723.2317153753183</c:v>
                </c:pt>
                <c:pt idx="104">
                  <c:v>3696.2283686419955</c:v>
                </c:pt>
                <c:pt idx="105">
                  <c:v>3640.1975781972164</c:v>
                </c:pt>
                <c:pt idx="106">
                  <c:v>3663.8849385314443</c:v>
                </c:pt>
                <c:pt idx="107">
                  <c:v>3656.1997152136601</c:v>
                </c:pt>
                <c:pt idx="108">
                  <c:v>3654.8789676924484</c:v>
                </c:pt>
                <c:pt idx="109">
                  <c:v>3638.4618486502181</c:v>
                </c:pt>
                <c:pt idx="110">
                  <c:v>3603.3488461941201</c:v>
                </c:pt>
                <c:pt idx="111">
                  <c:v>3605.1124715468031</c:v>
                </c:pt>
                <c:pt idx="112">
                  <c:v>3603.7576297710066</c:v>
                </c:pt>
                <c:pt idx="113">
                  <c:v>3614.3086053031302</c:v>
                </c:pt>
                <c:pt idx="114">
                  <c:v>3587.617759805898</c:v>
                </c:pt>
                <c:pt idx="115">
                  <c:v>3556.3823954077347</c:v>
                </c:pt>
                <c:pt idx="116">
                  <c:v>3485.6459998287469</c:v>
                </c:pt>
                <c:pt idx="117">
                  <c:v>3466.0168301991152</c:v>
                </c:pt>
                <c:pt idx="118">
                  <c:v>3474.2474242542112</c:v>
                </c:pt>
                <c:pt idx="119">
                  <c:v>3507.3871334631021</c:v>
                </c:pt>
                <c:pt idx="120">
                  <c:v>3487.5987842197874</c:v>
                </c:pt>
                <c:pt idx="121">
                  <c:v>3498.5579092565918</c:v>
                </c:pt>
                <c:pt idx="122">
                  <c:v>3470.6198358192173</c:v>
                </c:pt>
                <c:pt idx="123">
                  <c:v>3483.052407354769</c:v>
                </c:pt>
                <c:pt idx="124">
                  <c:v>3508.1472765525064</c:v>
                </c:pt>
                <c:pt idx="125">
                  <c:v>3507.087655057986</c:v>
                </c:pt>
                <c:pt idx="126">
                  <c:v>3441.4249016528061</c:v>
                </c:pt>
                <c:pt idx="127">
                  <c:v>3384.3958712407593</c:v>
                </c:pt>
                <c:pt idx="128">
                  <c:v>3404.005690492033</c:v>
                </c:pt>
                <c:pt idx="129">
                  <c:v>3448.2430234068888</c:v>
                </c:pt>
                <c:pt idx="130">
                  <c:v>3475.3001192320135</c:v>
                </c:pt>
                <c:pt idx="131">
                  <c:v>3467.5216680697968</c:v>
                </c:pt>
                <c:pt idx="132">
                  <c:v>3454.8453889865414</c:v>
                </c:pt>
                <c:pt idx="133">
                  <c:v>3447.7383354817316</c:v>
                </c:pt>
                <c:pt idx="134">
                  <c:v>3426.5961323657784</c:v>
                </c:pt>
                <c:pt idx="135">
                  <c:v>3433.9152192448501</c:v>
                </c:pt>
                <c:pt idx="136">
                  <c:v>3430.985893629168</c:v>
                </c:pt>
                <c:pt idx="137">
                  <c:v>3421.5385178435408</c:v>
                </c:pt>
                <c:pt idx="138">
                  <c:v>3335.6592777025521</c:v>
                </c:pt>
                <c:pt idx="139">
                  <c:v>3296.4917309061102</c:v>
                </c:pt>
                <c:pt idx="140">
                  <c:v>3284.1454647247838</c:v>
                </c:pt>
                <c:pt idx="141">
                  <c:v>3254.8644838545315</c:v>
                </c:pt>
                <c:pt idx="142">
                  <c:v>3245.9022868330553</c:v>
                </c:pt>
                <c:pt idx="143">
                  <c:v>3258.8541304088294</c:v>
                </c:pt>
                <c:pt idx="144">
                  <c:v>3243.0899750128547</c:v>
                </c:pt>
                <c:pt idx="145">
                  <c:v>3226.9611400951244</c:v>
                </c:pt>
                <c:pt idx="146">
                  <c:v>3177.8759588222683</c:v>
                </c:pt>
                <c:pt idx="147">
                  <c:v>3116.9651846120146</c:v>
                </c:pt>
                <c:pt idx="148">
                  <c:v>3061.2646304610912</c:v>
                </c:pt>
                <c:pt idx="149">
                  <c:v>3070.2931861924644</c:v>
                </c:pt>
                <c:pt idx="150">
                  <c:v>3055.5141086449644</c:v>
                </c:pt>
                <c:pt idx="151">
                  <c:v>3016.977839147035</c:v>
                </c:pt>
                <c:pt idx="152">
                  <c:v>3012.8024922423224</c:v>
                </c:pt>
                <c:pt idx="153">
                  <c:v>2913.1710312946061</c:v>
                </c:pt>
                <c:pt idx="154">
                  <c:v>2884.6254719733156</c:v>
                </c:pt>
                <c:pt idx="155">
                  <c:v>2878.3922240344164</c:v>
                </c:pt>
                <c:pt idx="156">
                  <c:v>2862.6397480544642</c:v>
                </c:pt>
                <c:pt idx="157">
                  <c:v>2860.727314202682</c:v>
                </c:pt>
                <c:pt idx="158">
                  <c:v>2875.6643374885703</c:v>
                </c:pt>
                <c:pt idx="159">
                  <c:v>2856.0534086244961</c:v>
                </c:pt>
                <c:pt idx="160">
                  <c:v>2882.2452980640664</c:v>
                </c:pt>
                <c:pt idx="161">
                  <c:v>2863.0023413639055</c:v>
                </c:pt>
                <c:pt idx="162">
                  <c:v>2858.5482646950609</c:v>
                </c:pt>
                <c:pt idx="163">
                  <c:v>2884.5594757872041</c:v>
                </c:pt>
                <c:pt idx="164">
                  <c:v>2913.104583623056</c:v>
                </c:pt>
                <c:pt idx="165">
                  <c:v>2904.8061544908815</c:v>
                </c:pt>
                <c:pt idx="166">
                  <c:v>2926.6927372671048</c:v>
                </c:pt>
                <c:pt idx="167">
                  <c:v>2930.0422463582836</c:v>
                </c:pt>
                <c:pt idx="168">
                  <c:v>2958.2331469094538</c:v>
                </c:pt>
                <c:pt idx="169">
                  <c:v>2961.2242237397863</c:v>
                </c:pt>
                <c:pt idx="170">
                  <c:v>2947.7517130501724</c:v>
                </c:pt>
                <c:pt idx="171">
                  <c:v>2911.0734209246075</c:v>
                </c:pt>
                <c:pt idx="172">
                  <c:v>2892.9379483133771</c:v>
                </c:pt>
                <c:pt idx="173">
                  <c:v>2889.2637468557418</c:v>
                </c:pt>
                <c:pt idx="174">
                  <c:v>2893.4282592829995</c:v>
                </c:pt>
                <c:pt idx="175">
                  <c:v>2911.7338425579683</c:v>
                </c:pt>
                <c:pt idx="176">
                  <c:v>2956.8354717933366</c:v>
                </c:pt>
                <c:pt idx="177">
                  <c:v>2910.9448473303883</c:v>
                </c:pt>
                <c:pt idx="178">
                  <c:v>2924.9122572627293</c:v>
                </c:pt>
                <c:pt idx="179">
                  <c:v>2933.0308887438623</c:v>
                </c:pt>
                <c:pt idx="180">
                  <c:v>2914.4143163685626</c:v>
                </c:pt>
                <c:pt idx="181">
                  <c:v>2877.3689291811165</c:v>
                </c:pt>
                <c:pt idx="182">
                  <c:v>2821.9392778696247</c:v>
                </c:pt>
                <c:pt idx="183">
                  <c:v>2713.7430975637949</c:v>
                </c:pt>
                <c:pt idx="184">
                  <c:v>2539.7780836245674</c:v>
                </c:pt>
                <c:pt idx="185">
                  <c:v>2530.1834947414272</c:v>
                </c:pt>
                <c:pt idx="186">
                  <c:v>2510.1853222360392</c:v>
                </c:pt>
                <c:pt idx="187">
                  <c:v>2477.1229754614183</c:v>
                </c:pt>
                <c:pt idx="188">
                  <c:v>2477.7271498784112</c:v>
                </c:pt>
                <c:pt idx="189">
                  <c:v>2572.8097449808342</c:v>
                </c:pt>
                <c:pt idx="190">
                  <c:v>2580.0105297850655</c:v>
                </c:pt>
                <c:pt idx="191">
                  <c:v>2547.696224184037</c:v>
                </c:pt>
                <c:pt idx="192">
                  <c:v>2519.9442736883748</c:v>
                </c:pt>
                <c:pt idx="193">
                  <c:v>2528.1226114567817</c:v>
                </c:pt>
                <c:pt idx="194">
                  <c:v>2536.0125197204316</c:v>
                </c:pt>
                <c:pt idx="195">
                  <c:v>2544.8106778778515</c:v>
                </c:pt>
                <c:pt idx="196">
                  <c:v>2536.6219460073548</c:v>
                </c:pt>
                <c:pt idx="197">
                  <c:v>2572.8213543630254</c:v>
                </c:pt>
                <c:pt idx="198">
                  <c:v>2600.3509249009458</c:v>
                </c:pt>
                <c:pt idx="199">
                  <c:v>2629.9723047502271</c:v>
                </c:pt>
                <c:pt idx="200">
                  <c:v>2668.6501815801548</c:v>
                </c:pt>
                <c:pt idx="201">
                  <c:v>2584.4688760092267</c:v>
                </c:pt>
                <c:pt idx="202">
                  <c:v>2619.8724800266318</c:v>
                </c:pt>
                <c:pt idx="203">
                  <c:v>2636.0536324892309</c:v>
                </c:pt>
                <c:pt idx="204">
                  <c:v>2618.8922505910245</c:v>
                </c:pt>
                <c:pt idx="205">
                  <c:v>2604.902330309892</c:v>
                </c:pt>
                <c:pt idx="206">
                  <c:v>2549.0249660460195</c:v>
                </c:pt>
                <c:pt idx="207">
                  <c:v>2515.4011751183607</c:v>
                </c:pt>
                <c:pt idx="208">
                  <c:v>2513.1977982198305</c:v>
                </c:pt>
                <c:pt idx="209">
                  <c:v>2524.4862166837875</c:v>
                </c:pt>
                <c:pt idx="210">
                  <c:v>2568.8942491084899</c:v>
                </c:pt>
                <c:pt idx="211">
                  <c:v>2586.0848631415902</c:v>
                </c:pt>
                <c:pt idx="212">
                  <c:v>2607.7160657481545</c:v>
                </c:pt>
                <c:pt idx="213">
                  <c:v>2664.4512203125</c:v>
                </c:pt>
                <c:pt idx="214">
                  <c:v>2679.5987379087842</c:v>
                </c:pt>
                <c:pt idx="215">
                  <c:v>2692.5857118129952</c:v>
                </c:pt>
                <c:pt idx="216">
                  <c:v>2659.4329311132533</c:v>
                </c:pt>
                <c:pt idx="217">
                  <c:v>2626.8364556586243</c:v>
                </c:pt>
                <c:pt idx="218">
                  <c:v>2563.2898095607502</c:v>
                </c:pt>
                <c:pt idx="219">
                  <c:v>2448.6436835563482</c:v>
                </c:pt>
                <c:pt idx="220">
                  <c:v>2337.5621092558963</c:v>
                </c:pt>
                <c:pt idx="221">
                  <c:v>2262.6843992206691</c:v>
                </c:pt>
                <c:pt idx="222">
                  <c:v>2270.7430949146892</c:v>
                </c:pt>
                <c:pt idx="223">
                  <c:v>2298.5133902799644</c:v>
                </c:pt>
                <c:pt idx="224">
                  <c:v>2309.4393943379346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D-486F-B6E4-D5B1FD7B3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4445648"/>
        <c:axId val="1424460208"/>
      </c:lineChart>
      <c:dateAx>
        <c:axId val="1424445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4460208"/>
        <c:crosses val="autoZero"/>
        <c:auto val="1"/>
        <c:lblOffset val="100"/>
        <c:baseTimeUnit val="months"/>
      </c:dateAx>
      <c:valAx>
        <c:axId val="142446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444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6</xdr:row>
      <xdr:rowOff>38497</xdr:rowOff>
    </xdr:from>
    <xdr:to>
      <xdr:col>10</xdr:col>
      <xdr:colOff>198120</xdr:colOff>
      <xdr:row>26</xdr:row>
      <xdr:rowOff>55329</xdr:rowOff>
    </xdr:to>
    <xdr:pic>
      <xdr:nvPicPr>
        <xdr:cNvPr id="2" name="Picture 1" descr="Irani Papel e Embalagem S.A">
          <a:extLst>
            <a:ext uri="{FF2B5EF4-FFF2-40B4-BE49-F238E27FC236}">
              <a16:creationId xmlns:a16="http://schemas.microsoft.com/office/drawing/2014/main" id="{01C17205-C9A7-F141-1E25-FEE60430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" y="1082437"/>
          <a:ext cx="4869180" cy="307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0</xdr:row>
      <xdr:rowOff>178594</xdr:rowOff>
    </xdr:from>
    <xdr:to>
      <xdr:col>0</xdr:col>
      <xdr:colOff>1140799</xdr:colOff>
      <xdr:row>3</xdr:row>
      <xdr:rowOff>1829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2DEFB73-C38F-43B1-8D93-6AFDDB6B6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6219" y="178594"/>
          <a:ext cx="914580" cy="594760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0</xdr:row>
      <xdr:rowOff>154781</xdr:rowOff>
    </xdr:from>
    <xdr:to>
      <xdr:col>0</xdr:col>
      <xdr:colOff>2534125</xdr:colOff>
      <xdr:row>2</xdr:row>
      <xdr:rowOff>170497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B7ED1A-39E1-4195-AB3C-A38E61AB85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69219" y="154781"/>
          <a:ext cx="1161096" cy="5529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233270</xdr:colOff>
      <xdr:row>0</xdr:row>
      <xdr:rowOff>166688</xdr:rowOff>
    </xdr:from>
    <xdr:to>
      <xdr:col>0</xdr:col>
      <xdr:colOff>1147850</xdr:colOff>
      <xdr:row>2</xdr:row>
      <xdr:rowOff>226143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3270" y="166688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0</xdr:col>
      <xdr:colOff>1393032</xdr:colOff>
      <xdr:row>0</xdr:row>
      <xdr:rowOff>142876</xdr:rowOff>
    </xdr:from>
    <xdr:to>
      <xdr:col>0</xdr:col>
      <xdr:colOff>2554128</xdr:colOff>
      <xdr:row>2</xdr:row>
      <xdr:rowOff>154782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28AED2C-EE59-5868-BCBD-AAAB102AD7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93032" y="142876"/>
          <a:ext cx="1161096" cy="547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0</xdr:row>
      <xdr:rowOff>154781</xdr:rowOff>
    </xdr:from>
    <xdr:to>
      <xdr:col>0</xdr:col>
      <xdr:colOff>1164611</xdr:colOff>
      <xdr:row>2</xdr:row>
      <xdr:rowOff>214236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C7DBD95-B785-4831-8254-E334DF0F4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0031" y="154781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0</xdr:col>
      <xdr:colOff>1321594</xdr:colOff>
      <xdr:row>0</xdr:row>
      <xdr:rowOff>119064</xdr:rowOff>
    </xdr:from>
    <xdr:to>
      <xdr:col>0</xdr:col>
      <xdr:colOff>2482690</xdr:colOff>
      <xdr:row>2</xdr:row>
      <xdr:rowOff>130970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E0A61A9-AB97-400A-AF17-6CE2E51E2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21594" y="119064"/>
          <a:ext cx="1161096" cy="5476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119063</xdr:rowOff>
    </xdr:from>
    <xdr:to>
      <xdr:col>0</xdr:col>
      <xdr:colOff>1085553</xdr:colOff>
      <xdr:row>2</xdr:row>
      <xdr:rowOff>170898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A1C41CA-085A-4CBC-9C65-18628B6C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593" y="119063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1238250</xdr:colOff>
      <xdr:row>0</xdr:row>
      <xdr:rowOff>119062</xdr:rowOff>
    </xdr:from>
    <xdr:to>
      <xdr:col>0</xdr:col>
      <xdr:colOff>2399346</xdr:colOff>
      <xdr:row>2</xdr:row>
      <xdr:rowOff>130968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C146412-74C6-4845-AC7B-2EF4B62DEA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238250" y="119062"/>
          <a:ext cx="1161096" cy="5476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560916</xdr:colOff>
      <xdr:row>6</xdr:row>
      <xdr:rowOff>53763</xdr:rowOff>
    </xdr:from>
    <xdr:to>
      <xdr:col>42</xdr:col>
      <xdr:colOff>571499</xdr:colOff>
      <xdr:row>23</xdr:row>
      <xdr:rowOff>84666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E01219-B096-BC6C-25CF-C2643F295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370417</xdr:colOff>
      <xdr:row>24</xdr:row>
      <xdr:rowOff>109642</xdr:rowOff>
    </xdr:from>
    <xdr:to>
      <xdr:col>37</xdr:col>
      <xdr:colOff>402167</xdr:colOff>
      <xdr:row>41</xdr:row>
      <xdr:rowOff>52916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304E04-63DB-1013-0FF1-F1AD41D57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391582</xdr:colOff>
      <xdr:row>6</xdr:row>
      <xdr:rowOff>52917</xdr:rowOff>
    </xdr:from>
    <xdr:to>
      <xdr:col>37</xdr:col>
      <xdr:colOff>402165</xdr:colOff>
      <xdr:row>23</xdr:row>
      <xdr:rowOff>105834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D49F1B-F3B3-0DDE-A830-D5CC9A597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0</xdr:row>
      <xdr:rowOff>154781</xdr:rowOff>
    </xdr:from>
    <xdr:to>
      <xdr:col>0</xdr:col>
      <xdr:colOff>1164611</xdr:colOff>
      <xdr:row>2</xdr:row>
      <xdr:rowOff>214236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491B0F-8B08-43EA-869A-9423FA75F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0031" y="154781"/>
          <a:ext cx="914580" cy="592855"/>
        </a:xfrm>
        <a:prstGeom prst="rect">
          <a:avLst/>
        </a:prstGeom>
      </xdr:spPr>
    </xdr:pic>
    <xdr:clientData/>
  </xdr:twoCellAnchor>
  <xdr:twoCellAnchor editAs="oneCell">
    <xdr:from>
      <xdr:col>0</xdr:col>
      <xdr:colOff>1321594</xdr:colOff>
      <xdr:row>0</xdr:row>
      <xdr:rowOff>119064</xdr:rowOff>
    </xdr:from>
    <xdr:to>
      <xdr:col>0</xdr:col>
      <xdr:colOff>2482690</xdr:colOff>
      <xdr:row>2</xdr:row>
      <xdr:rowOff>130970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3D916E-CB3B-4D42-8470-42F5F71DD5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21594" y="119064"/>
          <a:ext cx="1161096" cy="5453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190499</xdr:colOff>
      <xdr:row>1</xdr:row>
      <xdr:rowOff>3</xdr:rowOff>
    </xdr:from>
    <xdr:to>
      <xdr:col>19</xdr:col>
      <xdr:colOff>352425</xdr:colOff>
      <xdr:row>9</xdr:row>
      <xdr:rowOff>95251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C9FB7B-CD56-72FB-0534-4283E4625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66676</xdr:rowOff>
    </xdr:from>
    <xdr:to>
      <xdr:col>19</xdr:col>
      <xdr:colOff>352425</xdr:colOff>
      <xdr:row>23</xdr:row>
      <xdr:rowOff>104776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F40F50-AD45-865A-3653-C308BF06D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71437</xdr:rowOff>
    </xdr:from>
    <xdr:to>
      <xdr:col>0</xdr:col>
      <xdr:colOff>1102700</xdr:colOff>
      <xdr:row>3</xdr:row>
      <xdr:rowOff>66122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75D258-3355-47DD-867B-602641DEC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1" y="71437"/>
          <a:ext cx="912199" cy="768591"/>
        </a:xfrm>
        <a:prstGeom prst="rect">
          <a:avLst/>
        </a:prstGeom>
      </xdr:spPr>
    </xdr:pic>
    <xdr:clientData/>
  </xdr:twoCellAnchor>
  <xdr:twoCellAnchor editAs="oneCell">
    <xdr:from>
      <xdr:col>0</xdr:col>
      <xdr:colOff>1357313</xdr:colOff>
      <xdr:row>0</xdr:row>
      <xdr:rowOff>95249</xdr:rowOff>
    </xdr:from>
    <xdr:to>
      <xdr:col>0</xdr:col>
      <xdr:colOff>2513647</xdr:colOff>
      <xdr:row>3</xdr:row>
      <xdr:rowOff>40480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5E7201D-47D4-4D64-B7BB-24A057E985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57313" y="95249"/>
          <a:ext cx="1156334" cy="71913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i.mziq.com/mzfilemanager/v2/d/516eff19-62b9-464f-af20-6d866d6fefd5/447cf52f-2059-43b7-b1c9-27374d96eb75?origin=2" TargetMode="External"/><Relationship Id="rId1" Type="http://schemas.openxmlformats.org/officeDocument/2006/relationships/hyperlink" Target="https://api.mziq.com/mzfilemanager/v2/d/516eff19-62b9-464f-af20-6d866d6fefd5/f55b6f60-477d-bfaa-579e-e43f3c461593?origin=1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51C0-5423-4460-A791-CBDB89D5CF96}">
  <sheetPr>
    <tabColor rgb="FF39471D"/>
  </sheetPr>
  <dimension ref="A1:R29"/>
  <sheetViews>
    <sheetView showGridLines="0" workbookViewId="0">
      <selection activeCell="N24" sqref="N24"/>
    </sheetView>
  </sheetViews>
  <sheetFormatPr defaultColWidth="0" defaultRowHeight="12.75" zeroHeight="1" x14ac:dyDescent="0.2"/>
  <cols>
    <col min="1" max="1" width="1.5703125" style="243" customWidth="1"/>
    <col min="2" max="10" width="8.85546875" style="244" customWidth="1"/>
    <col min="11" max="11" width="11.42578125" style="244" customWidth="1"/>
    <col min="12" max="12" width="2.28515625" style="244" customWidth="1"/>
    <col min="13" max="13" width="2.85546875" style="244" customWidth="1"/>
    <col min="14" max="14" width="18.140625" style="244" bestFit="1" customWidth="1"/>
    <col min="15" max="15" width="2.28515625" style="244" customWidth="1"/>
    <col min="16" max="16" width="8.85546875" style="244" customWidth="1"/>
    <col min="17" max="17" width="1.5703125" style="244" customWidth="1"/>
    <col min="18" max="18" width="0" style="244" hidden="1" customWidth="1"/>
    <col min="19" max="20" width="8.85546875" style="244" hidden="1" customWidth="1"/>
    <col min="21" max="16384" width="8.85546875" style="244" hidden="1"/>
  </cols>
  <sheetData>
    <row r="1" spans="3:17" s="243" customFormat="1" ht="8.4499999999999993" customHeight="1" x14ac:dyDescent="0.2"/>
    <row r="2" spans="3:17" x14ac:dyDescent="0.2">
      <c r="Q2" s="243"/>
    </row>
    <row r="3" spans="3:17" x14ac:dyDescent="0.2">
      <c r="Q3" s="243"/>
    </row>
    <row r="4" spans="3:17" ht="20.25" x14ac:dyDescent="0.2">
      <c r="C4" s="245" t="s">
        <v>0</v>
      </c>
      <c r="Q4" s="243"/>
    </row>
    <row r="5" spans="3:17" x14ac:dyDescent="0.2">
      <c r="Q5" s="243"/>
    </row>
    <row r="6" spans="3:17" x14ac:dyDescent="0.2">
      <c r="Q6" s="243"/>
    </row>
    <row r="7" spans="3:17" ht="10.15" customHeight="1" x14ac:dyDescent="0.2">
      <c r="L7" s="246"/>
      <c r="M7" s="247"/>
      <c r="N7" s="247"/>
      <c r="O7" s="248"/>
      <c r="Q7" s="243"/>
    </row>
    <row r="8" spans="3:17" x14ac:dyDescent="0.2">
      <c r="L8" s="249"/>
      <c r="M8" s="250" t="s">
        <v>1</v>
      </c>
      <c r="N8" s="250"/>
      <c r="O8" s="251"/>
      <c r="Q8" s="243"/>
    </row>
    <row r="9" spans="3:17" ht="4.9000000000000004" customHeight="1" x14ac:dyDescent="0.2">
      <c r="L9" s="249"/>
      <c r="N9" s="252"/>
      <c r="O9" s="253"/>
      <c r="Q9" s="243"/>
    </row>
    <row r="10" spans="3:17" x14ac:dyDescent="0.2">
      <c r="L10" s="249"/>
      <c r="M10" s="254"/>
      <c r="N10" s="252" t="s">
        <v>2</v>
      </c>
      <c r="O10" s="253"/>
      <c r="Q10" s="243"/>
    </row>
    <row r="11" spans="3:17" ht="4.1500000000000004" customHeight="1" x14ac:dyDescent="0.2">
      <c r="L11" s="249"/>
      <c r="O11" s="255"/>
      <c r="Q11" s="243"/>
    </row>
    <row r="12" spans="3:17" x14ac:dyDescent="0.2">
      <c r="L12" s="249"/>
      <c r="M12" s="256"/>
      <c r="N12" s="252" t="s">
        <v>3</v>
      </c>
      <c r="O12" s="253"/>
      <c r="Q12" s="243"/>
    </row>
    <row r="13" spans="3:17" ht="10.15" customHeight="1" x14ac:dyDescent="0.2">
      <c r="L13" s="257"/>
      <c r="M13" s="258"/>
      <c r="N13" s="258"/>
      <c r="O13" s="259"/>
      <c r="Q13" s="243"/>
    </row>
    <row r="14" spans="3:17" x14ac:dyDescent="0.2">
      <c r="Q14" s="243"/>
    </row>
    <row r="15" spans="3:17" x14ac:dyDescent="0.2">
      <c r="Q15" s="243"/>
    </row>
    <row r="16" spans="3:17" x14ac:dyDescent="0.2">
      <c r="Q16" s="243"/>
    </row>
    <row r="17" spans="17:17" x14ac:dyDescent="0.2">
      <c r="Q17" s="243"/>
    </row>
    <row r="18" spans="17:17" x14ac:dyDescent="0.2">
      <c r="Q18" s="243"/>
    </row>
    <row r="19" spans="17:17" x14ac:dyDescent="0.2">
      <c r="Q19" s="243"/>
    </row>
    <row r="20" spans="17:17" x14ac:dyDescent="0.2">
      <c r="Q20" s="243"/>
    </row>
    <row r="21" spans="17:17" x14ac:dyDescent="0.2">
      <c r="Q21" s="243"/>
    </row>
    <row r="22" spans="17:17" x14ac:dyDescent="0.2">
      <c r="Q22" s="243"/>
    </row>
    <row r="23" spans="17:17" x14ac:dyDescent="0.2">
      <c r="Q23" s="243"/>
    </row>
    <row r="24" spans="17:17" x14ac:dyDescent="0.2">
      <c r="Q24" s="243"/>
    </row>
    <row r="25" spans="17:17" x14ac:dyDescent="0.2">
      <c r="Q25" s="243"/>
    </row>
    <row r="26" spans="17:17" x14ac:dyDescent="0.2">
      <c r="Q26" s="243"/>
    </row>
    <row r="27" spans="17:17" x14ac:dyDescent="0.2">
      <c r="Q27" s="243"/>
    </row>
    <row r="28" spans="17:17" x14ac:dyDescent="0.2">
      <c r="Q28" s="243"/>
    </row>
    <row r="29" spans="17:17" s="243" customFormat="1" ht="8.4499999999999993" customHeigh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99BD-A08F-4112-82DD-C1E62AF9BDCC}">
  <sheetPr>
    <tabColor theme="6" tint="-0.499984740745262"/>
    <pageSetUpPr fitToPage="1"/>
  </sheetPr>
  <dimension ref="A2:AR126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F134" sqref="F134"/>
    </sheetView>
  </sheetViews>
  <sheetFormatPr defaultColWidth="0" defaultRowHeight="15.75" outlineLevelRow="1" x14ac:dyDescent="0.2"/>
  <cols>
    <col min="1" max="1" width="57" style="16" bestFit="1" customWidth="1"/>
    <col min="2" max="3" width="2.140625" style="16" customWidth="1"/>
    <col min="4" max="4" width="12.28515625" style="16" bestFit="1" customWidth="1"/>
    <col min="5" max="5" width="12.28515625" style="16" customWidth="1"/>
    <col min="6" max="10" width="13.140625" style="16" bestFit="1" customWidth="1"/>
    <col min="11" max="11" width="5" style="16" customWidth="1"/>
    <col min="12" max="12" width="13.140625" style="16" bestFit="1" customWidth="1"/>
    <col min="13" max="13" width="5" style="16" customWidth="1"/>
    <col min="14" max="14" width="13.42578125" style="16" bestFit="1" customWidth="1"/>
    <col min="15" max="15" width="13.42578125" style="47" bestFit="1" customWidth="1"/>
    <col min="16" max="19" width="13.42578125" style="16" bestFit="1" customWidth="1"/>
    <col min="20" max="21" width="13.42578125" style="16" customWidth="1"/>
    <col min="22" max="24" width="13.42578125" style="16" bestFit="1" customWidth="1"/>
    <col min="25" max="41" width="13.42578125" style="16" customWidth="1"/>
    <col min="42" max="45" width="9.140625" style="16" customWidth="1"/>
    <col min="46" max="46" width="0" style="16" hidden="1" customWidth="1"/>
    <col min="47" max="16384" width="0" style="16" hidden="1"/>
  </cols>
  <sheetData>
    <row r="2" spans="1:41" ht="26.25" x14ac:dyDescent="0.2">
      <c r="B2" s="42"/>
      <c r="C2" s="42"/>
      <c r="K2" s="42"/>
      <c r="M2" s="42"/>
      <c r="N2" s="42"/>
      <c r="O2" s="42"/>
      <c r="P2" s="42"/>
      <c r="Q2" s="43"/>
    </row>
    <row r="3" spans="1:41" ht="18.75" x14ac:dyDescent="0.2">
      <c r="B3" s="44"/>
      <c r="C3" s="44"/>
      <c r="K3" s="44"/>
      <c r="M3" s="44"/>
      <c r="N3" s="44"/>
      <c r="O3" s="44"/>
      <c r="P3" s="44"/>
      <c r="Q3" s="45"/>
    </row>
    <row r="4" spans="1:41" ht="26.25" x14ac:dyDescent="0.2">
      <c r="A4" s="42" t="s">
        <v>4</v>
      </c>
      <c r="B4" s="46"/>
      <c r="C4" s="46"/>
      <c r="K4" s="46"/>
      <c r="M4" s="46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366"/>
      <c r="AI4" s="48"/>
      <c r="AJ4" s="48"/>
      <c r="AK4" s="48"/>
      <c r="AL4" s="48" t="s">
        <v>5</v>
      </c>
      <c r="AM4" s="48" t="s">
        <v>5</v>
      </c>
      <c r="AN4" s="48" t="s">
        <v>5</v>
      </c>
      <c r="AO4" s="48" t="s">
        <v>5</v>
      </c>
    </row>
    <row r="5" spans="1:41" ht="18.75" x14ac:dyDescent="0.2">
      <c r="A5" s="44" t="s">
        <v>6</v>
      </c>
      <c r="B5" s="49"/>
      <c r="C5" s="49"/>
      <c r="D5" s="124"/>
      <c r="E5" s="124"/>
      <c r="K5" s="49"/>
      <c r="L5" s="48" t="s">
        <v>5</v>
      </c>
      <c r="M5" s="49"/>
      <c r="N5" s="48" t="str">
        <f>RIGHT(N7,4)</f>
        <v>2019</v>
      </c>
      <c r="O5" s="48" t="str">
        <f t="shared" ref="O5:AJ5" si="0">RIGHT(O7,4)</f>
        <v>2019</v>
      </c>
      <c r="P5" s="48" t="str">
        <f t="shared" si="0"/>
        <v>2019</v>
      </c>
      <c r="Q5" s="48" t="str">
        <f t="shared" si="0"/>
        <v>2019</v>
      </c>
      <c r="R5" s="48" t="str">
        <f t="shared" si="0"/>
        <v>2020</v>
      </c>
      <c r="S5" s="48" t="str">
        <f t="shared" si="0"/>
        <v>2020</v>
      </c>
      <c r="T5" s="48" t="str">
        <f t="shared" si="0"/>
        <v>2020</v>
      </c>
      <c r="U5" s="48" t="str">
        <f t="shared" si="0"/>
        <v>2020</v>
      </c>
      <c r="V5" s="48" t="str">
        <f t="shared" si="0"/>
        <v>2021</v>
      </c>
      <c r="W5" s="48" t="str">
        <f t="shared" si="0"/>
        <v>2021</v>
      </c>
      <c r="X5" s="48" t="str">
        <f t="shared" si="0"/>
        <v>2021</v>
      </c>
      <c r="Y5" s="48" t="str">
        <f t="shared" si="0"/>
        <v>2021</v>
      </c>
      <c r="Z5" s="48" t="str">
        <f t="shared" si="0"/>
        <v>2022</v>
      </c>
      <c r="AA5" s="48" t="str">
        <f t="shared" si="0"/>
        <v>2022</v>
      </c>
      <c r="AB5" s="48" t="str">
        <f t="shared" si="0"/>
        <v>2022</v>
      </c>
      <c r="AC5" s="48" t="str">
        <f t="shared" si="0"/>
        <v>2022</v>
      </c>
      <c r="AD5" s="48" t="str">
        <f t="shared" si="0"/>
        <v>2023</v>
      </c>
      <c r="AE5" s="48" t="str">
        <f t="shared" si="0"/>
        <v>2023</v>
      </c>
      <c r="AF5" s="48" t="str">
        <f t="shared" si="0"/>
        <v>2023</v>
      </c>
      <c r="AG5" s="48" t="str">
        <f t="shared" si="0"/>
        <v>2023</v>
      </c>
      <c r="AH5" s="48" t="str">
        <f t="shared" si="0"/>
        <v>2024</v>
      </c>
      <c r="AI5" s="48" t="str">
        <f t="shared" si="0"/>
        <v>2024</v>
      </c>
      <c r="AJ5" s="48" t="str">
        <f t="shared" si="0"/>
        <v>2024</v>
      </c>
      <c r="AK5" s="48">
        <v>2024</v>
      </c>
      <c r="AL5" s="48">
        <v>2025</v>
      </c>
      <c r="AM5" s="48">
        <v>2025</v>
      </c>
      <c r="AN5" s="48">
        <v>2025</v>
      </c>
      <c r="AO5" s="48">
        <v>2025</v>
      </c>
    </row>
    <row r="6" spans="1:41" s="1" customFormat="1" ht="5.25" customHeight="1" x14ac:dyDescent="0.2">
      <c r="B6" s="22"/>
      <c r="C6" s="22"/>
      <c r="D6" s="15"/>
      <c r="E6" s="15"/>
      <c r="F6" s="15"/>
      <c r="G6" s="15"/>
      <c r="H6" s="15"/>
      <c r="I6" s="15"/>
      <c r="J6" s="15"/>
      <c r="K6" s="22"/>
      <c r="L6" s="15"/>
      <c r="M6" s="22"/>
      <c r="N6" s="15"/>
      <c r="O6" s="22"/>
      <c r="P6" s="23"/>
      <c r="Q6" s="23"/>
      <c r="R6" s="22"/>
      <c r="S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1" customFormat="1" x14ac:dyDescent="0.2">
      <c r="A7" s="22" t="s">
        <v>7</v>
      </c>
      <c r="B7" s="2"/>
      <c r="C7" s="2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2"/>
      <c r="L7" s="10" t="s">
        <v>5</v>
      </c>
      <c r="M7" s="2"/>
      <c r="N7" s="9" t="s">
        <v>8</v>
      </c>
      <c r="O7" s="9" t="s">
        <v>9</v>
      </c>
      <c r="P7" s="9" t="s">
        <v>10</v>
      </c>
      <c r="Q7" s="9" t="s">
        <v>11</v>
      </c>
      <c r="R7" s="9" t="s">
        <v>12</v>
      </c>
      <c r="S7" s="9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18</v>
      </c>
      <c r="Y7" s="9" t="s">
        <v>19</v>
      </c>
      <c r="Z7" s="9" t="s">
        <v>20</v>
      </c>
      <c r="AA7" s="9" t="s">
        <v>21</v>
      </c>
      <c r="AB7" s="9" t="s">
        <v>22</v>
      </c>
      <c r="AC7" s="9" t="s">
        <v>23</v>
      </c>
      <c r="AD7" s="9" t="s">
        <v>251</v>
      </c>
      <c r="AE7" s="9" t="s">
        <v>254</v>
      </c>
      <c r="AF7" s="9" t="s">
        <v>263</v>
      </c>
      <c r="AG7" s="9" t="s">
        <v>283</v>
      </c>
      <c r="AH7" s="9" t="s">
        <v>288</v>
      </c>
      <c r="AI7" s="9" t="s">
        <v>296</v>
      </c>
      <c r="AJ7" s="9" t="s">
        <v>298</v>
      </c>
      <c r="AK7" s="9" t="s">
        <v>300</v>
      </c>
      <c r="AL7" s="9" t="s">
        <v>304</v>
      </c>
      <c r="AM7" s="9" t="s">
        <v>312</v>
      </c>
      <c r="AN7" s="9" t="s">
        <v>318</v>
      </c>
      <c r="AO7" s="9" t="s">
        <v>320</v>
      </c>
    </row>
    <row r="8" spans="1:41" s="1" customFormat="1" ht="5.25" customHeight="1" x14ac:dyDescent="0.2">
      <c r="B8" s="22"/>
      <c r="C8" s="22"/>
      <c r="D8" s="15"/>
      <c r="E8" s="15"/>
      <c r="F8" s="15"/>
      <c r="G8" s="15"/>
      <c r="H8" s="15"/>
      <c r="I8" s="15"/>
      <c r="J8" s="15"/>
      <c r="K8" s="22"/>
      <c r="L8" s="15"/>
      <c r="M8" s="22"/>
      <c r="N8" s="15"/>
      <c r="O8" s="22"/>
      <c r="P8" s="23"/>
      <c r="Q8" s="23"/>
      <c r="R8" s="22"/>
      <c r="S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41" s="1" customFormat="1" ht="5.25" customHeight="1" x14ac:dyDescent="0.2">
      <c r="B9" s="22"/>
      <c r="C9" s="22"/>
      <c r="D9" s="15"/>
      <c r="E9" s="15"/>
      <c r="F9" s="15"/>
      <c r="G9" s="15"/>
      <c r="H9" s="15"/>
      <c r="I9" s="15"/>
      <c r="J9" s="15"/>
      <c r="K9" s="22"/>
      <c r="L9" s="15"/>
      <c r="M9" s="22"/>
      <c r="N9" s="15"/>
      <c r="O9" s="22"/>
      <c r="P9" s="23"/>
      <c r="Q9" s="23"/>
      <c r="R9" s="22"/>
      <c r="S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41" s="1" customFormat="1" x14ac:dyDescent="0.2">
      <c r="A10" s="55" t="s">
        <v>24</v>
      </c>
      <c r="B10" s="49"/>
      <c r="C10" s="49"/>
      <c r="D10" s="64">
        <f t="shared" ref="D10:F10" si="1">D11+D13</f>
        <v>898779</v>
      </c>
      <c r="E10" s="64">
        <f t="shared" si="1"/>
        <v>1029605</v>
      </c>
      <c r="F10" s="64">
        <f t="shared" si="1"/>
        <v>1605834</v>
      </c>
      <c r="G10" s="64">
        <f>G11+G13</f>
        <v>1686666</v>
      </c>
      <c r="H10" s="64">
        <f>H11+H13</f>
        <v>1594245</v>
      </c>
      <c r="I10" s="64">
        <f>I11+I13</f>
        <v>1615901</v>
      </c>
      <c r="J10" s="64">
        <f>J11+J13</f>
        <v>1686311</v>
      </c>
      <c r="K10" s="64"/>
      <c r="L10" s="64">
        <f>L11+L13</f>
        <v>1686311</v>
      </c>
      <c r="M10" s="64"/>
      <c r="N10" s="64">
        <f>N11+N13</f>
        <v>202048</v>
      </c>
      <c r="O10" s="64">
        <f t="shared" ref="O10:S10" si="2">O11+O13</f>
        <v>224846</v>
      </c>
      <c r="P10" s="64">
        <f t="shared" si="2"/>
        <v>238913</v>
      </c>
      <c r="Q10" s="64">
        <f t="shared" si="2"/>
        <v>232972</v>
      </c>
      <c r="R10" s="64">
        <f t="shared" si="2"/>
        <v>236323</v>
      </c>
      <c r="S10" s="64">
        <f t="shared" si="2"/>
        <v>240984</v>
      </c>
      <c r="T10" s="64">
        <f>T11+T13</f>
        <v>261363</v>
      </c>
      <c r="U10" s="64">
        <f>U11+U13</f>
        <v>290935</v>
      </c>
      <c r="V10" s="64">
        <f>V11+V13</f>
        <v>356161</v>
      </c>
      <c r="W10" s="64">
        <f>W11+W13</f>
        <v>403137</v>
      </c>
      <c r="X10" s="64">
        <f t="shared" ref="X10" si="3">X11+X13</f>
        <v>432468</v>
      </c>
      <c r="Y10" s="64">
        <f>Y11+Y13</f>
        <v>414068</v>
      </c>
      <c r="Z10" s="64">
        <f t="shared" ref="Z10:AO10" si="4">Z11+Z13</f>
        <v>407944</v>
      </c>
      <c r="AA10" s="64">
        <f t="shared" si="4"/>
        <v>428907</v>
      </c>
      <c r="AB10" s="64">
        <f t="shared" si="4"/>
        <v>441405</v>
      </c>
      <c r="AC10" s="64">
        <f t="shared" si="4"/>
        <v>408410</v>
      </c>
      <c r="AD10" s="64">
        <f t="shared" si="4"/>
        <v>406884</v>
      </c>
      <c r="AE10" s="64">
        <f t="shared" si="4"/>
        <v>394470</v>
      </c>
      <c r="AF10" s="64">
        <f t="shared" si="4"/>
        <v>407855</v>
      </c>
      <c r="AG10" s="64">
        <f t="shared" si="4"/>
        <v>385036</v>
      </c>
      <c r="AH10" s="64">
        <v>423078</v>
      </c>
      <c r="AI10" s="64">
        <f t="shared" si="4"/>
        <v>370733</v>
      </c>
      <c r="AJ10" s="64">
        <f t="shared" si="4"/>
        <v>414180</v>
      </c>
      <c r="AK10" s="64">
        <f t="shared" si="4"/>
        <v>407910</v>
      </c>
      <c r="AL10" s="64">
        <f t="shared" si="4"/>
        <v>423078</v>
      </c>
      <c r="AM10" s="64">
        <f t="shared" si="4"/>
        <v>413774</v>
      </c>
      <c r="AN10" s="64">
        <f t="shared" si="4"/>
        <v>433463</v>
      </c>
      <c r="AO10" s="64">
        <f t="shared" si="4"/>
        <v>415996</v>
      </c>
    </row>
    <row r="11" spans="1:41" s="3" customFormat="1" x14ac:dyDescent="0.25">
      <c r="A11" s="148" t="s">
        <v>25</v>
      </c>
      <c r="B11" s="8"/>
      <c r="C11" s="8"/>
      <c r="D11" s="7">
        <f t="shared" ref="D11:F13" si="5">SUMIFS($N11:$AB11,$N$5:$AB$5,D$7)</f>
        <v>730046</v>
      </c>
      <c r="E11" s="7">
        <f t="shared" si="5"/>
        <v>844560</v>
      </c>
      <c r="F11" s="7">
        <f t="shared" si="5"/>
        <v>1356318</v>
      </c>
      <c r="G11" s="7">
        <f>SUMIFS($N11:$AG11,$N$5:$AG$5,G$7)</f>
        <v>1440498</v>
      </c>
      <c r="H11" s="7">
        <f>SUMIFS($N11:$AH11,$N$5:$AH$5,H$7)</f>
        <v>1413245</v>
      </c>
      <c r="I11" s="7">
        <f>SUMIFS($N11:$AP11,$N$5:$AP$5,I$7)</f>
        <v>1468283</v>
      </c>
      <c r="J11" s="7">
        <f>SUMIFS($N11:$AP11,$N$5:$AP$5,J$7)</f>
        <v>1532569</v>
      </c>
      <c r="K11" s="155"/>
      <c r="L11" s="51">
        <f>SUMIFS($N11:$AR11,$N$4:$AR$4,L$5)</f>
        <v>1532569</v>
      </c>
      <c r="M11" s="155"/>
      <c r="N11" s="120">
        <v>161353</v>
      </c>
      <c r="O11" s="121">
        <v>171532</v>
      </c>
      <c r="P11" s="102">
        <v>193295</v>
      </c>
      <c r="Q11" s="102">
        <v>203866</v>
      </c>
      <c r="R11" s="102">
        <v>193719</v>
      </c>
      <c r="S11" s="102">
        <v>176405</v>
      </c>
      <c r="T11" s="102">
        <v>220764</v>
      </c>
      <c r="U11" s="102">
        <v>253672</v>
      </c>
      <c r="V11" s="102">
        <v>297542</v>
      </c>
      <c r="W11" s="102">
        <v>340612</v>
      </c>
      <c r="X11" s="102">
        <v>367448</v>
      </c>
      <c r="Y11" s="102">
        <v>350716</v>
      </c>
      <c r="Z11" s="102">
        <v>331569</v>
      </c>
      <c r="AA11" s="102">
        <v>357785</v>
      </c>
      <c r="AB11" s="102">
        <v>386006</v>
      </c>
      <c r="AC11" s="102">
        <v>365138</v>
      </c>
      <c r="AD11" s="102">
        <v>348912</v>
      </c>
      <c r="AE11" s="102">
        <v>341654</v>
      </c>
      <c r="AF11" s="102">
        <v>368375</v>
      </c>
      <c r="AG11" s="102">
        <v>354304</v>
      </c>
      <c r="AH11" s="102">
        <v>380218</v>
      </c>
      <c r="AI11" s="102">
        <v>334164</v>
      </c>
      <c r="AJ11" s="102">
        <v>370788</v>
      </c>
      <c r="AK11" s="102">
        <v>383113</v>
      </c>
      <c r="AL11" s="102">
        <v>380218</v>
      </c>
      <c r="AM11" s="102">
        <v>369404</v>
      </c>
      <c r="AN11" s="102">
        <v>401444</v>
      </c>
      <c r="AO11" s="102">
        <v>381503</v>
      </c>
    </row>
    <row r="12" spans="1:41" s="151" customFormat="1" x14ac:dyDescent="0.2">
      <c r="A12" s="152" t="s">
        <v>26</v>
      </c>
      <c r="D12" s="158">
        <f>D11/D$10</f>
        <v>0.81226419397872007</v>
      </c>
      <c r="E12" s="158">
        <f t="shared" ref="E12:F12" si="6">E11/E$10</f>
        <v>0.82027573681168997</v>
      </c>
      <c r="F12" s="158">
        <f t="shared" si="6"/>
        <v>0.84461905776064028</v>
      </c>
      <c r="G12" s="158">
        <f>G11/G$10</f>
        <v>0.85405053519784002</v>
      </c>
      <c r="H12" s="158">
        <f>H11/H$10</f>
        <v>0.88646663467660236</v>
      </c>
      <c r="I12" s="158">
        <f>I11/I$10</f>
        <v>0.90864663119832212</v>
      </c>
      <c r="J12" s="158">
        <f>J11/J$10</f>
        <v>0.90882939149421427</v>
      </c>
      <c r="K12" s="159"/>
      <c r="L12" s="158">
        <f t="shared" ref="L12" si="7">L11/L$10</f>
        <v>0.90882939149421427</v>
      </c>
      <c r="M12" s="159"/>
      <c r="N12" s="158">
        <f t="shared" ref="N12:AO12" si="8">N11/N$10</f>
        <v>0.79858746436490335</v>
      </c>
      <c r="O12" s="158">
        <f t="shared" si="8"/>
        <v>0.76288659793814428</v>
      </c>
      <c r="P12" s="158">
        <f t="shared" si="8"/>
        <v>0.80906020183079197</v>
      </c>
      <c r="Q12" s="158">
        <f t="shared" si="8"/>
        <v>0.87506653160036396</v>
      </c>
      <c r="R12" s="158">
        <f t="shared" si="8"/>
        <v>0.81972131362584255</v>
      </c>
      <c r="S12" s="158">
        <f t="shared" si="8"/>
        <v>0.73201955316535539</v>
      </c>
      <c r="T12" s="158">
        <f t="shared" si="8"/>
        <v>0.84466431744355552</v>
      </c>
      <c r="U12" s="158">
        <f t="shared" si="8"/>
        <v>0.87191984463883687</v>
      </c>
      <c r="V12" s="158">
        <f t="shared" si="8"/>
        <v>0.83541432105143465</v>
      </c>
      <c r="W12" s="158">
        <f t="shared" si="8"/>
        <v>0.84490384162207888</v>
      </c>
      <c r="X12" s="158">
        <f t="shared" si="8"/>
        <v>0.84965361599008482</v>
      </c>
      <c r="Y12" s="158">
        <f t="shared" si="8"/>
        <v>0.8470009756851532</v>
      </c>
      <c r="Z12" s="158">
        <f t="shared" si="8"/>
        <v>0.81278067577902846</v>
      </c>
      <c r="AA12" s="158">
        <f t="shared" si="8"/>
        <v>0.83417850489733203</v>
      </c>
      <c r="AB12" s="158">
        <f t="shared" si="8"/>
        <v>0.87449394546958004</v>
      </c>
      <c r="AC12" s="158">
        <f t="shared" si="8"/>
        <v>0.89404764819666516</v>
      </c>
      <c r="AD12" s="158">
        <f t="shared" si="8"/>
        <v>0.85752204559530476</v>
      </c>
      <c r="AE12" s="158">
        <f t="shared" si="8"/>
        <v>0.86610895632113971</v>
      </c>
      <c r="AF12" s="158">
        <f t="shared" si="8"/>
        <v>0.90320089247404101</v>
      </c>
      <c r="AG12" s="158">
        <f t="shared" si="8"/>
        <v>0.92018408668280371</v>
      </c>
      <c r="AH12" s="158">
        <f t="shared" si="8"/>
        <v>0.89869480332231877</v>
      </c>
      <c r="AI12" s="158">
        <f t="shared" si="8"/>
        <v>0.90136027815166175</v>
      </c>
      <c r="AJ12" s="158">
        <f t="shared" si="8"/>
        <v>0.8952339562509054</v>
      </c>
      <c r="AK12" s="158">
        <f t="shared" si="8"/>
        <v>0.93920962957515142</v>
      </c>
      <c r="AL12" s="158">
        <f t="shared" si="8"/>
        <v>0.89869480332231877</v>
      </c>
      <c r="AM12" s="158">
        <f t="shared" si="8"/>
        <v>0.89276754943519887</v>
      </c>
      <c r="AN12" s="158">
        <f t="shared" si="8"/>
        <v>0.92613210354747699</v>
      </c>
      <c r="AO12" s="158">
        <f t="shared" si="8"/>
        <v>0.91708333733978209</v>
      </c>
    </row>
    <row r="13" spans="1:41" s="3" customFormat="1" x14ac:dyDescent="0.25">
      <c r="A13" s="148" t="s">
        <v>27</v>
      </c>
      <c r="B13" s="8"/>
      <c r="C13" s="8"/>
      <c r="D13" s="7">
        <f t="shared" si="5"/>
        <v>168733</v>
      </c>
      <c r="E13" s="7">
        <f t="shared" si="5"/>
        <v>185045</v>
      </c>
      <c r="F13" s="7">
        <f t="shared" si="5"/>
        <v>249516</v>
      </c>
      <c r="G13" s="7">
        <f>SUMIFS($N13:$AG13,$N$5:$AG$5,G$7)</f>
        <v>246168</v>
      </c>
      <c r="H13" s="7">
        <f>SUMIFS($N13:$AP13,$N$5:$AP$5,H$7)</f>
        <v>181000</v>
      </c>
      <c r="I13" s="7">
        <f>SUMIFS($N13:$AP13,$N$5:$AP$5,I$7)</f>
        <v>147618</v>
      </c>
      <c r="J13" s="7">
        <f>SUMIFS($N13:$AP13,$N$5:$AP$5,J$7)</f>
        <v>153742</v>
      </c>
      <c r="K13" s="155"/>
      <c r="L13" s="51">
        <f>SUMIFS($N13:$AR13,$N$4:$AR$4,L$5)</f>
        <v>153742</v>
      </c>
      <c r="M13" s="155"/>
      <c r="N13" s="11">
        <v>40695</v>
      </c>
      <c r="O13" s="13">
        <v>53314</v>
      </c>
      <c r="P13" s="13">
        <v>45618</v>
      </c>
      <c r="Q13" s="13">
        <v>29106</v>
      </c>
      <c r="R13" s="13">
        <v>42604</v>
      </c>
      <c r="S13" s="13">
        <v>64579</v>
      </c>
      <c r="T13" s="13">
        <v>40599</v>
      </c>
      <c r="U13" s="13">
        <v>37263</v>
      </c>
      <c r="V13" s="13">
        <v>58619</v>
      </c>
      <c r="W13" s="13">
        <v>62525</v>
      </c>
      <c r="X13" s="13">
        <v>65020</v>
      </c>
      <c r="Y13" s="13">
        <v>63352</v>
      </c>
      <c r="Z13" s="13">
        <v>76375</v>
      </c>
      <c r="AA13" s="13">
        <v>71122</v>
      </c>
      <c r="AB13" s="13">
        <v>55399</v>
      </c>
      <c r="AC13" s="102">
        <v>43272</v>
      </c>
      <c r="AD13" s="102">
        <v>57972</v>
      </c>
      <c r="AE13" s="102">
        <v>52816</v>
      </c>
      <c r="AF13" s="102">
        <v>39480</v>
      </c>
      <c r="AG13" s="102">
        <v>30732</v>
      </c>
      <c r="AH13" s="102">
        <v>42860</v>
      </c>
      <c r="AI13" s="102">
        <v>36569</v>
      </c>
      <c r="AJ13" s="102">
        <v>43392</v>
      </c>
      <c r="AK13" s="102">
        <v>24797</v>
      </c>
      <c r="AL13" s="102">
        <v>42860</v>
      </c>
      <c r="AM13" s="102">
        <v>44370</v>
      </c>
      <c r="AN13" s="102">
        <v>32019</v>
      </c>
      <c r="AO13" s="102">
        <v>34493</v>
      </c>
    </row>
    <row r="14" spans="1:41" s="151" customFormat="1" x14ac:dyDescent="0.2">
      <c r="A14" s="152" t="s">
        <v>26</v>
      </c>
      <c r="D14" s="158">
        <f>D13/D$10</f>
        <v>0.18773580602127998</v>
      </c>
      <c r="E14" s="158">
        <f t="shared" ref="E14:J14" si="9">E13/E$10</f>
        <v>0.17972426318831008</v>
      </c>
      <c r="F14" s="158">
        <f t="shared" si="9"/>
        <v>0.15538094223935975</v>
      </c>
      <c r="G14" s="158">
        <f t="shared" si="9"/>
        <v>0.14594946480216001</v>
      </c>
      <c r="H14" s="158">
        <f t="shared" si="9"/>
        <v>0.1135333653233976</v>
      </c>
      <c r="I14" s="158">
        <f t="shared" si="9"/>
        <v>9.1353368801677826E-2</v>
      </c>
      <c r="J14" s="158">
        <f t="shared" si="9"/>
        <v>9.1170608505785705E-2</v>
      </c>
      <c r="K14" s="159"/>
      <c r="L14" s="158">
        <f t="shared" ref="L14" si="10">L13/L$10</f>
        <v>9.1170608505785705E-2</v>
      </c>
      <c r="M14" s="159"/>
      <c r="N14" s="158">
        <f t="shared" ref="N14:AO14" si="11">N13/N$10</f>
        <v>0.20141253563509662</v>
      </c>
      <c r="O14" s="158">
        <f t="shared" si="11"/>
        <v>0.23711340206185566</v>
      </c>
      <c r="P14" s="158">
        <f t="shared" si="11"/>
        <v>0.19093979816920803</v>
      </c>
      <c r="Q14" s="158">
        <f t="shared" si="11"/>
        <v>0.12493346839963601</v>
      </c>
      <c r="R14" s="158">
        <f t="shared" si="11"/>
        <v>0.18027868637415739</v>
      </c>
      <c r="S14" s="158">
        <f t="shared" si="11"/>
        <v>0.26798044683464461</v>
      </c>
      <c r="T14" s="158">
        <f t="shared" si="11"/>
        <v>0.15533568255644448</v>
      </c>
      <c r="U14" s="158">
        <f t="shared" si="11"/>
        <v>0.12808015536116316</v>
      </c>
      <c r="V14" s="158">
        <f t="shared" si="11"/>
        <v>0.16458567894856541</v>
      </c>
      <c r="W14" s="158">
        <f t="shared" si="11"/>
        <v>0.15509615837792115</v>
      </c>
      <c r="X14" s="158">
        <f t="shared" si="11"/>
        <v>0.15034638400991518</v>
      </c>
      <c r="Y14" s="158">
        <f t="shared" si="11"/>
        <v>0.15299902431484683</v>
      </c>
      <c r="Z14" s="158">
        <f t="shared" si="11"/>
        <v>0.18721932422097151</v>
      </c>
      <c r="AA14" s="158">
        <f t="shared" si="11"/>
        <v>0.16582149510266794</v>
      </c>
      <c r="AB14" s="158">
        <f t="shared" si="11"/>
        <v>0.12550605453041991</v>
      </c>
      <c r="AC14" s="158">
        <f t="shared" si="11"/>
        <v>0.10595235180333488</v>
      </c>
      <c r="AD14" s="158">
        <f t="shared" si="11"/>
        <v>0.14247795440469518</v>
      </c>
      <c r="AE14" s="158">
        <f t="shared" si="11"/>
        <v>0.13389104367886023</v>
      </c>
      <c r="AF14" s="158">
        <f t="shared" si="11"/>
        <v>9.679910752595898E-2</v>
      </c>
      <c r="AG14" s="158">
        <f t="shared" si="11"/>
        <v>7.9815913317196313E-2</v>
      </c>
      <c r="AH14" s="158">
        <f t="shared" si="11"/>
        <v>0.10130519667768119</v>
      </c>
      <c r="AI14" s="158">
        <f t="shared" si="11"/>
        <v>9.8639721848338288E-2</v>
      </c>
      <c r="AJ14" s="158">
        <f t="shared" si="11"/>
        <v>0.1047660437490946</v>
      </c>
      <c r="AK14" s="158">
        <f t="shared" si="11"/>
        <v>6.0790370424848618E-2</v>
      </c>
      <c r="AL14" s="158">
        <f t="shared" si="11"/>
        <v>0.10130519667768119</v>
      </c>
      <c r="AM14" s="158">
        <f t="shared" si="11"/>
        <v>0.10723245056480107</v>
      </c>
      <c r="AN14" s="158">
        <f t="shared" si="11"/>
        <v>7.3867896452523049E-2</v>
      </c>
      <c r="AO14" s="158">
        <f t="shared" si="11"/>
        <v>8.2916662660217882E-2</v>
      </c>
    </row>
    <row r="15" spans="1:41" x14ac:dyDescent="0.2">
      <c r="A15" s="50"/>
      <c r="D15" s="51"/>
      <c r="E15" s="51"/>
      <c r="F15" s="51"/>
      <c r="G15" s="51"/>
      <c r="H15" s="51"/>
      <c r="I15" s="51"/>
      <c r="J15" s="51"/>
      <c r="L15" s="51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1:41" x14ac:dyDescent="0.25">
      <c r="A16" s="50" t="s">
        <v>28</v>
      </c>
      <c r="D16" s="7">
        <f t="shared" ref="D16:F16" si="12">SUMIFS($N16:$AB16,$N$5:$AB$5,D$7)</f>
        <v>7969</v>
      </c>
      <c r="E16" s="7">
        <f t="shared" si="12"/>
        <v>18374</v>
      </c>
      <c r="F16" s="7">
        <f t="shared" si="12"/>
        <v>43849</v>
      </c>
      <c r="G16" s="7">
        <f>SUMIFS($N16:$AG16,$N$5:$AG$5,G$7)</f>
        <v>139003</v>
      </c>
      <c r="H16" s="7">
        <f>SUMIFS($N16:$AG16,$N$5:$AG$5,H$7)</f>
        <v>71620</v>
      </c>
      <c r="I16" s="7">
        <f>SUMIFS($N16:$AP16,$N$5:$AP$5,I$7)</f>
        <v>88679</v>
      </c>
      <c r="J16" s="7">
        <f>SUMIFS($N16:$AP16,$N$5:$AP$5,J$7)</f>
        <v>116800</v>
      </c>
      <c r="K16" s="155"/>
      <c r="L16" s="51">
        <f>SUMIFS($N16:$AR16,$N$4:$AR$4,L$5)</f>
        <v>116800</v>
      </c>
      <c r="M16" s="155"/>
      <c r="N16" s="52">
        <v>2607</v>
      </c>
      <c r="O16" s="52">
        <v>-1270</v>
      </c>
      <c r="P16" s="52">
        <v>5956</v>
      </c>
      <c r="Q16" s="52">
        <v>676</v>
      </c>
      <c r="R16" s="52">
        <v>4469</v>
      </c>
      <c r="S16" s="52">
        <v>3617</v>
      </c>
      <c r="T16" s="52">
        <v>733</v>
      </c>
      <c r="U16" s="52">
        <v>9555</v>
      </c>
      <c r="V16" s="52">
        <v>11811</v>
      </c>
      <c r="W16" s="52">
        <v>14069</v>
      </c>
      <c r="X16" s="52">
        <v>14855</v>
      </c>
      <c r="Y16" s="52">
        <v>3114</v>
      </c>
      <c r="Z16" s="52">
        <v>26086</v>
      </c>
      <c r="AA16" s="52">
        <v>35138</v>
      </c>
      <c r="AB16" s="52">
        <v>37571</v>
      </c>
      <c r="AC16" s="52">
        <v>40208</v>
      </c>
      <c r="AD16" s="52">
        <v>33923</v>
      </c>
      <c r="AE16" s="52">
        <v>33483</v>
      </c>
      <c r="AF16" s="52">
        <v>30349</v>
      </c>
      <c r="AG16" s="52">
        <v>-26135</v>
      </c>
      <c r="AH16" s="52">
        <v>25715</v>
      </c>
      <c r="AI16" s="52">
        <v>24149</v>
      </c>
      <c r="AJ16" s="52">
        <v>14850</v>
      </c>
      <c r="AK16" s="52">
        <v>23965</v>
      </c>
      <c r="AL16" s="52">
        <v>25715</v>
      </c>
      <c r="AM16" s="52">
        <v>76302</v>
      </c>
      <c r="AN16" s="52">
        <v>5386</v>
      </c>
      <c r="AO16" s="52">
        <v>9397</v>
      </c>
    </row>
    <row r="17" spans="1:44" s="151" customFormat="1" x14ac:dyDescent="0.2">
      <c r="A17" s="152" t="s">
        <v>26</v>
      </c>
      <c r="D17" s="158">
        <f>D16/D$10</f>
        <v>8.8664732932122355E-3</v>
      </c>
      <c r="E17" s="158">
        <f t="shared" ref="E17:AO17" si="13">E16/E$10</f>
        <v>1.784567868260158E-2</v>
      </c>
      <c r="F17" s="158">
        <f t="shared" si="13"/>
        <v>2.7306060277712391E-2</v>
      </c>
      <c r="G17" s="158">
        <f>G16/G$10</f>
        <v>8.2412878424062613E-2</v>
      </c>
      <c r="H17" s="158">
        <f>H16/H$10</f>
        <v>4.4924086322993016E-2</v>
      </c>
      <c r="I17" s="158">
        <f>I16/I$10</f>
        <v>5.4878980828652252E-2</v>
      </c>
      <c r="J17" s="158">
        <f>J16/J$10</f>
        <v>6.9263617446603865E-2</v>
      </c>
      <c r="K17" s="159"/>
      <c r="L17" s="158">
        <f t="shared" si="13"/>
        <v>6.9263617446603865E-2</v>
      </c>
      <c r="M17" s="159"/>
      <c r="N17" s="158">
        <f t="shared" si="13"/>
        <v>1.290287456445993E-2</v>
      </c>
      <c r="O17" s="158">
        <f t="shared" si="13"/>
        <v>-5.6483103991176184E-3</v>
      </c>
      <c r="P17" s="158">
        <f t="shared" si="13"/>
        <v>2.4929576875264217E-2</v>
      </c>
      <c r="Q17" s="158">
        <f t="shared" si="13"/>
        <v>2.9016362481328229E-3</v>
      </c>
      <c r="R17" s="158">
        <f t="shared" si="13"/>
        <v>1.8910558853772168E-2</v>
      </c>
      <c r="S17" s="158">
        <f t="shared" si="13"/>
        <v>1.5009295222919364E-2</v>
      </c>
      <c r="T17" s="158">
        <f t="shared" si="13"/>
        <v>2.8045285675478166E-3</v>
      </c>
      <c r="U17" s="158">
        <f t="shared" si="13"/>
        <v>3.2842387474865523E-2</v>
      </c>
      <c r="V17" s="158">
        <f t="shared" si="13"/>
        <v>3.3161968884858249E-2</v>
      </c>
      <c r="W17" s="158">
        <f t="shared" si="13"/>
        <v>3.4898806113058338E-2</v>
      </c>
      <c r="X17" s="158">
        <f t="shared" si="13"/>
        <v>3.4349362264953706E-2</v>
      </c>
      <c r="Y17" s="158">
        <f t="shared" si="13"/>
        <v>7.5205038785899903E-3</v>
      </c>
      <c r="Z17" s="158">
        <f t="shared" si="13"/>
        <v>6.3945051281548454E-2</v>
      </c>
      <c r="AA17" s="158">
        <f t="shared" si="13"/>
        <v>8.1924519767688567E-2</v>
      </c>
      <c r="AB17" s="158">
        <f t="shared" si="13"/>
        <v>8.5116842808758392E-2</v>
      </c>
      <c r="AC17" s="158">
        <f t="shared" si="13"/>
        <v>9.8450086922455382E-2</v>
      </c>
      <c r="AD17" s="158">
        <f t="shared" si="13"/>
        <v>8.3372656580253834E-2</v>
      </c>
      <c r="AE17" s="158">
        <f t="shared" si="13"/>
        <v>8.4880979542170512E-2</v>
      </c>
      <c r="AF17" s="158">
        <f t="shared" si="13"/>
        <v>7.4411249095879664E-2</v>
      </c>
      <c r="AG17" s="158">
        <f t="shared" si="13"/>
        <v>-6.7876769964366965E-2</v>
      </c>
      <c r="AH17" s="158">
        <f t="shared" si="13"/>
        <v>6.0780754376261591E-2</v>
      </c>
      <c r="AI17" s="158">
        <f t="shared" si="13"/>
        <v>6.5138522872255772E-2</v>
      </c>
      <c r="AJ17" s="158">
        <f t="shared" si="13"/>
        <v>3.5853976531942632E-2</v>
      </c>
      <c r="AK17" s="158">
        <f t="shared" si="13"/>
        <v>5.8750704812336053E-2</v>
      </c>
      <c r="AL17" s="158">
        <f t="shared" si="13"/>
        <v>6.0780754376261591E-2</v>
      </c>
      <c r="AM17" s="158">
        <f t="shared" si="13"/>
        <v>0.18440501336478368</v>
      </c>
      <c r="AN17" s="158">
        <f t="shared" si="13"/>
        <v>1.2425512673515387E-2</v>
      </c>
      <c r="AO17" s="158">
        <f t="shared" si="13"/>
        <v>2.2589159511149145E-2</v>
      </c>
      <c r="AP17" s="158"/>
    </row>
    <row r="18" spans="1:44" x14ac:dyDescent="0.25">
      <c r="A18" s="50" t="s">
        <v>29</v>
      </c>
      <c r="D18" s="7">
        <f t="shared" ref="D18:F18" si="14">SUMIFS($N18:$AB18,$N$5:$AB$5,D$7)</f>
        <v>-638349</v>
      </c>
      <c r="E18" s="7">
        <f t="shared" si="14"/>
        <v>-722664</v>
      </c>
      <c r="F18" s="7">
        <f t="shared" si="14"/>
        <v>-1017659</v>
      </c>
      <c r="G18" s="7">
        <f>SUMIFS($N18:$AG18,$N$5:$AG$5,G$7)</f>
        <v>-1017597</v>
      </c>
      <c r="H18" s="7">
        <f>SUMIFS($N18:$AG18,$N$5:$AG$5,H$7)</f>
        <v>-979267</v>
      </c>
      <c r="I18" s="7">
        <f>SUMIFS($N18:$AP18,$N$5:$AP$5,I$7)</f>
        <v>-1061890</v>
      </c>
      <c r="J18" s="7">
        <f>SUMIFS($N18:$AP18,$N$5:$AP$5,J$7)</f>
        <v>-1102869</v>
      </c>
      <c r="K18" s="155"/>
      <c r="L18" s="51">
        <f>SUMIFS($N18:$AR18,$N$4:$AR$4,L$5)</f>
        <v>-1102869</v>
      </c>
      <c r="M18" s="155"/>
      <c r="N18" s="52">
        <v>-137273</v>
      </c>
      <c r="O18" s="52">
        <v>-160867</v>
      </c>
      <c r="P18" s="52">
        <v>-172107</v>
      </c>
      <c r="Q18" s="52">
        <v>-168102</v>
      </c>
      <c r="R18" s="52">
        <v>-163471</v>
      </c>
      <c r="S18" s="52">
        <v>-165677</v>
      </c>
      <c r="T18" s="52">
        <v>-184283</v>
      </c>
      <c r="U18" s="52">
        <v>-209233</v>
      </c>
      <c r="V18" s="52">
        <v>-237614</v>
      </c>
      <c r="W18" s="52">
        <v>-263510</v>
      </c>
      <c r="X18" s="52">
        <v>-267426</v>
      </c>
      <c r="Y18" s="52">
        <v>-249109</v>
      </c>
      <c r="Z18" s="52">
        <v>-233084</v>
      </c>
      <c r="AA18" s="52">
        <v>-256883</v>
      </c>
      <c r="AB18" s="52">
        <v>-271785</v>
      </c>
      <c r="AC18" s="52">
        <v>-255845</v>
      </c>
      <c r="AD18" s="52">
        <v>-246115</v>
      </c>
      <c r="AE18" s="52">
        <v>-248183</v>
      </c>
      <c r="AF18" s="52">
        <v>-247659</v>
      </c>
      <c r="AG18" s="52">
        <v>-237310</v>
      </c>
      <c r="AH18" s="52">
        <v>-274878</v>
      </c>
      <c r="AI18" s="52">
        <v>-238850</v>
      </c>
      <c r="AJ18" s="52">
        <v>-273703</v>
      </c>
      <c r="AK18" s="52">
        <v>-274459</v>
      </c>
      <c r="AL18" s="52">
        <v>-274878</v>
      </c>
      <c r="AM18" s="52">
        <v>-274115</v>
      </c>
      <c r="AN18" s="52">
        <v>-281484</v>
      </c>
      <c r="AO18" s="52">
        <v>-272392</v>
      </c>
    </row>
    <row r="19" spans="1:44" s="151" customFormat="1" x14ac:dyDescent="0.2">
      <c r="A19" s="152" t="s">
        <v>26</v>
      </c>
      <c r="D19" s="158">
        <f>D18/D$10</f>
        <v>-0.71024022590647984</v>
      </c>
      <c r="E19" s="158">
        <f t="shared" ref="E19:AO19" si="15">E18/E$10</f>
        <v>-0.70188470335711273</v>
      </c>
      <c r="F19" s="158">
        <f t="shared" si="15"/>
        <v>-0.6337261510218366</v>
      </c>
      <c r="G19" s="158">
        <f t="shared" si="15"/>
        <v>-0.60331861791249719</v>
      </c>
      <c r="H19" s="158">
        <f t="shared" si="15"/>
        <v>-0.61425126000081542</v>
      </c>
      <c r="I19" s="158">
        <f t="shared" si="15"/>
        <v>-0.65715040711033657</v>
      </c>
      <c r="J19" s="158">
        <f t="shared" si="15"/>
        <v>-0.65401281258320676</v>
      </c>
      <c r="K19" s="159"/>
      <c r="L19" s="158">
        <f t="shared" si="15"/>
        <v>-0.65401281258320676</v>
      </c>
      <c r="M19" s="159"/>
      <c r="N19" s="158">
        <f t="shared" si="15"/>
        <v>-0.67940786347798543</v>
      </c>
      <c r="O19" s="158">
        <f t="shared" si="15"/>
        <v>-0.71545413305106609</v>
      </c>
      <c r="P19" s="158">
        <f t="shared" si="15"/>
        <v>-0.72037519934034566</v>
      </c>
      <c r="Q19" s="158">
        <f t="shared" si="15"/>
        <v>-0.72155452157340794</v>
      </c>
      <c r="R19" s="158">
        <f t="shared" si="15"/>
        <v>-0.69172700075743787</v>
      </c>
      <c r="S19" s="158">
        <f t="shared" si="15"/>
        <v>-0.68750207482654446</v>
      </c>
      <c r="T19" s="158">
        <f t="shared" si="15"/>
        <v>-0.70508449933617234</v>
      </c>
      <c r="U19" s="158">
        <f t="shared" si="15"/>
        <v>-0.71917438603124406</v>
      </c>
      <c r="V19" s="158">
        <f t="shared" si="15"/>
        <v>-0.66715333795671061</v>
      </c>
      <c r="W19" s="158">
        <f t="shared" si="15"/>
        <v>-0.65364875960281488</v>
      </c>
      <c r="X19" s="158">
        <f t="shared" si="15"/>
        <v>-0.61837176392241733</v>
      </c>
      <c r="Y19" s="158">
        <f t="shared" si="15"/>
        <v>-0.60161374460233585</v>
      </c>
      <c r="Z19" s="158">
        <f t="shared" si="15"/>
        <v>-0.57136273606181243</v>
      </c>
      <c r="AA19" s="158">
        <f t="shared" si="15"/>
        <v>-0.59892470861981739</v>
      </c>
      <c r="AB19" s="158">
        <f t="shared" si="15"/>
        <v>-0.61572705338634592</v>
      </c>
      <c r="AC19" s="158">
        <f t="shared" si="15"/>
        <v>-0.6264415660733087</v>
      </c>
      <c r="AD19" s="158">
        <f t="shared" si="15"/>
        <v>-0.60487755723990133</v>
      </c>
      <c r="AE19" s="158">
        <f t="shared" si="15"/>
        <v>-0.62915557583593174</v>
      </c>
      <c r="AF19" s="158">
        <f t="shared" si="15"/>
        <v>-0.60722315528803128</v>
      </c>
      <c r="AG19" s="158">
        <f t="shared" si="15"/>
        <v>-0.61633197934738571</v>
      </c>
      <c r="AH19" s="158">
        <f t="shared" si="15"/>
        <v>-0.64970998255640799</v>
      </c>
      <c r="AI19" s="158">
        <f t="shared" si="15"/>
        <v>-0.64426420092087833</v>
      </c>
      <c r="AJ19" s="360">
        <f>AJ18/AJ$10</f>
        <v>-0.66083103964459899</v>
      </c>
      <c r="AK19" s="158">
        <f t="shared" si="15"/>
        <v>-0.67284204849108875</v>
      </c>
      <c r="AL19" s="158">
        <f t="shared" si="15"/>
        <v>-0.64970998255640799</v>
      </c>
      <c r="AM19" s="158">
        <f t="shared" si="15"/>
        <v>-0.66247516760357106</v>
      </c>
      <c r="AN19" s="158">
        <f t="shared" si="15"/>
        <v>-0.64938414582098125</v>
      </c>
      <c r="AO19" s="158">
        <f t="shared" si="15"/>
        <v>-0.65479475764190043</v>
      </c>
    </row>
    <row r="20" spans="1:44" x14ac:dyDescent="0.2">
      <c r="A20" s="54"/>
      <c r="B20" s="1"/>
      <c r="C20" s="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4" s="1" customFormat="1" x14ac:dyDescent="0.2">
      <c r="A21" s="153" t="s">
        <v>30</v>
      </c>
      <c r="B21" s="49"/>
      <c r="C21" s="49"/>
      <c r="D21" s="126">
        <f t="shared" ref="D21:J21" si="16">D10+D16+D18</f>
        <v>268399</v>
      </c>
      <c r="E21" s="126">
        <f t="shared" si="16"/>
        <v>325315</v>
      </c>
      <c r="F21" s="126">
        <f t="shared" si="16"/>
        <v>632024</v>
      </c>
      <c r="G21" s="126">
        <f t="shared" si="16"/>
        <v>808072</v>
      </c>
      <c r="H21" s="126">
        <f t="shared" si="16"/>
        <v>686598</v>
      </c>
      <c r="I21" s="126">
        <f t="shared" si="16"/>
        <v>642690</v>
      </c>
      <c r="J21" s="126">
        <f t="shared" si="16"/>
        <v>700242</v>
      </c>
      <c r="K21" s="64"/>
      <c r="L21" s="126">
        <f>L10+L16+L18</f>
        <v>700242</v>
      </c>
      <c r="M21" s="64"/>
      <c r="N21" s="126">
        <f t="shared" ref="N21:AA21" si="17">N10+N16+N18</f>
        <v>67382</v>
      </c>
      <c r="O21" s="126">
        <f t="shared" si="17"/>
        <v>62709</v>
      </c>
      <c r="P21" s="126">
        <f t="shared" si="17"/>
        <v>72762</v>
      </c>
      <c r="Q21" s="126">
        <f t="shared" si="17"/>
        <v>65546</v>
      </c>
      <c r="R21" s="126">
        <f t="shared" si="17"/>
        <v>77321</v>
      </c>
      <c r="S21" s="126">
        <f t="shared" si="17"/>
        <v>78924</v>
      </c>
      <c r="T21" s="126">
        <f t="shared" si="17"/>
        <v>77813</v>
      </c>
      <c r="U21" s="126">
        <f t="shared" si="17"/>
        <v>91257</v>
      </c>
      <c r="V21" s="126">
        <f t="shared" si="17"/>
        <v>130358</v>
      </c>
      <c r="W21" s="126">
        <f t="shared" si="17"/>
        <v>153696</v>
      </c>
      <c r="X21" s="126">
        <f t="shared" si="17"/>
        <v>179897</v>
      </c>
      <c r="Y21" s="126">
        <f t="shared" si="17"/>
        <v>168073</v>
      </c>
      <c r="Z21" s="126">
        <f t="shared" si="17"/>
        <v>200946</v>
      </c>
      <c r="AA21" s="126">
        <f t="shared" si="17"/>
        <v>207162</v>
      </c>
      <c r="AB21" s="126">
        <v>207191</v>
      </c>
      <c r="AC21" s="126">
        <f t="shared" ref="AC21:AM21" si="18">AC10+AC16+AC18</f>
        <v>192773</v>
      </c>
      <c r="AD21" s="126">
        <f t="shared" si="18"/>
        <v>194692</v>
      </c>
      <c r="AE21" s="126">
        <f t="shared" si="18"/>
        <v>179770</v>
      </c>
      <c r="AF21" s="126">
        <f t="shared" si="18"/>
        <v>190545</v>
      </c>
      <c r="AG21" s="126">
        <f t="shared" si="18"/>
        <v>121591</v>
      </c>
      <c r="AH21" s="126">
        <f t="shared" si="18"/>
        <v>173915</v>
      </c>
      <c r="AI21" s="126">
        <f t="shared" si="18"/>
        <v>156032</v>
      </c>
      <c r="AJ21" s="126">
        <f t="shared" si="18"/>
        <v>155327</v>
      </c>
      <c r="AK21" s="126">
        <f t="shared" si="18"/>
        <v>157416</v>
      </c>
      <c r="AL21" s="126">
        <f t="shared" si="18"/>
        <v>173915</v>
      </c>
      <c r="AM21" s="126">
        <f t="shared" si="18"/>
        <v>215961</v>
      </c>
      <c r="AN21" s="126">
        <f t="shared" ref="AN21:AO21" si="19">AN10+AN16+AN18</f>
        <v>157365</v>
      </c>
      <c r="AO21" s="126">
        <f t="shared" si="19"/>
        <v>153001</v>
      </c>
    </row>
    <row r="22" spans="1:44" s="151" customFormat="1" x14ac:dyDescent="0.2">
      <c r="A22" s="154" t="s">
        <v>26</v>
      </c>
      <c r="D22" s="160">
        <f>D21/D$10</f>
        <v>0.29862624738673244</v>
      </c>
      <c r="E22" s="160">
        <f t="shared" ref="E22:J22" si="20">E21/E$10</f>
        <v>0.31596097532548889</v>
      </c>
      <c r="F22" s="160">
        <f t="shared" si="20"/>
        <v>0.39357990925587577</v>
      </c>
      <c r="G22" s="160">
        <f t="shared" si="20"/>
        <v>0.4790942605115654</v>
      </c>
      <c r="H22" s="160">
        <f t="shared" si="20"/>
        <v>0.43067282632217757</v>
      </c>
      <c r="I22" s="160">
        <f t="shared" si="20"/>
        <v>0.39772857371831566</v>
      </c>
      <c r="J22" s="160">
        <f t="shared" si="20"/>
        <v>0.4152508048633971</v>
      </c>
      <c r="K22" s="159"/>
      <c r="L22" s="160">
        <f t="shared" ref="L22" si="21">L21/L$10</f>
        <v>0.4152508048633971</v>
      </c>
      <c r="M22" s="159"/>
      <c r="N22" s="160">
        <f t="shared" ref="N22:AM22" si="22">N21/N$10</f>
        <v>0.3334950110864745</v>
      </c>
      <c r="O22" s="160">
        <f t="shared" si="22"/>
        <v>0.27889755654981629</v>
      </c>
      <c r="P22" s="160">
        <f t="shared" si="22"/>
        <v>0.30455437753491854</v>
      </c>
      <c r="Q22" s="160">
        <f t="shared" si="22"/>
        <v>0.28134711467472484</v>
      </c>
      <c r="R22" s="160">
        <f t="shared" si="22"/>
        <v>0.32718355809633426</v>
      </c>
      <c r="S22" s="160">
        <f t="shared" si="22"/>
        <v>0.32750722039637487</v>
      </c>
      <c r="T22" s="160">
        <f t="shared" si="22"/>
        <v>0.29772002923137553</v>
      </c>
      <c r="U22" s="160">
        <f t="shared" si="22"/>
        <v>0.31366800144362145</v>
      </c>
      <c r="V22" s="160">
        <f t="shared" si="22"/>
        <v>0.36600863092814767</v>
      </c>
      <c r="W22" s="160">
        <f t="shared" si="22"/>
        <v>0.38125004651024341</v>
      </c>
      <c r="X22" s="160">
        <f t="shared" si="22"/>
        <v>0.41597759834253634</v>
      </c>
      <c r="Y22" s="160">
        <f t="shared" si="22"/>
        <v>0.40590675927625414</v>
      </c>
      <c r="Z22" s="160">
        <f t="shared" si="22"/>
        <v>0.49258231521973606</v>
      </c>
      <c r="AA22" s="160">
        <f t="shared" si="22"/>
        <v>0.48299981114787122</v>
      </c>
      <c r="AB22" s="160">
        <f t="shared" si="22"/>
        <v>0.46938978942241255</v>
      </c>
      <c r="AC22" s="160">
        <f t="shared" si="22"/>
        <v>0.47200852084914668</v>
      </c>
      <c r="AD22" s="160">
        <f t="shared" si="22"/>
        <v>0.47849509934035256</v>
      </c>
      <c r="AE22" s="160">
        <f t="shared" si="22"/>
        <v>0.45572540370623876</v>
      </c>
      <c r="AF22" s="160">
        <f t="shared" si="22"/>
        <v>0.46718809380784837</v>
      </c>
      <c r="AG22" s="160">
        <f t="shared" si="22"/>
        <v>0.31579125068824732</v>
      </c>
      <c r="AH22" s="160">
        <f t="shared" si="22"/>
        <v>0.41107077181985358</v>
      </c>
      <c r="AI22" s="160">
        <f t="shared" si="22"/>
        <v>0.42087432195137742</v>
      </c>
      <c r="AJ22" s="160">
        <f t="shared" si="22"/>
        <v>0.37502293688734367</v>
      </c>
      <c r="AK22" s="160">
        <f t="shared" si="22"/>
        <v>0.38590865632124732</v>
      </c>
      <c r="AL22" s="160">
        <f t="shared" si="22"/>
        <v>0.41107077181985358</v>
      </c>
      <c r="AM22" s="160">
        <f t="shared" si="22"/>
        <v>0.5219298457612126</v>
      </c>
      <c r="AN22" s="160">
        <f t="shared" ref="AN22:AO22" si="23">AN21/AN$10</f>
        <v>0.36304136685253413</v>
      </c>
      <c r="AO22" s="160">
        <f t="shared" si="23"/>
        <v>0.36779440186924872</v>
      </c>
      <c r="AR22"/>
    </row>
    <row r="23" spans="1:44" x14ac:dyDescent="0.2">
      <c r="A23" s="54"/>
      <c r="B23" s="1"/>
      <c r="C23" s="1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4" x14ac:dyDescent="0.2">
      <c r="A24" s="55" t="s">
        <v>31</v>
      </c>
      <c r="D24" s="64">
        <f>SUM(D26,D28,D30,D32,D34)</f>
        <v>-63277</v>
      </c>
      <c r="E24" s="64">
        <f t="shared" ref="E24:AJ24" si="24">SUM(E26,E28,E30,E32,E34)</f>
        <v>-159801.79999999999</v>
      </c>
      <c r="F24" s="64">
        <f t="shared" si="24"/>
        <v>-196200</v>
      </c>
      <c r="G24" s="64">
        <f>SUM(G26,G28,G30,G32,G34)</f>
        <v>-228209</v>
      </c>
      <c r="H24" s="64">
        <f>SUM(H26,H28,H30,H32,H34)</f>
        <v>-135185</v>
      </c>
      <c r="I24" s="64">
        <f>SUM(I26,I28,I30,I32,I34)</f>
        <v>-294910</v>
      </c>
      <c r="J24" s="64">
        <f>SUM(J26,J28,J30,J32,J34)</f>
        <v>-252436</v>
      </c>
      <c r="K24" s="64"/>
      <c r="L24" s="64">
        <f t="shared" si="24"/>
        <v>-252436</v>
      </c>
      <c r="M24" s="64"/>
      <c r="N24" s="64">
        <f t="shared" si="24"/>
        <v>-33289</v>
      </c>
      <c r="O24" s="64">
        <f t="shared" si="24"/>
        <v>-36871</v>
      </c>
      <c r="P24" s="64">
        <f t="shared" si="24"/>
        <v>35278</v>
      </c>
      <c r="Q24" s="64">
        <f t="shared" si="24"/>
        <v>-28395</v>
      </c>
      <c r="R24" s="64">
        <f t="shared" si="24"/>
        <v>-38134.9</v>
      </c>
      <c r="S24" s="64">
        <f t="shared" si="24"/>
        <v>-38746.9</v>
      </c>
      <c r="T24" s="64">
        <f t="shared" si="24"/>
        <v>-34177</v>
      </c>
      <c r="U24" s="64">
        <f t="shared" si="24"/>
        <v>-48743</v>
      </c>
      <c r="V24" s="64">
        <f t="shared" si="24"/>
        <v>-40186</v>
      </c>
      <c r="W24" s="64">
        <f t="shared" si="24"/>
        <v>-45304</v>
      </c>
      <c r="X24" s="64">
        <f t="shared" si="24"/>
        <v>-53278</v>
      </c>
      <c r="Y24" s="64">
        <f t="shared" si="24"/>
        <v>-57432</v>
      </c>
      <c r="Z24" s="64">
        <f t="shared" si="24"/>
        <v>-44938</v>
      </c>
      <c r="AA24" s="64">
        <f t="shared" si="24"/>
        <v>-65178</v>
      </c>
      <c r="AB24" s="64">
        <f t="shared" si="24"/>
        <v>-53869</v>
      </c>
      <c r="AC24" s="64">
        <f t="shared" si="24"/>
        <v>-64224</v>
      </c>
      <c r="AD24" s="64">
        <f t="shared" si="24"/>
        <v>-58147</v>
      </c>
      <c r="AE24" s="64">
        <f t="shared" si="24"/>
        <v>87158</v>
      </c>
      <c r="AF24" s="64">
        <f t="shared" si="24"/>
        <v>-63641</v>
      </c>
      <c r="AG24" s="64">
        <f t="shared" si="24"/>
        <v>-100555</v>
      </c>
      <c r="AH24" s="64">
        <f t="shared" si="24"/>
        <v>-68140</v>
      </c>
      <c r="AI24" s="64">
        <f t="shared" si="24"/>
        <v>-63754</v>
      </c>
      <c r="AJ24" s="64">
        <f t="shared" si="24"/>
        <v>-68580</v>
      </c>
      <c r="AK24" s="64">
        <f>SUM(AK26,AK28,AK30,AK32,AK34)</f>
        <v>-94436</v>
      </c>
      <c r="AL24" s="64">
        <f>SUM(AL26,AL28,AL30,AL32,AL34)</f>
        <v>-68140</v>
      </c>
      <c r="AM24" s="64">
        <f>SUM(AM26,AM28,AM30,AM32,AM34)</f>
        <v>-46211</v>
      </c>
      <c r="AN24" s="64">
        <f>SUM(AN26,AN28,AN30,AN32,AN34)</f>
        <v>-62204</v>
      </c>
      <c r="AO24" s="64">
        <f>SUM(AO26,AO28,AO30,AO32,AO34)</f>
        <v>-75881</v>
      </c>
    </row>
    <row r="25" spans="1:44" s="151" customFormat="1" x14ac:dyDescent="0.2">
      <c r="A25" s="152" t="s">
        <v>26</v>
      </c>
      <c r="D25" s="158">
        <f>D24/D$10</f>
        <v>-7.0403291576683472E-2</v>
      </c>
      <c r="E25" s="158">
        <f t="shared" ref="E25:H25" si="25">E24/E$10</f>
        <v>-0.15520689973339288</v>
      </c>
      <c r="F25" s="158">
        <f t="shared" si="25"/>
        <v>-0.1221795029872328</v>
      </c>
      <c r="G25" s="158">
        <f t="shared" si="25"/>
        <v>-0.13530183213511152</v>
      </c>
      <c r="H25" s="158">
        <f t="shared" si="25"/>
        <v>-8.4795624261013836E-2</v>
      </c>
      <c r="I25" s="158">
        <f>I24/I$10</f>
        <v>-0.18250499257070824</v>
      </c>
      <c r="J25" s="158">
        <f>J24/J$10</f>
        <v>-0.14969717922731929</v>
      </c>
      <c r="K25" s="159"/>
      <c r="L25" s="158">
        <f t="shared" ref="L25" si="26">L24/L$10</f>
        <v>-0.14969717922731929</v>
      </c>
      <c r="M25" s="159"/>
      <c r="N25" s="158">
        <f t="shared" ref="N25:AM25" si="27">N24/N$10</f>
        <v>-0.16475787931580615</v>
      </c>
      <c r="O25" s="158">
        <f t="shared" si="27"/>
        <v>-0.16398334860304387</v>
      </c>
      <c r="P25" s="158">
        <f t="shared" si="27"/>
        <v>0.147660445434112</v>
      </c>
      <c r="Q25" s="158">
        <f t="shared" si="27"/>
        <v>-0.12188159950551998</v>
      </c>
      <c r="R25" s="158">
        <f t="shared" si="27"/>
        <v>-0.16136770437071296</v>
      </c>
      <c r="S25" s="158">
        <f t="shared" si="27"/>
        <v>-0.16078619327424229</v>
      </c>
      <c r="T25" s="158">
        <f t="shared" si="27"/>
        <v>-0.13076449229615517</v>
      </c>
      <c r="U25" s="158">
        <f t="shared" si="27"/>
        <v>-0.16753914104525067</v>
      </c>
      <c r="V25" s="158">
        <f t="shared" si="27"/>
        <v>-0.1128309949713753</v>
      </c>
      <c r="W25" s="158">
        <f t="shared" si="27"/>
        <v>-0.1123786702783421</v>
      </c>
      <c r="X25" s="158">
        <f t="shared" si="27"/>
        <v>-0.12319524219132977</v>
      </c>
      <c r="Y25" s="158">
        <f t="shared" si="27"/>
        <v>-0.13870185573384081</v>
      </c>
      <c r="Z25" s="158">
        <f t="shared" si="27"/>
        <v>-0.11015727648892985</v>
      </c>
      <c r="AA25" s="158">
        <f t="shared" si="27"/>
        <v>-0.15196301296085166</v>
      </c>
      <c r="AB25" s="158">
        <f t="shared" si="27"/>
        <v>-0.12203985002435405</v>
      </c>
      <c r="AC25" s="158">
        <f t="shared" si="27"/>
        <v>-0.15725374011410104</v>
      </c>
      <c r="AD25" s="158">
        <f t="shared" si="27"/>
        <v>-0.14290805241788815</v>
      </c>
      <c r="AE25" s="158">
        <f t="shared" si="27"/>
        <v>0.22094962861561082</v>
      </c>
      <c r="AF25" s="158">
        <f t="shared" si="27"/>
        <v>-0.15603829792450749</v>
      </c>
      <c r="AG25" s="158">
        <f t="shared" si="27"/>
        <v>-0.26115739826925277</v>
      </c>
      <c r="AH25" s="158">
        <f t="shared" si="27"/>
        <v>-0.16105777185294437</v>
      </c>
      <c r="AI25" s="158">
        <f t="shared" si="27"/>
        <v>-0.17196742669252535</v>
      </c>
      <c r="AJ25" s="158">
        <f t="shared" si="27"/>
        <v>-0.16558018252933507</v>
      </c>
      <c r="AK25" s="158">
        <f t="shared" si="27"/>
        <v>-0.23151185310485156</v>
      </c>
      <c r="AL25" s="158">
        <f t="shared" si="27"/>
        <v>-0.16105777185294437</v>
      </c>
      <c r="AM25" s="158">
        <f t="shared" si="27"/>
        <v>-0.11168173930696468</v>
      </c>
      <c r="AN25" s="158">
        <f t="shared" ref="AN25:AO25" si="28">AN24/AN$10</f>
        <v>-0.14350475127058135</v>
      </c>
      <c r="AO25" s="158">
        <f t="shared" si="28"/>
        <v>-0.18240800392311465</v>
      </c>
    </row>
    <row r="26" spans="1:44" x14ac:dyDescent="0.25">
      <c r="A26" s="113" t="s">
        <v>32</v>
      </c>
      <c r="D26" s="7">
        <f t="shared" ref="D26:F26" si="29">SUMIFS($N26:$AB26,$N$5:$AB$5,D$7)</f>
        <v>-83270</v>
      </c>
      <c r="E26" s="7">
        <f t="shared" si="29"/>
        <v>-90657.8</v>
      </c>
      <c r="F26" s="7">
        <f t="shared" si="29"/>
        <v>-108620</v>
      </c>
      <c r="G26" s="7">
        <f>SUMIFS($N26:$AG26,$N$5:$AG$5,G$7)</f>
        <v>-133873</v>
      </c>
      <c r="H26" s="7">
        <f>SUMIFS($N26:$AG26,$N$5:$AG$5,H$7)</f>
        <v>-130695</v>
      </c>
      <c r="I26" s="7">
        <f>SUMIFS($N26:$AP26,$N$5:$AP$5,I$7)</f>
        <v>-135460</v>
      </c>
      <c r="J26" s="7">
        <f>SUMIFS($N26:$AP26,$N$5:$AP$5,J$7)</f>
        <v>-127554</v>
      </c>
      <c r="K26" s="155"/>
      <c r="L26" s="51">
        <f>SUMIFS($N26:$AR26,$N$4:$AR$4,L$5)</f>
        <v>-127554</v>
      </c>
      <c r="M26" s="155"/>
      <c r="N26" s="52">
        <v>-19025</v>
      </c>
      <c r="O26" s="52">
        <v>-21802</v>
      </c>
      <c r="P26" s="52">
        <v>-21672</v>
      </c>
      <c r="Q26" s="52">
        <v>-20771</v>
      </c>
      <c r="R26" s="52">
        <v>-21132.400000000001</v>
      </c>
      <c r="S26" s="52">
        <v>-22030.400000000001</v>
      </c>
      <c r="T26" s="52">
        <v>-24485</v>
      </c>
      <c r="U26" s="52">
        <v>-23010</v>
      </c>
      <c r="V26" s="52">
        <v>-23621</v>
      </c>
      <c r="W26" s="52">
        <v>-25205</v>
      </c>
      <c r="X26" s="52">
        <v>-29593</v>
      </c>
      <c r="Y26" s="52">
        <v>-30201</v>
      </c>
      <c r="Z26" s="52">
        <v>-29236</v>
      </c>
      <c r="AA26" s="52">
        <v>-35175</v>
      </c>
      <c r="AB26" s="52">
        <v>-36597</v>
      </c>
      <c r="AC26" s="52">
        <v>-32865</v>
      </c>
      <c r="AD26" s="52">
        <v>-31544</v>
      </c>
      <c r="AE26" s="52">
        <v>-29987</v>
      </c>
      <c r="AF26" s="52">
        <v>-32529</v>
      </c>
      <c r="AG26" s="52">
        <v>-36635</v>
      </c>
      <c r="AH26" s="52">
        <v>-34617</v>
      </c>
      <c r="AI26" s="52">
        <v>-33032</v>
      </c>
      <c r="AJ26" s="52">
        <v>-35536</v>
      </c>
      <c r="AK26" s="52">
        <v>-32275</v>
      </c>
      <c r="AL26" s="52">
        <v>-34617</v>
      </c>
      <c r="AM26" s="52">
        <v>-31923</v>
      </c>
      <c r="AN26" s="52">
        <v>-29958</v>
      </c>
      <c r="AO26" s="52">
        <v>-31056</v>
      </c>
    </row>
    <row r="27" spans="1:44" s="151" customFormat="1" x14ac:dyDescent="0.2">
      <c r="A27" s="152" t="s">
        <v>26</v>
      </c>
      <c r="D27" s="158">
        <f>D26/D$10</f>
        <v>-9.264791455964147E-2</v>
      </c>
      <c r="E27" s="158">
        <f t="shared" ref="E27:J27" si="30">E26/E$10</f>
        <v>-8.8051048703143439E-2</v>
      </c>
      <c r="F27" s="158">
        <f t="shared" si="30"/>
        <v>-6.7640864497824804E-2</v>
      </c>
      <c r="G27" s="158">
        <f t="shared" si="30"/>
        <v>-7.9371375245602865E-2</v>
      </c>
      <c r="H27" s="158">
        <f t="shared" si="30"/>
        <v>-8.1979244093599163E-2</v>
      </c>
      <c r="I27" s="158">
        <f t="shared" si="30"/>
        <v>-8.3829393013557144E-2</v>
      </c>
      <c r="J27" s="158">
        <f t="shared" si="30"/>
        <v>-7.5640851539247503E-2</v>
      </c>
      <c r="K27" s="159"/>
      <c r="L27" s="158">
        <f t="shared" ref="L27" si="31">L26/L$10</f>
        <v>-7.5640851539247503E-2</v>
      </c>
      <c r="M27" s="159"/>
      <c r="N27" s="158">
        <f t="shared" ref="N27:AO27" si="32">N26/N$10</f>
        <v>-9.4160793474817858E-2</v>
      </c>
      <c r="O27" s="158">
        <f t="shared" si="32"/>
        <v>-9.6964144347686868E-2</v>
      </c>
      <c r="P27" s="158">
        <f t="shared" si="32"/>
        <v>-9.0710844533365698E-2</v>
      </c>
      <c r="Q27" s="158">
        <f t="shared" si="32"/>
        <v>-8.91566368490634E-2</v>
      </c>
      <c r="R27" s="158">
        <f t="shared" si="32"/>
        <v>-8.9421681342907802E-2</v>
      </c>
      <c r="S27" s="158">
        <f t="shared" si="32"/>
        <v>-9.1418517411944372E-2</v>
      </c>
      <c r="T27" s="158">
        <f t="shared" si="32"/>
        <v>-9.3681967225659329E-2</v>
      </c>
      <c r="U27" s="158">
        <f t="shared" si="32"/>
        <v>-7.9089831061921051E-2</v>
      </c>
      <c r="V27" s="158">
        <f t="shared" si="32"/>
        <v>-6.6321130050735477E-2</v>
      </c>
      <c r="W27" s="158">
        <f t="shared" si="32"/>
        <v>-6.2522169882694961E-2</v>
      </c>
      <c r="X27" s="158">
        <f t="shared" si="32"/>
        <v>-6.8428184281842816E-2</v>
      </c>
      <c r="Y27" s="158">
        <f t="shared" si="32"/>
        <v>-7.2937295323473442E-2</v>
      </c>
      <c r="Z27" s="158">
        <f t="shared" si="32"/>
        <v>-7.1666699350891303E-2</v>
      </c>
      <c r="AA27" s="158">
        <f t="shared" si="32"/>
        <v>-8.2010785554910509E-2</v>
      </c>
      <c r="AB27" s="158">
        <f t="shared" si="32"/>
        <v>-8.2910252489210592E-2</v>
      </c>
      <c r="AC27" s="158">
        <f t="shared" si="32"/>
        <v>-8.0470605518963789E-2</v>
      </c>
      <c r="AD27" s="158">
        <f t="shared" si="32"/>
        <v>-7.7525781303762253E-2</v>
      </c>
      <c r="AE27" s="158">
        <f t="shared" si="32"/>
        <v>-7.6018455142342886E-2</v>
      </c>
      <c r="AF27" s="158">
        <f t="shared" si="32"/>
        <v>-7.9756285934952376E-2</v>
      </c>
      <c r="AG27" s="158">
        <f t="shared" si="32"/>
        <v>-9.5146947298434426E-2</v>
      </c>
      <c r="AH27" s="158">
        <f t="shared" si="32"/>
        <v>-8.1821791726348334E-2</v>
      </c>
      <c r="AI27" s="158">
        <f t="shared" si="32"/>
        <v>-8.9099163009497398E-2</v>
      </c>
      <c r="AJ27" s="158">
        <f t="shared" si="32"/>
        <v>-8.5798445120479017E-2</v>
      </c>
      <c r="AK27" s="158">
        <f t="shared" si="32"/>
        <v>-7.9122845725772842E-2</v>
      </c>
      <c r="AL27" s="158">
        <f t="shared" si="32"/>
        <v>-8.1821791726348334E-2</v>
      </c>
      <c r="AM27" s="158">
        <f t="shared" si="32"/>
        <v>-7.7150811795811236E-2</v>
      </c>
      <c r="AN27" s="158">
        <f t="shared" si="32"/>
        <v>-6.9113165368209051E-2</v>
      </c>
      <c r="AO27" s="158">
        <f t="shared" si="32"/>
        <v>-7.4654563986192177E-2</v>
      </c>
    </row>
    <row r="28" spans="1:44" x14ac:dyDescent="0.25">
      <c r="A28" s="113" t="s">
        <v>33</v>
      </c>
      <c r="D28" s="7">
        <f t="shared" ref="D28:F28" si="33">SUMIFS($N28:$AB28,$N$5:$AB$5,D$7)</f>
        <v>-595</v>
      </c>
      <c r="E28" s="7">
        <f t="shared" si="33"/>
        <v>-1267</v>
      </c>
      <c r="F28" s="7">
        <f t="shared" si="33"/>
        <v>56</v>
      </c>
      <c r="G28" s="7">
        <f>SUMIFS($N28:$AG28,$N$5:$AG$5,G$7)</f>
        <v>-512</v>
      </c>
      <c r="H28" s="7">
        <f>SUMIFS($N28:$AG28,$N$5:$AG$5,H$7)</f>
        <v>-653</v>
      </c>
      <c r="I28" s="7">
        <f>SUMIFS($N28:$AP28,$N$5:$AP$5,I$7)</f>
        <v>-112</v>
      </c>
      <c r="J28" s="7">
        <f>SUMIFS($N28:$AP28,$N$5:$AP$5,J$7)</f>
        <v>338</v>
      </c>
      <c r="K28" s="155"/>
      <c r="L28" s="51">
        <f>SUMIFS($N28:$AR28,$N$4:$AR$4,L$5)</f>
        <v>338</v>
      </c>
      <c r="M28" s="155"/>
      <c r="N28" s="52">
        <v>0</v>
      </c>
      <c r="O28" s="52">
        <v>-6</v>
      </c>
      <c r="P28" s="52">
        <v>-550</v>
      </c>
      <c r="Q28" s="52">
        <v>-39</v>
      </c>
      <c r="R28" s="52">
        <v>-169.5</v>
      </c>
      <c r="S28" s="52">
        <v>-899.5</v>
      </c>
      <c r="T28" s="52">
        <v>-67</v>
      </c>
      <c r="U28" s="52">
        <v>-131</v>
      </c>
      <c r="V28" s="52">
        <v>-205</v>
      </c>
      <c r="W28" s="52">
        <v>285</v>
      </c>
      <c r="X28" s="52">
        <v>-56</v>
      </c>
      <c r="Y28" s="52">
        <v>32</v>
      </c>
      <c r="Z28" s="52">
        <v>-181</v>
      </c>
      <c r="AA28" s="52">
        <v>86</v>
      </c>
      <c r="AB28" s="52">
        <v>-455</v>
      </c>
      <c r="AC28" s="52">
        <v>38</v>
      </c>
      <c r="AD28" s="52">
        <v>40</v>
      </c>
      <c r="AE28" s="52">
        <v>18</v>
      </c>
      <c r="AF28" s="52">
        <v>-509</v>
      </c>
      <c r="AG28" s="52">
        <v>-202</v>
      </c>
      <c r="AH28" s="52">
        <v>70</v>
      </c>
      <c r="AI28" s="52">
        <v>-204</v>
      </c>
      <c r="AJ28" s="52">
        <v>104</v>
      </c>
      <c r="AK28" s="52">
        <v>-82</v>
      </c>
      <c r="AL28" s="52">
        <v>70</v>
      </c>
      <c r="AM28" s="52">
        <v>118</v>
      </c>
      <c r="AN28" s="52">
        <v>58</v>
      </c>
      <c r="AO28" s="52">
        <v>92</v>
      </c>
    </row>
    <row r="29" spans="1:44" s="151" customFormat="1" x14ac:dyDescent="0.2">
      <c r="A29" s="152" t="s">
        <v>26</v>
      </c>
      <c r="D29" s="158">
        <f>D28/D$10</f>
        <v>-6.6200923697594177E-4</v>
      </c>
      <c r="E29" s="158">
        <f t="shared" ref="E29:J29" si="34">E28/E$10</f>
        <v>-1.230569004618276E-3</v>
      </c>
      <c r="F29" s="158">
        <f t="shared" si="34"/>
        <v>3.487284488932231E-5</v>
      </c>
      <c r="G29" s="158">
        <f t="shared" si="34"/>
        <v>-3.0355743223613922E-4</v>
      </c>
      <c r="H29" s="158">
        <f t="shared" si="34"/>
        <v>-4.0959827379104214E-4</v>
      </c>
      <c r="I29" s="158">
        <f t="shared" si="34"/>
        <v>-6.9311176860463599E-5</v>
      </c>
      <c r="J29" s="158">
        <f t="shared" si="34"/>
        <v>2.0043752309034337E-4</v>
      </c>
      <c r="K29" s="159"/>
      <c r="L29" s="158">
        <f t="shared" ref="L29" si="35">L28/L$10</f>
        <v>2.0043752309034337E-4</v>
      </c>
      <c r="M29" s="159"/>
      <c r="N29" s="158">
        <f t="shared" ref="N29:AO29" si="36">N28/N$10</f>
        <v>0</v>
      </c>
      <c r="O29" s="158">
        <f t="shared" si="36"/>
        <v>-2.6684931019453315E-5</v>
      </c>
      <c r="P29" s="158">
        <f t="shared" si="36"/>
        <v>-2.3020932305902147E-3</v>
      </c>
      <c r="Q29" s="158">
        <f t="shared" si="36"/>
        <v>-1.6740209123843207E-4</v>
      </c>
      <c r="R29" s="158">
        <f t="shared" si="36"/>
        <v>-7.1723869449863116E-4</v>
      </c>
      <c r="S29" s="158">
        <f t="shared" si="36"/>
        <v>-3.7326129535570824E-3</v>
      </c>
      <c r="T29" s="158">
        <f t="shared" si="36"/>
        <v>-2.5634845023970494E-4</v>
      </c>
      <c r="U29" s="158">
        <f t="shared" si="36"/>
        <v>-4.5027239761458746E-4</v>
      </c>
      <c r="V29" s="158">
        <f t="shared" si="36"/>
        <v>-5.7558239110963865E-4</v>
      </c>
      <c r="W29" s="158">
        <f t="shared" si="36"/>
        <v>7.0695569992335115E-4</v>
      </c>
      <c r="X29" s="158">
        <f t="shared" si="36"/>
        <v>-1.2948934950100354E-4</v>
      </c>
      <c r="Y29" s="158">
        <f t="shared" si="36"/>
        <v>7.728199232976226E-5</v>
      </c>
      <c r="Z29" s="158">
        <f t="shared" si="36"/>
        <v>-4.4368834938128765E-4</v>
      </c>
      <c r="AA29" s="158">
        <f t="shared" si="36"/>
        <v>2.0050966759693826E-4</v>
      </c>
      <c r="AB29" s="158">
        <f t="shared" si="36"/>
        <v>-1.0307993792548792E-3</v>
      </c>
      <c r="AC29" s="158">
        <f t="shared" si="36"/>
        <v>9.3043755050072226E-5</v>
      </c>
      <c r="AD29" s="158">
        <f t="shared" si="36"/>
        <v>9.8308117301245561E-5</v>
      </c>
      <c r="AE29" s="158">
        <f t="shared" si="36"/>
        <v>4.5630846452201688E-5</v>
      </c>
      <c r="AF29" s="158">
        <f t="shared" si="36"/>
        <v>-1.2479925463706465E-3</v>
      </c>
      <c r="AG29" s="158">
        <f t="shared" si="36"/>
        <v>-5.2462626871253599E-4</v>
      </c>
      <c r="AH29" s="158">
        <f t="shared" si="36"/>
        <v>1.654541242985927E-4</v>
      </c>
      <c r="AI29" s="158">
        <f t="shared" si="36"/>
        <v>-5.5026123922067899E-4</v>
      </c>
      <c r="AJ29" s="158">
        <f t="shared" si="36"/>
        <v>2.5109855618330194E-4</v>
      </c>
      <c r="AK29" s="158">
        <f t="shared" si="36"/>
        <v>-2.0102473584859406E-4</v>
      </c>
      <c r="AL29" s="158">
        <f t="shared" si="36"/>
        <v>1.654541242985927E-4</v>
      </c>
      <c r="AM29" s="158">
        <f t="shared" si="36"/>
        <v>2.8517983246893232E-4</v>
      </c>
      <c r="AN29" s="158">
        <f t="shared" si="36"/>
        <v>1.3380611493945274E-4</v>
      </c>
      <c r="AO29" s="158">
        <f t="shared" si="36"/>
        <v>2.211559726535832E-4</v>
      </c>
    </row>
    <row r="30" spans="1:44" x14ac:dyDescent="0.25">
      <c r="A30" s="113" t="s">
        <v>34</v>
      </c>
      <c r="D30" s="7">
        <f t="shared" ref="D30:F30" si="37">SUMIFS($N30:$AB30,$N$5:$AB$5,D$7)</f>
        <v>-61904</v>
      </c>
      <c r="E30" s="7">
        <f t="shared" si="37"/>
        <v>-70661</v>
      </c>
      <c r="F30" s="7">
        <f t="shared" si="37"/>
        <v>-81094</v>
      </c>
      <c r="G30" s="7">
        <f>SUMIFS($N30:$AG30,$N$5:$AG$5,G$7)</f>
        <v>-93969</v>
      </c>
      <c r="H30" s="7">
        <f>SUMIFS($N30:$AG30,$N$5:$AG$5,H$7)</f>
        <v>-108346</v>
      </c>
      <c r="I30" s="7">
        <f>SUMIFS($N30:$AP30,$N$5:$AP$5,I$7)</f>
        <v>-119610</v>
      </c>
      <c r="J30" s="7">
        <f>SUMIFS($N30:$AP30,$N$5:$AP$5,J$7)</f>
        <v>-117545</v>
      </c>
      <c r="K30" s="155"/>
      <c r="L30" s="51">
        <f>SUMIFS($N30:$AR30,$N$4:$AR$4,L$5)</f>
        <v>-117545</v>
      </c>
      <c r="M30" s="155"/>
      <c r="N30" s="52">
        <v>-14157</v>
      </c>
      <c r="O30" s="52">
        <v>-14300</v>
      </c>
      <c r="P30" s="52">
        <v>-13103</v>
      </c>
      <c r="Q30" s="52">
        <v>-20344</v>
      </c>
      <c r="R30" s="52">
        <v>-17087</v>
      </c>
      <c r="S30" s="52">
        <v>-15920</v>
      </c>
      <c r="T30" s="52">
        <v>-15943</v>
      </c>
      <c r="U30" s="52">
        <v>-21711</v>
      </c>
      <c r="V30" s="52">
        <v>-16977</v>
      </c>
      <c r="W30" s="52">
        <v>-19022</v>
      </c>
      <c r="X30" s="52">
        <v>-18482</v>
      </c>
      <c r="Y30" s="52">
        <v>-26613</v>
      </c>
      <c r="Z30" s="52">
        <v>-20561</v>
      </c>
      <c r="AA30" s="52">
        <v>-21178</v>
      </c>
      <c r="AB30" s="52">
        <v>-23339</v>
      </c>
      <c r="AC30" s="52">
        <v>-28891</v>
      </c>
      <c r="AD30" s="52">
        <v>-27608</v>
      </c>
      <c r="AE30" s="52">
        <v>-25852</v>
      </c>
      <c r="AF30" s="52">
        <v>-25308</v>
      </c>
      <c r="AG30" s="52">
        <v>-29578</v>
      </c>
      <c r="AH30" s="52">
        <v>-28909</v>
      </c>
      <c r="AI30" s="52">
        <v>-28022</v>
      </c>
      <c r="AJ30" s="52">
        <v>-29222</v>
      </c>
      <c r="AK30" s="52">
        <v>-33457</v>
      </c>
      <c r="AL30" s="52">
        <v>-28909</v>
      </c>
      <c r="AM30" s="52">
        <v>-28103</v>
      </c>
      <c r="AN30" s="52">
        <v>-27559</v>
      </c>
      <c r="AO30" s="52">
        <v>-32974</v>
      </c>
    </row>
    <row r="31" spans="1:44" s="151" customFormat="1" x14ac:dyDescent="0.2">
      <c r="A31" s="152" t="s">
        <v>26</v>
      </c>
      <c r="D31" s="158">
        <f>D30/D$10</f>
        <v>-6.8875663539090248E-2</v>
      </c>
      <c r="E31" s="158">
        <f t="shared" ref="E31:J31" si="38">E30/E$10</f>
        <v>-6.8629231598525645E-2</v>
      </c>
      <c r="F31" s="158">
        <f t="shared" si="38"/>
        <v>-5.0499615775976843E-2</v>
      </c>
      <c r="G31" s="158">
        <f t="shared" si="38"/>
        <v>-5.5712867870698762E-2</v>
      </c>
      <c r="H31" s="158">
        <f t="shared" si="38"/>
        <v>-6.7960696128888595E-2</v>
      </c>
      <c r="I31" s="158">
        <f t="shared" si="38"/>
        <v>-7.4020623788214751E-2</v>
      </c>
      <c r="J31" s="158">
        <f t="shared" si="38"/>
        <v>-6.9705410211995292E-2</v>
      </c>
      <c r="K31" s="159"/>
      <c r="L31" s="158">
        <f t="shared" ref="L31" si="39">L30/L$10</f>
        <v>-6.9705410211995292E-2</v>
      </c>
      <c r="M31" s="159"/>
      <c r="N31" s="158">
        <f t="shared" ref="N31:AO31" si="40">N30/N$10</f>
        <v>-7.0067508710801391E-2</v>
      </c>
      <c r="O31" s="158">
        <f t="shared" si="40"/>
        <v>-6.3599085596363736E-2</v>
      </c>
      <c r="P31" s="158">
        <f t="shared" si="40"/>
        <v>-5.4844232000770154E-2</v>
      </c>
      <c r="Q31" s="158">
        <f t="shared" si="40"/>
        <v>-8.7323798568068267E-2</v>
      </c>
      <c r="R31" s="158">
        <f t="shared" si="40"/>
        <v>-7.2303584500873805E-2</v>
      </c>
      <c r="S31" s="158">
        <f t="shared" si="40"/>
        <v>-6.606247717690801E-2</v>
      </c>
      <c r="T31" s="158">
        <f t="shared" si="40"/>
        <v>-6.0999452868233071E-2</v>
      </c>
      <c r="U31" s="158">
        <f t="shared" si="40"/>
        <v>-7.4624916218399298E-2</v>
      </c>
      <c r="V31" s="158">
        <f t="shared" si="40"/>
        <v>-4.7666645140821147E-2</v>
      </c>
      <c r="W31" s="158">
        <f t="shared" si="40"/>
        <v>-4.7184952013831528E-2</v>
      </c>
      <c r="X31" s="158">
        <f t="shared" si="40"/>
        <v>-4.2736109954956206E-2</v>
      </c>
      <c r="Y31" s="158">
        <f t="shared" si="40"/>
        <v>-6.4272051933498844E-2</v>
      </c>
      <c r="Z31" s="158">
        <f t="shared" si="40"/>
        <v>-5.0401525699605827E-2</v>
      </c>
      <c r="AA31" s="158">
        <f t="shared" si="40"/>
        <v>-4.9376671399627425E-2</v>
      </c>
      <c r="AB31" s="158">
        <f t="shared" si="40"/>
        <v>-5.2874344422922256E-2</v>
      </c>
      <c r="AC31" s="158">
        <f t="shared" si="40"/>
        <v>-7.0740187556622022E-2</v>
      </c>
      <c r="AD31" s="158">
        <f t="shared" si="40"/>
        <v>-6.7852262561319682E-2</v>
      </c>
      <c r="AE31" s="158">
        <f t="shared" si="40"/>
        <v>-6.5536035693462114E-2</v>
      </c>
      <c r="AF31" s="158">
        <f t="shared" si="40"/>
        <v>-6.2051464368464281E-2</v>
      </c>
      <c r="AG31" s="158">
        <f t="shared" si="40"/>
        <v>-7.6818790970194992E-2</v>
      </c>
      <c r="AH31" s="158">
        <f t="shared" si="40"/>
        <v>-6.8330189704971664E-2</v>
      </c>
      <c r="AI31" s="158">
        <f t="shared" si="40"/>
        <v>-7.5585394340401318E-2</v>
      </c>
      <c r="AJ31" s="158">
        <f t="shared" si="40"/>
        <v>-7.0553865469119709E-2</v>
      </c>
      <c r="AK31" s="158">
        <f t="shared" si="40"/>
        <v>-8.2020543747395258E-2</v>
      </c>
      <c r="AL31" s="158">
        <f t="shared" si="40"/>
        <v>-6.8330189704971664E-2</v>
      </c>
      <c r="AM31" s="158">
        <f t="shared" si="40"/>
        <v>-6.7918718914189866E-2</v>
      </c>
      <c r="AN31" s="158">
        <f t="shared" si="40"/>
        <v>-6.3578667614075476E-2</v>
      </c>
      <c r="AO31" s="158">
        <f t="shared" si="40"/>
        <v>-7.9265185242165789E-2</v>
      </c>
    </row>
    <row r="32" spans="1:44" x14ac:dyDescent="0.25">
      <c r="A32" s="113" t="s">
        <v>35</v>
      </c>
      <c r="D32" s="7">
        <f t="shared" ref="D32:F32" si="41">SUMIFS($N32:$AB32,$N$5:$AB$5,D$7)</f>
        <v>82492</v>
      </c>
      <c r="E32" s="7">
        <f t="shared" si="41"/>
        <v>12869</v>
      </c>
      <c r="F32" s="7">
        <f t="shared" si="41"/>
        <v>-5516</v>
      </c>
      <c r="G32" s="7">
        <f>SUMIFS($N32:$AG32,$N$5:$AG$5,G$7)</f>
        <v>15597</v>
      </c>
      <c r="H32" s="7">
        <f>SUMIFS($N32:$AG32,$N$5:$AG$5,H$7)</f>
        <v>120977</v>
      </c>
      <c r="I32" s="7">
        <f>SUMIFS($N32:$AP32,$N$5:$AP$5,I$7)</f>
        <v>-19873</v>
      </c>
      <c r="J32" s="7">
        <f>SUMIFS($N32:$AP32,$N$5:$AP$5,J$7)</f>
        <v>11911</v>
      </c>
      <c r="K32" s="155"/>
      <c r="L32" s="51">
        <f>SUMIFS($N32:$AR32,$N$4:$AR$4,L$5)</f>
        <v>11911</v>
      </c>
      <c r="M32" s="155"/>
      <c r="N32" s="52">
        <v>-107</v>
      </c>
      <c r="O32" s="52">
        <v>-763</v>
      </c>
      <c r="P32" s="52">
        <v>70603</v>
      </c>
      <c r="Q32" s="52">
        <v>12759</v>
      </c>
      <c r="R32" s="52">
        <v>254</v>
      </c>
      <c r="S32" s="52">
        <v>103</v>
      </c>
      <c r="T32" s="52">
        <v>9447</v>
      </c>
      <c r="U32" s="52">
        <v>3065</v>
      </c>
      <c r="V32" s="52">
        <v>617</v>
      </c>
      <c r="W32" s="52">
        <v>-1362</v>
      </c>
      <c r="X32" s="52">
        <v>-5147</v>
      </c>
      <c r="Y32" s="52">
        <v>376</v>
      </c>
      <c r="Z32" s="52">
        <v>5040</v>
      </c>
      <c r="AA32" s="52">
        <v>2304</v>
      </c>
      <c r="AB32" s="52">
        <v>8434</v>
      </c>
      <c r="AC32" s="52">
        <f>7350-7531</f>
        <v>-181</v>
      </c>
      <c r="AD32" s="52">
        <v>5083</v>
      </c>
      <c r="AE32" s="52">
        <v>147097</v>
      </c>
      <c r="AF32" s="52">
        <v>-1177</v>
      </c>
      <c r="AG32" s="52">
        <v>-30026</v>
      </c>
      <c r="AH32" s="52">
        <v>-65</v>
      </c>
      <c r="AI32" s="52">
        <v>1791</v>
      </c>
      <c r="AJ32" s="52">
        <v>361</v>
      </c>
      <c r="AK32" s="52">
        <v>-21960</v>
      </c>
      <c r="AL32" s="52">
        <v>-65</v>
      </c>
      <c r="AM32" s="52">
        <v>18316</v>
      </c>
      <c r="AN32" s="52">
        <v>-126</v>
      </c>
      <c r="AO32" s="52">
        <v>-6214</v>
      </c>
    </row>
    <row r="33" spans="1:43" s="151" customFormat="1" x14ac:dyDescent="0.2">
      <c r="A33" s="152" t="s">
        <v>26</v>
      </c>
      <c r="D33" s="158">
        <f>D32/D$10</f>
        <v>9.1782295759024191E-2</v>
      </c>
      <c r="E33" s="158">
        <f t="shared" ref="E33:J33" si="42">E32/E$10</f>
        <v>1.2498968050854454E-2</v>
      </c>
      <c r="F33" s="158">
        <f t="shared" si="42"/>
        <v>-3.4349752215982474E-3</v>
      </c>
      <c r="G33" s="158">
        <f t="shared" si="42"/>
        <v>9.2472368566153592E-3</v>
      </c>
      <c r="H33" s="158">
        <f t="shared" si="42"/>
        <v>7.5883568711208133E-2</v>
      </c>
      <c r="I33" s="158">
        <f t="shared" si="42"/>
        <v>-1.229840194417851E-2</v>
      </c>
      <c r="J33" s="158">
        <f t="shared" si="42"/>
        <v>7.0633471524528986E-3</v>
      </c>
      <c r="K33" s="159"/>
      <c r="L33" s="158">
        <f t="shared" ref="L33" si="43">L32/L$10</f>
        <v>7.0633471524528986E-3</v>
      </c>
      <c r="M33" s="159"/>
      <c r="N33" s="158">
        <f t="shared" ref="N33:AO33" si="44">N32/N$10</f>
        <v>-5.2957713018688627E-4</v>
      </c>
      <c r="O33" s="158">
        <f t="shared" si="44"/>
        <v>-3.3934337279738131E-3</v>
      </c>
      <c r="P33" s="158">
        <f t="shared" si="44"/>
        <v>0.29551761519883807</v>
      </c>
      <c r="Q33" s="158">
        <f t="shared" si="44"/>
        <v>5.4766238002850125E-2</v>
      </c>
      <c r="R33" s="158">
        <f t="shared" si="44"/>
        <v>1.0748001675672703E-3</v>
      </c>
      <c r="S33" s="158">
        <f t="shared" si="44"/>
        <v>4.2741426816718121E-4</v>
      </c>
      <c r="T33" s="158">
        <f t="shared" si="44"/>
        <v>3.6145131483798394E-2</v>
      </c>
      <c r="U33" s="158">
        <f t="shared" si="44"/>
        <v>1.0534999226631378E-2</v>
      </c>
      <c r="V33" s="158">
        <f t="shared" si="44"/>
        <v>1.7323626112909611E-3</v>
      </c>
      <c r="W33" s="158">
        <f t="shared" si="44"/>
        <v>-3.378504081738962E-3</v>
      </c>
      <c r="X33" s="158">
        <f t="shared" si="44"/>
        <v>-1.1901458605029737E-2</v>
      </c>
      <c r="Y33" s="158">
        <f t="shared" si="44"/>
        <v>9.0806340987470652E-4</v>
      </c>
      <c r="Z33" s="158">
        <f t="shared" si="44"/>
        <v>1.2354636910948562E-2</v>
      </c>
      <c r="AA33" s="158">
        <f t="shared" si="44"/>
        <v>5.3717938853877411E-3</v>
      </c>
      <c r="AB33" s="158">
        <f t="shared" si="44"/>
        <v>1.9107169153045389E-2</v>
      </c>
      <c r="AC33" s="158">
        <f t="shared" si="44"/>
        <v>-4.4318209642271245E-4</v>
      </c>
      <c r="AD33" s="158">
        <f t="shared" si="44"/>
        <v>1.2492504006055781E-2</v>
      </c>
      <c r="AE33" s="158">
        <f t="shared" si="44"/>
        <v>0.37289781225441732</v>
      </c>
      <c r="AF33" s="158">
        <f t="shared" si="44"/>
        <v>-2.8858295227470548E-3</v>
      </c>
      <c r="AG33" s="158">
        <f t="shared" si="44"/>
        <v>-7.7982318536448533E-2</v>
      </c>
      <c r="AH33" s="158">
        <f t="shared" si="44"/>
        <v>-1.5363597256297894E-4</v>
      </c>
      <c r="AI33" s="158">
        <f t="shared" si="44"/>
        <v>4.8309699972756675E-3</v>
      </c>
      <c r="AJ33" s="158">
        <f t="shared" si="44"/>
        <v>8.716017190593462E-4</v>
      </c>
      <c r="AK33" s="158">
        <f t="shared" si="44"/>
        <v>-5.3835404868721043E-2</v>
      </c>
      <c r="AL33" s="158">
        <f t="shared" si="44"/>
        <v>-1.5363597256297894E-4</v>
      </c>
      <c r="AM33" s="158">
        <f t="shared" si="44"/>
        <v>4.4265710266957324E-2</v>
      </c>
      <c r="AN33" s="158">
        <f t="shared" si="44"/>
        <v>-2.9068224969605247E-4</v>
      </c>
      <c r="AO33" s="158">
        <f t="shared" si="44"/>
        <v>-1.4937643631188761E-2</v>
      </c>
    </row>
    <row r="34" spans="1:43" x14ac:dyDescent="0.25">
      <c r="A34" s="113" t="s">
        <v>36</v>
      </c>
      <c r="D34" s="7">
        <f t="shared" ref="D34:F34" si="45">SUMIFS($N34:$AB34,$N$5:$AB$5,D$7)</f>
        <v>0</v>
      </c>
      <c r="E34" s="7">
        <f t="shared" si="45"/>
        <v>-10085</v>
      </c>
      <c r="F34" s="7">
        <f t="shared" si="45"/>
        <v>-1026</v>
      </c>
      <c r="G34" s="7">
        <f>SUMIFS($N34:$AG34,$N$5:$AG$5,G$7)</f>
        <v>-15452</v>
      </c>
      <c r="H34" s="7">
        <f>SUMIFS($N34:$AG34,$N$5:$AG$5,H$7)</f>
        <v>-16468</v>
      </c>
      <c r="I34" s="7">
        <f>SUMIFS($N34:$AP34,$N$5:$AP$5,I$7)</f>
        <v>-19855</v>
      </c>
      <c r="J34" s="7">
        <f>SUMIFS($N34:$AP34,$N$5:$AP$5,J$7)</f>
        <v>-19586</v>
      </c>
      <c r="K34" s="155"/>
      <c r="L34" s="51">
        <f>SUMIFS($N34:$AR34,$N$4:$AR$4,L$5)</f>
        <v>-19586</v>
      </c>
      <c r="M34" s="155"/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-3129</v>
      </c>
      <c r="U34" s="52">
        <v>-6956</v>
      </c>
      <c r="V34" s="52">
        <v>0</v>
      </c>
      <c r="W34" s="52">
        <v>0</v>
      </c>
      <c r="X34" s="52">
        <v>0</v>
      </c>
      <c r="Y34" s="52">
        <v>-1026</v>
      </c>
      <c r="Z34" s="52">
        <v>0</v>
      </c>
      <c r="AA34" s="52">
        <v>-11215</v>
      </c>
      <c r="AB34" s="52">
        <v>-1912</v>
      </c>
      <c r="AC34" s="52">
        <v>-2325</v>
      </c>
      <c r="AD34" s="52">
        <v>-4118</v>
      </c>
      <c r="AE34" s="52">
        <v>-4118</v>
      </c>
      <c r="AF34" s="52">
        <v>-4118</v>
      </c>
      <c r="AG34" s="52">
        <v>-4114</v>
      </c>
      <c r="AH34" s="52">
        <v>-4619</v>
      </c>
      <c r="AI34" s="52">
        <v>-4287</v>
      </c>
      <c r="AJ34" s="52">
        <v>-4287</v>
      </c>
      <c r="AK34" s="52">
        <v>-6662</v>
      </c>
      <c r="AL34" s="52">
        <v>-4619</v>
      </c>
      <c r="AM34" s="52">
        <v>-4619</v>
      </c>
      <c r="AN34" s="52">
        <v>-4619</v>
      </c>
      <c r="AO34" s="52">
        <v>-5729</v>
      </c>
    </row>
    <row r="35" spans="1:43" s="151" customFormat="1" x14ac:dyDescent="0.2">
      <c r="A35" s="152" t="s">
        <v>26</v>
      </c>
      <c r="D35" s="158">
        <f>D34/D$10</f>
        <v>0</v>
      </c>
      <c r="E35" s="158">
        <f t="shared" ref="E35:J35" si="46">E34/E$10</f>
        <v>-9.7950184779599936E-3</v>
      </c>
      <c r="F35" s="158">
        <f t="shared" si="46"/>
        <v>-6.3892033672222656E-4</v>
      </c>
      <c r="G35" s="158">
        <f t="shared" si="46"/>
        <v>-9.1612684431891071E-3</v>
      </c>
      <c r="H35" s="158">
        <f t="shared" si="46"/>
        <v>-1.0329654475943159E-2</v>
      </c>
      <c r="I35" s="158">
        <f t="shared" si="46"/>
        <v>-1.2287262647897364E-2</v>
      </c>
      <c r="J35" s="158">
        <f t="shared" si="46"/>
        <v>-1.161470215161972E-2</v>
      </c>
      <c r="K35" s="159"/>
      <c r="L35" s="158">
        <f t="shared" ref="L35" si="47">L34/L$10</f>
        <v>-1.161470215161972E-2</v>
      </c>
      <c r="M35" s="159"/>
      <c r="N35" s="158">
        <f t="shared" ref="N35:AO35" si="48">N34/N$10</f>
        <v>0</v>
      </c>
      <c r="O35" s="158">
        <f t="shared" si="48"/>
        <v>0</v>
      </c>
      <c r="P35" s="158">
        <f t="shared" si="48"/>
        <v>0</v>
      </c>
      <c r="Q35" s="158">
        <f t="shared" si="48"/>
        <v>0</v>
      </c>
      <c r="R35" s="158">
        <f t="shared" si="48"/>
        <v>0</v>
      </c>
      <c r="S35" s="158">
        <f t="shared" si="48"/>
        <v>0</v>
      </c>
      <c r="T35" s="158">
        <f t="shared" si="48"/>
        <v>-1.1971855235821444E-2</v>
      </c>
      <c r="U35" s="158">
        <f t="shared" si="48"/>
        <v>-2.3909120593947102E-2</v>
      </c>
      <c r="V35" s="158">
        <f t="shared" si="48"/>
        <v>0</v>
      </c>
      <c r="W35" s="158">
        <f t="shared" si="48"/>
        <v>0</v>
      </c>
      <c r="X35" s="158">
        <f t="shared" si="48"/>
        <v>0</v>
      </c>
      <c r="Y35" s="158">
        <f t="shared" si="48"/>
        <v>-2.4778538790730027E-3</v>
      </c>
      <c r="Z35" s="158">
        <f t="shared" si="48"/>
        <v>0</v>
      </c>
      <c r="AA35" s="158">
        <f t="shared" si="48"/>
        <v>-2.6147859559298402E-2</v>
      </c>
      <c r="AB35" s="158">
        <f t="shared" si="48"/>
        <v>-4.331622886011713E-3</v>
      </c>
      <c r="AC35" s="158">
        <f t="shared" si="48"/>
        <v>-5.6928086971425769E-3</v>
      </c>
      <c r="AD35" s="158">
        <f t="shared" si="48"/>
        <v>-1.012082067616323E-2</v>
      </c>
      <c r="AE35" s="158">
        <f t="shared" si="48"/>
        <v>-1.0439323649453698E-2</v>
      </c>
      <c r="AF35" s="158">
        <f t="shared" si="48"/>
        <v>-1.0096725551973128E-2</v>
      </c>
      <c r="AG35" s="158">
        <f t="shared" si="48"/>
        <v>-1.0684715195462243E-2</v>
      </c>
      <c r="AH35" s="158">
        <f t="shared" si="48"/>
        <v>-1.0917608573359995E-2</v>
      </c>
      <c r="AI35" s="158">
        <f t="shared" si="48"/>
        <v>-1.1563578100681622E-2</v>
      </c>
      <c r="AJ35" s="158">
        <f t="shared" si="48"/>
        <v>-1.0350572214978995E-2</v>
      </c>
      <c r="AK35" s="158">
        <f t="shared" si="48"/>
        <v>-1.6332034027113824E-2</v>
      </c>
      <c r="AL35" s="158">
        <f t="shared" si="48"/>
        <v>-1.0917608573359995E-2</v>
      </c>
      <c r="AM35" s="158">
        <f t="shared" si="48"/>
        <v>-1.1163098696389817E-2</v>
      </c>
      <c r="AN35" s="158">
        <f t="shared" si="48"/>
        <v>-1.0656042153540209E-2</v>
      </c>
      <c r="AO35" s="158">
        <f t="shared" si="48"/>
        <v>-1.3771767036221502E-2</v>
      </c>
    </row>
    <row r="36" spans="1:43" x14ac:dyDescent="0.2">
      <c r="A36" s="50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</row>
    <row r="37" spans="1:43" ht="15.75" customHeight="1" x14ac:dyDescent="0.2">
      <c r="A37" s="153" t="s">
        <v>37</v>
      </c>
      <c r="B37" s="49"/>
      <c r="C37" s="49"/>
      <c r="D37" s="126">
        <f t="shared" ref="D37:J37" si="49">D21+D24</f>
        <v>205122</v>
      </c>
      <c r="E37" s="126">
        <f t="shared" si="49"/>
        <v>165513.20000000001</v>
      </c>
      <c r="F37" s="126">
        <f t="shared" si="49"/>
        <v>435824</v>
      </c>
      <c r="G37" s="126">
        <f t="shared" si="49"/>
        <v>579863</v>
      </c>
      <c r="H37" s="126">
        <f t="shared" si="49"/>
        <v>551413</v>
      </c>
      <c r="I37" s="126">
        <f t="shared" si="49"/>
        <v>347780</v>
      </c>
      <c r="J37" s="126">
        <f t="shared" si="49"/>
        <v>447806</v>
      </c>
      <c r="K37" s="64"/>
      <c r="L37" s="126">
        <f>L21+L24</f>
        <v>447806</v>
      </c>
      <c r="M37" s="64"/>
      <c r="N37" s="126">
        <f t="shared" ref="N37:AM37" si="50">N21+N24</f>
        <v>34093</v>
      </c>
      <c r="O37" s="126">
        <f t="shared" si="50"/>
        <v>25838</v>
      </c>
      <c r="P37" s="126">
        <f t="shared" si="50"/>
        <v>108040</v>
      </c>
      <c r="Q37" s="126">
        <f t="shared" si="50"/>
        <v>37151</v>
      </c>
      <c r="R37" s="126">
        <f t="shared" si="50"/>
        <v>39186.1</v>
      </c>
      <c r="S37" s="126">
        <f t="shared" si="50"/>
        <v>40177.1</v>
      </c>
      <c r="T37" s="126">
        <f t="shared" si="50"/>
        <v>43636</v>
      </c>
      <c r="U37" s="126">
        <f t="shared" si="50"/>
        <v>42514</v>
      </c>
      <c r="V37" s="126">
        <f t="shared" si="50"/>
        <v>90172</v>
      </c>
      <c r="W37" s="126">
        <f t="shared" si="50"/>
        <v>108392</v>
      </c>
      <c r="X37" s="126">
        <f t="shared" si="50"/>
        <v>126619</v>
      </c>
      <c r="Y37" s="126">
        <f t="shared" si="50"/>
        <v>110641</v>
      </c>
      <c r="Z37" s="126">
        <f t="shared" si="50"/>
        <v>156008</v>
      </c>
      <c r="AA37" s="126">
        <f t="shared" si="50"/>
        <v>141984</v>
      </c>
      <c r="AB37" s="126">
        <f t="shared" si="50"/>
        <v>153322</v>
      </c>
      <c r="AC37" s="126">
        <f t="shared" si="50"/>
        <v>128549</v>
      </c>
      <c r="AD37" s="126">
        <f t="shared" si="50"/>
        <v>136545</v>
      </c>
      <c r="AE37" s="126">
        <f t="shared" si="50"/>
        <v>266928</v>
      </c>
      <c r="AF37" s="126">
        <f t="shared" si="50"/>
        <v>126904</v>
      </c>
      <c r="AG37" s="126">
        <f t="shared" si="50"/>
        <v>21036</v>
      </c>
      <c r="AH37" s="126">
        <f t="shared" si="50"/>
        <v>105775</v>
      </c>
      <c r="AI37" s="126">
        <f t="shared" si="50"/>
        <v>92278</v>
      </c>
      <c r="AJ37" s="126">
        <f t="shared" si="50"/>
        <v>86747</v>
      </c>
      <c r="AK37" s="126">
        <f t="shared" si="50"/>
        <v>62980</v>
      </c>
      <c r="AL37" s="126">
        <f t="shared" si="50"/>
        <v>105775</v>
      </c>
      <c r="AM37" s="126">
        <f t="shared" si="50"/>
        <v>169750</v>
      </c>
      <c r="AN37" s="126">
        <f t="shared" ref="AN37:AO37" si="51">AN21+AN24</f>
        <v>95161</v>
      </c>
      <c r="AO37" s="126">
        <f t="shared" si="51"/>
        <v>77120</v>
      </c>
      <c r="AQ37" s="51"/>
    </row>
    <row r="38" spans="1:43" s="151" customFormat="1" x14ac:dyDescent="0.2">
      <c r="A38" s="154" t="s">
        <v>26</v>
      </c>
      <c r="D38" s="160">
        <f>D37/D$10</f>
        <v>0.22822295581004898</v>
      </c>
      <c r="E38" s="160">
        <f t="shared" ref="E38:J38" si="52">E37/E$10</f>
        <v>0.16075407559209601</v>
      </c>
      <c r="F38" s="160">
        <f t="shared" si="52"/>
        <v>0.27140040626864298</v>
      </c>
      <c r="G38" s="160">
        <f t="shared" si="52"/>
        <v>0.34379242837645391</v>
      </c>
      <c r="H38" s="160">
        <f t="shared" si="52"/>
        <v>0.34587720206116374</v>
      </c>
      <c r="I38" s="160">
        <f t="shared" si="52"/>
        <v>0.21522358114760742</v>
      </c>
      <c r="J38" s="160">
        <f t="shared" si="52"/>
        <v>0.26555362563607782</v>
      </c>
      <c r="K38" s="159"/>
      <c r="L38" s="160">
        <f t="shared" ref="L38" si="53">L37/L$10</f>
        <v>0.26555362563607782</v>
      </c>
      <c r="M38" s="159"/>
      <c r="N38" s="160">
        <f t="shared" ref="N38:AM38" si="54">N37/N$10</f>
        <v>0.16873713177066835</v>
      </c>
      <c r="O38" s="160">
        <f t="shared" si="54"/>
        <v>0.11491420794677246</v>
      </c>
      <c r="P38" s="160">
        <f t="shared" si="54"/>
        <v>0.45221482296903059</v>
      </c>
      <c r="Q38" s="160">
        <f t="shared" si="54"/>
        <v>0.15946551516920487</v>
      </c>
      <c r="R38" s="160">
        <f t="shared" si="54"/>
        <v>0.16581585372562127</v>
      </c>
      <c r="S38" s="160">
        <f t="shared" si="54"/>
        <v>0.16672102712213258</v>
      </c>
      <c r="T38" s="160">
        <f t="shared" si="54"/>
        <v>0.16695553693522036</v>
      </c>
      <c r="U38" s="160">
        <f t="shared" si="54"/>
        <v>0.14612886039837078</v>
      </c>
      <c r="V38" s="160">
        <f t="shared" si="54"/>
        <v>0.25317763595677234</v>
      </c>
      <c r="W38" s="160">
        <f t="shared" si="54"/>
        <v>0.26887137623190133</v>
      </c>
      <c r="X38" s="160">
        <f t="shared" si="54"/>
        <v>0.29278235615120657</v>
      </c>
      <c r="Y38" s="160">
        <f t="shared" si="54"/>
        <v>0.26720490354241333</v>
      </c>
      <c r="Z38" s="160">
        <f t="shared" si="54"/>
        <v>0.38242503873080619</v>
      </c>
      <c r="AA38" s="160">
        <f t="shared" si="54"/>
        <v>0.33103679818701959</v>
      </c>
      <c r="AB38" s="160">
        <f t="shared" si="54"/>
        <v>0.34734993939805847</v>
      </c>
      <c r="AC38" s="160">
        <f t="shared" si="54"/>
        <v>0.31475478073504565</v>
      </c>
      <c r="AD38" s="160">
        <f t="shared" si="54"/>
        <v>0.33558704692246438</v>
      </c>
      <c r="AE38" s="160">
        <f t="shared" si="54"/>
        <v>0.67667503232184956</v>
      </c>
      <c r="AF38" s="160">
        <f t="shared" si="54"/>
        <v>0.31114979588334091</v>
      </c>
      <c r="AG38" s="160">
        <f t="shared" si="54"/>
        <v>5.4633852418994586E-2</v>
      </c>
      <c r="AH38" s="160">
        <f t="shared" si="54"/>
        <v>0.25001299996690918</v>
      </c>
      <c r="AI38" s="160">
        <f t="shared" si="54"/>
        <v>0.24890689525885207</v>
      </c>
      <c r="AJ38" s="160">
        <f t="shared" si="54"/>
        <v>0.2094427543580086</v>
      </c>
      <c r="AK38" s="160">
        <f t="shared" si="54"/>
        <v>0.15439680321639576</v>
      </c>
      <c r="AL38" s="160">
        <f t="shared" si="54"/>
        <v>0.25001299996690918</v>
      </c>
      <c r="AM38" s="160">
        <f t="shared" si="54"/>
        <v>0.41024810645424797</v>
      </c>
      <c r="AN38" s="160">
        <f t="shared" ref="AN38:AO38" si="55">AN37/AN$10</f>
        <v>0.21953661558195278</v>
      </c>
      <c r="AO38" s="160">
        <f t="shared" si="55"/>
        <v>0.1853863979461341</v>
      </c>
    </row>
    <row r="39" spans="1:43" x14ac:dyDescent="0.2">
      <c r="A39" s="57"/>
      <c r="B39" s="58"/>
      <c r="C39" s="58"/>
      <c r="D39" s="4"/>
      <c r="E39" s="4"/>
      <c r="F39" s="4"/>
      <c r="G39" s="4"/>
      <c r="H39" s="4"/>
      <c r="I39" s="4"/>
      <c r="J39" s="4"/>
      <c r="L39" s="4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</row>
    <row r="40" spans="1:43" x14ac:dyDescent="0.2">
      <c r="A40" s="55" t="s">
        <v>38</v>
      </c>
      <c r="D40" s="64">
        <f>SUM(D42,D44)</f>
        <v>-234647</v>
      </c>
      <c r="E40" s="64">
        <f t="shared" ref="E40:AM40" si="56">SUM(E42,E44)</f>
        <v>-55601</v>
      </c>
      <c r="F40" s="64">
        <f t="shared" si="56"/>
        <v>-45611</v>
      </c>
      <c r="G40" s="64">
        <f t="shared" si="56"/>
        <v>-61503</v>
      </c>
      <c r="H40" s="64">
        <f t="shared" si="56"/>
        <v>-45574</v>
      </c>
      <c r="I40" s="64">
        <f t="shared" si="56"/>
        <v>-111880</v>
      </c>
      <c r="J40" s="64">
        <f t="shared" si="56"/>
        <v>-130859</v>
      </c>
      <c r="K40" s="64"/>
      <c r="L40" s="64">
        <f t="shared" si="56"/>
        <v>-130859</v>
      </c>
      <c r="M40" s="64"/>
      <c r="N40" s="64">
        <f t="shared" si="56"/>
        <v>-31972</v>
      </c>
      <c r="O40" s="64">
        <f t="shared" si="56"/>
        <v>-28062</v>
      </c>
      <c r="P40" s="64">
        <f t="shared" si="56"/>
        <v>-89434</v>
      </c>
      <c r="Q40" s="64">
        <f t="shared" si="56"/>
        <v>-85179</v>
      </c>
      <c r="R40" s="64">
        <f t="shared" si="56"/>
        <v>-19586</v>
      </c>
      <c r="S40" s="64">
        <f t="shared" si="56"/>
        <v>-17207</v>
      </c>
      <c r="T40" s="64">
        <f t="shared" si="56"/>
        <v>-11303</v>
      </c>
      <c r="U40" s="64">
        <f t="shared" si="56"/>
        <v>-7505</v>
      </c>
      <c r="V40" s="64">
        <f t="shared" si="56"/>
        <v>-7003</v>
      </c>
      <c r="W40" s="64">
        <f t="shared" si="56"/>
        <v>-16549</v>
      </c>
      <c r="X40" s="64">
        <f t="shared" si="56"/>
        <v>-8828</v>
      </c>
      <c r="Y40" s="64">
        <f t="shared" si="56"/>
        <v>-13231</v>
      </c>
      <c r="Z40" s="64">
        <f t="shared" si="56"/>
        <v>-16420</v>
      </c>
      <c r="AA40" s="64">
        <f t="shared" si="56"/>
        <v>-15853</v>
      </c>
      <c r="AB40" s="64">
        <f t="shared" si="56"/>
        <v>-15055</v>
      </c>
      <c r="AC40" s="64">
        <f t="shared" si="56"/>
        <v>-14175</v>
      </c>
      <c r="AD40" s="64">
        <f t="shared" si="56"/>
        <v>-19178</v>
      </c>
      <c r="AE40" s="64">
        <f t="shared" si="56"/>
        <v>36986</v>
      </c>
      <c r="AF40" s="64">
        <f t="shared" si="56"/>
        <v>-35916</v>
      </c>
      <c r="AG40" s="64">
        <f t="shared" si="56"/>
        <v>-27466</v>
      </c>
      <c r="AH40" s="64">
        <f t="shared" si="56"/>
        <v>-30169</v>
      </c>
      <c r="AI40" s="64">
        <f t="shared" si="56"/>
        <v>-29459</v>
      </c>
      <c r="AJ40" s="64">
        <f t="shared" si="56"/>
        <v>-28085</v>
      </c>
      <c r="AK40" s="64">
        <f t="shared" si="56"/>
        <v>-24167</v>
      </c>
      <c r="AL40" s="64">
        <f t="shared" si="56"/>
        <v>-30169</v>
      </c>
      <c r="AM40" s="64">
        <f t="shared" si="56"/>
        <v>-37398</v>
      </c>
      <c r="AN40" s="64">
        <f t="shared" ref="AN40:AO40" si="57">SUM(AN42,AN44)</f>
        <v>-33776</v>
      </c>
      <c r="AO40" s="64">
        <f t="shared" si="57"/>
        <v>-29516</v>
      </c>
    </row>
    <row r="41" spans="1:43" s="151" customFormat="1" x14ac:dyDescent="0.2">
      <c r="A41" s="152" t="s">
        <v>26</v>
      </c>
      <c r="D41" s="158">
        <f>D40/D$10</f>
        <v>-0.26107307803141816</v>
      </c>
      <c r="E41" s="158">
        <f t="shared" ref="E41:J41" si="58">E40/E$10</f>
        <v>-5.4002263003773289E-2</v>
      </c>
      <c r="F41" s="158">
        <f t="shared" si="58"/>
        <v>-2.8403309432979997E-2</v>
      </c>
      <c r="G41" s="158">
        <f t="shared" si="58"/>
        <v>-3.6464243661756386E-2</v>
      </c>
      <c r="H41" s="158">
        <f t="shared" si="58"/>
        <v>-2.8586572327339899E-2</v>
      </c>
      <c r="I41" s="158">
        <f t="shared" si="58"/>
        <v>-6.9236914885255962E-2</v>
      </c>
      <c r="J41" s="158">
        <f t="shared" si="58"/>
        <v>-7.7600750988400122E-2</v>
      </c>
      <c r="K41" s="159"/>
      <c r="L41" s="158">
        <f t="shared" ref="L41" si="59">L40/L$10</f>
        <v>-7.7600750988400122E-2</v>
      </c>
      <c r="M41" s="159"/>
      <c r="N41" s="158">
        <f t="shared" ref="N41:AM41" si="60">N40/N$10</f>
        <v>-0.1582396262274311</v>
      </c>
      <c r="O41" s="158">
        <f t="shared" si="60"/>
        <v>-0.12480542237798316</v>
      </c>
      <c r="P41" s="158">
        <f t="shared" si="60"/>
        <v>-0.37433710179019142</v>
      </c>
      <c r="Q41" s="158">
        <f t="shared" si="60"/>
        <v>-0.36561904434867709</v>
      </c>
      <c r="R41" s="158">
        <f t="shared" si="60"/>
        <v>-8.287809481091557E-2</v>
      </c>
      <c r="S41" s="158">
        <f t="shared" si="60"/>
        <v>-7.140308070245327E-2</v>
      </c>
      <c r="T41" s="158">
        <f t="shared" si="60"/>
        <v>-4.3246366165065449E-2</v>
      </c>
      <c r="U41" s="158">
        <f t="shared" si="60"/>
        <v>-2.5796140031278465E-2</v>
      </c>
      <c r="V41" s="158">
        <f t="shared" si="60"/>
        <v>-1.9662456024101459E-2</v>
      </c>
      <c r="W41" s="158">
        <f t="shared" si="60"/>
        <v>-4.1050560975549252E-2</v>
      </c>
      <c r="X41" s="158">
        <f t="shared" si="60"/>
        <v>-2.0413071024908202E-2</v>
      </c>
      <c r="Y41" s="158">
        <f t="shared" si="60"/>
        <v>-3.1953688766096389E-2</v>
      </c>
      <c r="Z41" s="158">
        <f t="shared" si="60"/>
        <v>-4.025062263447924E-2</v>
      </c>
      <c r="AA41" s="158">
        <f t="shared" si="60"/>
        <v>-3.6961392562956538E-2</v>
      </c>
      <c r="AB41" s="158">
        <f t="shared" si="60"/>
        <v>-3.4106999241059796E-2</v>
      </c>
      <c r="AC41" s="158">
        <f t="shared" si="60"/>
        <v>-3.4707769153546682E-2</v>
      </c>
      <c r="AD41" s="158">
        <f t="shared" si="60"/>
        <v>-4.7133826840082188E-2</v>
      </c>
      <c r="AE41" s="158">
        <f t="shared" si="60"/>
        <v>9.3761249271173977E-2</v>
      </c>
      <c r="AF41" s="158">
        <f t="shared" si="60"/>
        <v>-8.8060707849603417E-2</v>
      </c>
      <c r="AG41" s="158">
        <f t="shared" si="60"/>
        <v>-7.1333589586428284E-2</v>
      </c>
      <c r="AH41" s="158">
        <f t="shared" si="60"/>
        <v>-7.1308363942346326E-2</v>
      </c>
      <c r="AI41" s="158">
        <f t="shared" si="60"/>
        <v>-7.9461499246088155E-2</v>
      </c>
      <c r="AJ41" s="158">
        <f t="shared" si="60"/>
        <v>-6.780868221546188E-2</v>
      </c>
      <c r="AK41" s="158">
        <f t="shared" si="60"/>
        <v>-5.9245912088450883E-2</v>
      </c>
      <c r="AL41" s="158">
        <f t="shared" si="60"/>
        <v>-7.1308363942346326E-2</v>
      </c>
      <c r="AM41" s="158">
        <f t="shared" si="60"/>
        <v>-9.0382672666721453E-2</v>
      </c>
      <c r="AN41" s="158">
        <f t="shared" ref="AN41:AO41" si="61">AN40/AN$10</f>
        <v>-7.7921298934395783E-2</v>
      </c>
      <c r="AO41" s="158">
        <f t="shared" si="61"/>
        <v>-7.0952605313512634E-2</v>
      </c>
    </row>
    <row r="42" spans="1:43" x14ac:dyDescent="0.25">
      <c r="A42" s="113" t="s">
        <v>39</v>
      </c>
      <c r="D42" s="7">
        <f t="shared" ref="D42:F42" si="62">SUMIFS($N42:$AB42,$N$5:$AB$5,D$7)</f>
        <v>77285</v>
      </c>
      <c r="E42" s="7">
        <f t="shared" si="62"/>
        <v>28253</v>
      </c>
      <c r="F42" s="7">
        <f t="shared" si="62"/>
        <v>53261</v>
      </c>
      <c r="G42" s="7">
        <f>SUMIFS($N42:$AG42,$N$5:$AG$5,G$7)</f>
        <v>102825</v>
      </c>
      <c r="H42" s="7">
        <f>SUMIFS($N42:$AG42,$N$5:$AG$5,H$7)</f>
        <v>193113</v>
      </c>
      <c r="I42" s="7">
        <f>SUMIFS($N42:$AP42,$N$5:$AP$5,I$7)</f>
        <v>105026</v>
      </c>
      <c r="J42" s="7">
        <f>SUMIFS($N42:$AP42,$N$5:$AP$5,J$7)</f>
        <v>126695</v>
      </c>
      <c r="K42" s="155"/>
      <c r="L42" s="51">
        <f>SUMIFS($N42:$AR42,$N$4:$AR$4,L$5)</f>
        <v>126695</v>
      </c>
      <c r="M42" s="155"/>
      <c r="N42" s="52">
        <v>6512</v>
      </c>
      <c r="O42" s="52">
        <v>2982</v>
      </c>
      <c r="P42" s="52">
        <v>61814</v>
      </c>
      <c r="Q42" s="52">
        <v>5977</v>
      </c>
      <c r="R42" s="52">
        <v>3029</v>
      </c>
      <c r="S42" s="52">
        <v>6610</v>
      </c>
      <c r="T42" s="52">
        <v>13877</v>
      </c>
      <c r="U42" s="52">
        <v>4737</v>
      </c>
      <c r="V42" s="52">
        <v>12889</v>
      </c>
      <c r="W42" s="52">
        <v>3639</v>
      </c>
      <c r="X42" s="52">
        <v>23794</v>
      </c>
      <c r="Y42" s="52">
        <v>12939</v>
      </c>
      <c r="Z42" s="52">
        <v>19789</v>
      </c>
      <c r="AA42" s="52">
        <v>19042</v>
      </c>
      <c r="AB42" s="52">
        <v>19978</v>
      </c>
      <c r="AC42" s="52">
        <v>44016</v>
      </c>
      <c r="AD42" s="52">
        <v>41159</v>
      </c>
      <c r="AE42" s="52">
        <v>99172</v>
      </c>
      <c r="AF42" s="52">
        <v>27170</v>
      </c>
      <c r="AG42" s="52">
        <v>25612</v>
      </c>
      <c r="AH42" s="52">
        <v>26329</v>
      </c>
      <c r="AI42" s="52">
        <v>22162</v>
      </c>
      <c r="AJ42" s="52">
        <v>22565</v>
      </c>
      <c r="AK42" s="52">
        <v>33970</v>
      </c>
      <c r="AL42" s="52">
        <v>26329</v>
      </c>
      <c r="AM42" s="52">
        <v>32381</v>
      </c>
      <c r="AN42" s="52">
        <v>33332</v>
      </c>
      <c r="AO42" s="52">
        <v>34653</v>
      </c>
    </row>
    <row r="43" spans="1:43" s="151" customFormat="1" x14ac:dyDescent="0.2">
      <c r="A43" s="152" t="s">
        <v>26</v>
      </c>
      <c r="D43" s="158">
        <f>D42/D$10</f>
        <v>8.5988880470059939E-2</v>
      </c>
      <c r="E43" s="158">
        <f t="shared" ref="E43:J43" si="63">E42/E$10</f>
        <v>2.744062043210746E-2</v>
      </c>
      <c r="F43" s="158">
        <f t="shared" si="63"/>
        <v>3.3167189136610632E-2</v>
      </c>
      <c r="G43" s="158">
        <f t="shared" si="63"/>
        <v>6.0963462831408237E-2</v>
      </c>
      <c r="H43" s="158">
        <f t="shared" si="63"/>
        <v>0.12113131921379712</v>
      </c>
      <c r="I43" s="158">
        <f t="shared" si="63"/>
        <v>6.4995318401312951E-2</v>
      </c>
      <c r="J43" s="158">
        <f t="shared" si="63"/>
        <v>7.5131455585594822E-2</v>
      </c>
      <c r="K43" s="159"/>
      <c r="L43" s="158">
        <f t="shared" ref="L43" si="64">L42/L$10</f>
        <v>7.5131455585594822E-2</v>
      </c>
      <c r="M43" s="159"/>
      <c r="N43" s="158">
        <f t="shared" ref="N43:AO43" si="65">N42/N$10</f>
        <v>3.2229965156794424E-2</v>
      </c>
      <c r="O43" s="158">
        <f t="shared" si="65"/>
        <v>1.3262410716668298E-2</v>
      </c>
      <c r="P43" s="158">
        <f t="shared" si="65"/>
        <v>0.25873016537400645</v>
      </c>
      <c r="Q43" s="158">
        <f t="shared" si="65"/>
        <v>2.5655443572618168E-2</v>
      </c>
      <c r="R43" s="158">
        <f t="shared" si="65"/>
        <v>1.2817203573075833E-2</v>
      </c>
      <c r="S43" s="158">
        <f t="shared" si="65"/>
        <v>2.742920691830163E-2</v>
      </c>
      <c r="T43" s="158">
        <f t="shared" si="65"/>
        <v>5.3094737969796794E-2</v>
      </c>
      <c r="U43" s="158">
        <f t="shared" si="65"/>
        <v>1.6281987385498478E-2</v>
      </c>
      <c r="V43" s="158">
        <f t="shared" si="65"/>
        <v>3.6188689946400641E-2</v>
      </c>
      <c r="W43" s="158">
        <f t="shared" si="65"/>
        <v>9.0267080421792094E-3</v>
      </c>
      <c r="X43" s="158">
        <f t="shared" si="65"/>
        <v>5.50190996790514E-2</v>
      </c>
      <c r="Y43" s="158">
        <f t="shared" si="65"/>
        <v>3.1248490586087311E-2</v>
      </c>
      <c r="Z43" s="158">
        <f t="shared" si="65"/>
        <v>4.850910909340498E-2</v>
      </c>
      <c r="AA43" s="158">
        <f t="shared" si="65"/>
        <v>4.4396570818382539E-2</v>
      </c>
      <c r="AB43" s="158">
        <f t="shared" si="65"/>
        <v>4.526002197528347E-2</v>
      </c>
      <c r="AC43" s="158">
        <f t="shared" si="65"/>
        <v>0.10777405058642051</v>
      </c>
      <c r="AD43" s="158">
        <f t="shared" si="65"/>
        <v>0.10115659500004916</v>
      </c>
      <c r="AE43" s="158">
        <f t="shared" si="65"/>
        <v>0.25140568357543031</v>
      </c>
      <c r="AF43" s="158">
        <f t="shared" si="65"/>
        <v>6.6616812347525464E-2</v>
      </c>
      <c r="AG43" s="158">
        <f t="shared" si="65"/>
        <v>6.65184554171558E-2</v>
      </c>
      <c r="AH43" s="158">
        <f t="shared" si="65"/>
        <v>6.223202340939496E-2</v>
      </c>
      <c r="AI43" s="158">
        <f t="shared" si="65"/>
        <v>5.9778870507885731E-2</v>
      </c>
      <c r="AJ43" s="158">
        <f t="shared" si="65"/>
        <v>5.4481143464194311E-2</v>
      </c>
      <c r="AK43" s="158">
        <f t="shared" si="65"/>
        <v>8.327817410703342E-2</v>
      </c>
      <c r="AL43" s="158">
        <f t="shared" si="65"/>
        <v>6.223202340939496E-2</v>
      </c>
      <c r="AM43" s="158">
        <f t="shared" si="65"/>
        <v>7.8257696230309301E-2</v>
      </c>
      <c r="AN43" s="158">
        <f t="shared" si="65"/>
        <v>7.6896990054514461E-2</v>
      </c>
      <c r="AO43" s="158">
        <f t="shared" si="65"/>
        <v>8.3301281743093689E-2</v>
      </c>
    </row>
    <row r="44" spans="1:43" x14ac:dyDescent="0.25">
      <c r="A44" s="113" t="s">
        <v>40</v>
      </c>
      <c r="D44" s="7">
        <f t="shared" ref="D44:F44" si="66">SUMIFS($N44:$AB44,$N$5:$AB$5,D$7)</f>
        <v>-311932</v>
      </c>
      <c r="E44" s="7">
        <f t="shared" si="66"/>
        <v>-83854</v>
      </c>
      <c r="F44" s="7">
        <f t="shared" si="66"/>
        <v>-98872</v>
      </c>
      <c r="G44" s="7">
        <f>SUMIFS($N44:$AG44,$N$5:$AG$5,G$7)</f>
        <v>-164328</v>
      </c>
      <c r="H44" s="7">
        <f>SUMIFS($N44:$AG44,$N$5:$AG$5,H$7)</f>
        <v>-238687</v>
      </c>
      <c r="I44" s="7">
        <f>SUMIFS($N44:$AP44,$N$5:$AP$5,I$7)</f>
        <v>-216906</v>
      </c>
      <c r="J44" s="7">
        <f>SUMIFS($N44:$AP44,$N$5:$AP$5,J$7)</f>
        <v>-257554</v>
      </c>
      <c r="K44" s="155"/>
      <c r="L44" s="51">
        <f>SUMIFS($N44:$AR44,$N$4:$AR$4,L$5)</f>
        <v>-257554</v>
      </c>
      <c r="M44" s="155"/>
      <c r="N44" s="52">
        <v>-38484</v>
      </c>
      <c r="O44" s="52">
        <v>-31044</v>
      </c>
      <c r="P44" s="52">
        <v>-151248</v>
      </c>
      <c r="Q44" s="52">
        <v>-91156</v>
      </c>
      <c r="R44" s="52">
        <v>-22615</v>
      </c>
      <c r="S44" s="52">
        <v>-23817</v>
      </c>
      <c r="T44" s="52">
        <v>-25180</v>
      </c>
      <c r="U44" s="52">
        <v>-12242</v>
      </c>
      <c r="V44" s="52">
        <v>-19892</v>
      </c>
      <c r="W44" s="52">
        <v>-20188</v>
      </c>
      <c r="X44" s="52">
        <v>-32622</v>
      </c>
      <c r="Y44" s="52">
        <v>-26170</v>
      </c>
      <c r="Z44" s="52">
        <v>-36209</v>
      </c>
      <c r="AA44" s="52">
        <v>-34895</v>
      </c>
      <c r="AB44" s="52">
        <v>-35033</v>
      </c>
      <c r="AC44" s="52">
        <v>-58191</v>
      </c>
      <c r="AD44" s="52">
        <v>-60337</v>
      </c>
      <c r="AE44" s="52">
        <v>-62186</v>
      </c>
      <c r="AF44" s="52">
        <v>-63086</v>
      </c>
      <c r="AG44" s="52">
        <v>-53078</v>
      </c>
      <c r="AH44" s="52">
        <v>-56498</v>
      </c>
      <c r="AI44" s="52">
        <v>-51621</v>
      </c>
      <c r="AJ44" s="52">
        <v>-50650</v>
      </c>
      <c r="AK44" s="52">
        <v>-58137</v>
      </c>
      <c r="AL44" s="52">
        <v>-56498</v>
      </c>
      <c r="AM44" s="52">
        <v>-69779</v>
      </c>
      <c r="AN44" s="52">
        <v>-67108</v>
      </c>
      <c r="AO44" s="52">
        <v>-64169</v>
      </c>
    </row>
    <row r="45" spans="1:43" s="151" customFormat="1" x14ac:dyDescent="0.2">
      <c r="A45" s="152" t="s">
        <v>26</v>
      </c>
      <c r="D45" s="158">
        <f>D44/D$10</f>
        <v>-0.34706195850147814</v>
      </c>
      <c r="E45" s="158">
        <f t="shared" ref="E45:J45" si="67">E44/E$10</f>
        <v>-8.1442883435880756E-2</v>
      </c>
      <c r="F45" s="158">
        <f t="shared" si="67"/>
        <v>-6.1570498569590633E-2</v>
      </c>
      <c r="G45" s="158">
        <f t="shared" si="67"/>
        <v>-9.7427706493164623E-2</v>
      </c>
      <c r="H45" s="158">
        <f t="shared" si="67"/>
        <v>-0.14971789154113702</v>
      </c>
      <c r="I45" s="158">
        <f t="shared" si="67"/>
        <v>-0.13423223328656891</v>
      </c>
      <c r="J45" s="158">
        <f t="shared" si="67"/>
        <v>-0.15273220657399494</v>
      </c>
      <c r="K45" s="159"/>
      <c r="L45" s="158">
        <f t="shared" ref="L45" si="68">L44/L$10</f>
        <v>-0.15273220657399494</v>
      </c>
      <c r="M45" s="159"/>
      <c r="N45" s="158">
        <f t="shared" ref="N45:AO45" si="69">N44/N$10</f>
        <v>-0.19046959138422553</v>
      </c>
      <c r="O45" s="158">
        <f t="shared" si="69"/>
        <v>-0.13806783309465145</v>
      </c>
      <c r="P45" s="158">
        <f t="shared" si="69"/>
        <v>-0.63306726716419781</v>
      </c>
      <c r="Q45" s="158">
        <f t="shared" si="69"/>
        <v>-0.39127448792129527</v>
      </c>
      <c r="R45" s="158">
        <f t="shared" si="69"/>
        <v>-9.5695298383991406E-2</v>
      </c>
      <c r="S45" s="158">
        <f t="shared" si="69"/>
        <v>-9.8832287620754911E-2</v>
      </c>
      <c r="T45" s="158">
        <f t="shared" si="69"/>
        <v>-9.6341104134862243E-2</v>
      </c>
      <c r="U45" s="158">
        <f t="shared" si="69"/>
        <v>-4.2078127416776946E-2</v>
      </c>
      <c r="V45" s="158">
        <f t="shared" si="69"/>
        <v>-5.5851145970502107E-2</v>
      </c>
      <c r="W45" s="158">
        <f t="shared" si="69"/>
        <v>-5.0077269017728465E-2</v>
      </c>
      <c r="X45" s="158">
        <f t="shared" si="69"/>
        <v>-7.5432170703959606E-2</v>
      </c>
      <c r="Y45" s="158">
        <f t="shared" si="69"/>
        <v>-6.3202179352183696E-2</v>
      </c>
      <c r="Z45" s="158">
        <f t="shared" si="69"/>
        <v>-8.875973172788422E-2</v>
      </c>
      <c r="AA45" s="158">
        <f t="shared" si="69"/>
        <v>-8.1357963381339077E-2</v>
      </c>
      <c r="AB45" s="158">
        <f t="shared" si="69"/>
        <v>-7.9367021216343273E-2</v>
      </c>
      <c r="AC45" s="158">
        <f t="shared" si="69"/>
        <v>-0.14248181973996718</v>
      </c>
      <c r="AD45" s="158">
        <f t="shared" si="69"/>
        <v>-0.14829042184013133</v>
      </c>
      <c r="AE45" s="158">
        <f t="shared" si="69"/>
        <v>-0.15764443430425634</v>
      </c>
      <c r="AF45" s="158">
        <f t="shared" si="69"/>
        <v>-0.15467752019712888</v>
      </c>
      <c r="AG45" s="158">
        <f t="shared" si="69"/>
        <v>-0.13785204500358408</v>
      </c>
      <c r="AH45" s="158">
        <f t="shared" si="69"/>
        <v>-0.13354038735174129</v>
      </c>
      <c r="AI45" s="158">
        <f t="shared" si="69"/>
        <v>-0.13924036975397389</v>
      </c>
      <c r="AJ45" s="158">
        <f t="shared" si="69"/>
        <v>-0.12228982567965618</v>
      </c>
      <c r="AK45" s="158">
        <f t="shared" si="69"/>
        <v>-0.14252408619548429</v>
      </c>
      <c r="AL45" s="158">
        <f t="shared" si="69"/>
        <v>-0.13354038735174129</v>
      </c>
      <c r="AM45" s="158">
        <f t="shared" si="69"/>
        <v>-0.16864036889703074</v>
      </c>
      <c r="AN45" s="158">
        <f t="shared" si="69"/>
        <v>-0.15481828898891023</v>
      </c>
      <c r="AO45" s="158">
        <f t="shared" si="69"/>
        <v>-0.15425388705660631</v>
      </c>
    </row>
    <row r="46" spans="1:43" x14ac:dyDescent="0.2">
      <c r="A46" s="50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</row>
    <row r="47" spans="1:43" x14ac:dyDescent="0.2">
      <c r="A47" s="153" t="s">
        <v>41</v>
      </c>
      <c r="B47" s="49"/>
      <c r="C47" s="49"/>
      <c r="D47" s="126">
        <f t="shared" ref="D47:J47" si="70">D37+D40</f>
        <v>-29525</v>
      </c>
      <c r="E47" s="126">
        <f t="shared" si="70"/>
        <v>109912.20000000001</v>
      </c>
      <c r="F47" s="126">
        <f t="shared" si="70"/>
        <v>390213</v>
      </c>
      <c r="G47" s="126">
        <f t="shared" si="70"/>
        <v>518360</v>
      </c>
      <c r="H47" s="126">
        <f t="shared" si="70"/>
        <v>505839</v>
      </c>
      <c r="I47" s="126">
        <f t="shared" si="70"/>
        <v>235900</v>
      </c>
      <c r="J47" s="126">
        <f t="shared" si="70"/>
        <v>316947</v>
      </c>
      <c r="K47" s="64"/>
      <c r="L47" s="126">
        <f>L37+L40</f>
        <v>316947</v>
      </c>
      <c r="M47" s="64"/>
      <c r="N47" s="126">
        <f t="shared" ref="N47:AM47" si="71">N37+N40</f>
        <v>2121</v>
      </c>
      <c r="O47" s="126">
        <f t="shared" si="71"/>
        <v>-2224</v>
      </c>
      <c r="P47" s="126">
        <f t="shared" si="71"/>
        <v>18606</v>
      </c>
      <c r="Q47" s="126">
        <f t="shared" si="71"/>
        <v>-48028</v>
      </c>
      <c r="R47" s="126">
        <f t="shared" si="71"/>
        <v>19600.099999999999</v>
      </c>
      <c r="S47" s="126">
        <f t="shared" si="71"/>
        <v>22970.1</v>
      </c>
      <c r="T47" s="126">
        <f t="shared" si="71"/>
        <v>32333</v>
      </c>
      <c r="U47" s="126">
        <f t="shared" si="71"/>
        <v>35009</v>
      </c>
      <c r="V47" s="126">
        <f t="shared" si="71"/>
        <v>83169</v>
      </c>
      <c r="W47" s="126">
        <f t="shared" si="71"/>
        <v>91843</v>
      </c>
      <c r="X47" s="126">
        <f t="shared" si="71"/>
        <v>117791</v>
      </c>
      <c r="Y47" s="126">
        <f t="shared" si="71"/>
        <v>97410</v>
      </c>
      <c r="Z47" s="126">
        <f t="shared" si="71"/>
        <v>139588</v>
      </c>
      <c r="AA47" s="126">
        <f t="shared" si="71"/>
        <v>126131</v>
      </c>
      <c r="AB47" s="126">
        <f t="shared" si="71"/>
        <v>138267</v>
      </c>
      <c r="AC47" s="126">
        <f t="shared" si="71"/>
        <v>114374</v>
      </c>
      <c r="AD47" s="126">
        <f t="shared" si="71"/>
        <v>117367</v>
      </c>
      <c r="AE47" s="126">
        <f t="shared" si="71"/>
        <v>303914</v>
      </c>
      <c r="AF47" s="126">
        <f t="shared" si="71"/>
        <v>90988</v>
      </c>
      <c r="AG47" s="126">
        <f t="shared" si="71"/>
        <v>-6430</v>
      </c>
      <c r="AH47" s="126">
        <f t="shared" si="71"/>
        <v>75606</v>
      </c>
      <c r="AI47" s="126">
        <f t="shared" si="71"/>
        <v>62819</v>
      </c>
      <c r="AJ47" s="126">
        <f t="shared" si="71"/>
        <v>58662</v>
      </c>
      <c r="AK47" s="126">
        <f t="shared" si="71"/>
        <v>38813</v>
      </c>
      <c r="AL47" s="126">
        <f t="shared" si="71"/>
        <v>75606</v>
      </c>
      <c r="AM47" s="126">
        <f t="shared" si="71"/>
        <v>132352</v>
      </c>
      <c r="AN47" s="126">
        <f t="shared" ref="AN47:AO47" si="72">AN37+AN40</f>
        <v>61385</v>
      </c>
      <c r="AO47" s="126">
        <f t="shared" si="72"/>
        <v>47604</v>
      </c>
    </row>
    <row r="48" spans="1:43" s="151" customFormat="1" x14ac:dyDescent="0.2">
      <c r="A48" s="154" t="s">
        <v>26</v>
      </c>
      <c r="D48" s="160">
        <f>D47/D$10</f>
        <v>-3.285012222136921E-2</v>
      </c>
      <c r="E48" s="160">
        <f t="shared" ref="E48:J48" si="73">E47/E$10</f>
        <v>0.10675181258832271</v>
      </c>
      <c r="F48" s="160">
        <f t="shared" si="73"/>
        <v>0.24299709683566295</v>
      </c>
      <c r="G48" s="160">
        <f t="shared" si="73"/>
        <v>0.30732818471469753</v>
      </c>
      <c r="H48" s="160">
        <f t="shared" si="73"/>
        <v>0.31729062973382383</v>
      </c>
      <c r="I48" s="160">
        <f t="shared" si="73"/>
        <v>0.14598666626235146</v>
      </c>
      <c r="J48" s="160">
        <f t="shared" si="73"/>
        <v>0.18795287464767768</v>
      </c>
      <c r="K48" s="159"/>
      <c r="L48" s="160">
        <f t="shared" ref="L48" si="74">L47/L$10</f>
        <v>0.18795287464767768</v>
      </c>
      <c r="M48" s="159"/>
      <c r="N48" s="160">
        <f t="shared" ref="N48:AM48" si="75">N47/N$10</f>
        <v>1.0497505543237251E-2</v>
      </c>
      <c r="O48" s="160">
        <f t="shared" si="75"/>
        <v>-9.8912144312106945E-3</v>
      </c>
      <c r="P48" s="160">
        <f t="shared" si="75"/>
        <v>7.7877721178839163E-2</v>
      </c>
      <c r="Q48" s="160">
        <f t="shared" si="75"/>
        <v>-0.20615352917947222</v>
      </c>
      <c r="R48" s="160">
        <f t="shared" si="75"/>
        <v>8.2937758914705714E-2</v>
      </c>
      <c r="S48" s="160">
        <f t="shared" si="75"/>
        <v>9.5317946419679306E-2</v>
      </c>
      <c r="T48" s="160">
        <f t="shared" si="75"/>
        <v>0.12370917077015492</v>
      </c>
      <c r="U48" s="160">
        <f t="shared" si="75"/>
        <v>0.12033272036709231</v>
      </c>
      <c r="V48" s="160">
        <f t="shared" si="75"/>
        <v>0.2335151799326709</v>
      </c>
      <c r="W48" s="160">
        <f t="shared" si="75"/>
        <v>0.22782081525635206</v>
      </c>
      <c r="X48" s="160">
        <f t="shared" si="75"/>
        <v>0.27236928512629838</v>
      </c>
      <c r="Y48" s="160">
        <f t="shared" si="75"/>
        <v>0.23525121477631694</v>
      </c>
      <c r="Z48" s="160">
        <f t="shared" si="75"/>
        <v>0.34217441609632693</v>
      </c>
      <c r="AA48" s="160">
        <f t="shared" si="75"/>
        <v>0.29407540562406304</v>
      </c>
      <c r="AB48" s="160">
        <f t="shared" si="75"/>
        <v>0.31324294015699866</v>
      </c>
      <c r="AC48" s="160">
        <f t="shared" si="75"/>
        <v>0.28004701158149897</v>
      </c>
      <c r="AD48" s="160">
        <f t="shared" si="75"/>
        <v>0.28845322008238222</v>
      </c>
      <c r="AE48" s="160">
        <f t="shared" si="75"/>
        <v>0.77043628159302358</v>
      </c>
      <c r="AF48" s="160">
        <f t="shared" si="75"/>
        <v>0.22308908803373748</v>
      </c>
      <c r="AG48" s="160">
        <f t="shared" si="75"/>
        <v>-1.6699737167433695E-2</v>
      </c>
      <c r="AH48" s="160">
        <f t="shared" si="75"/>
        <v>0.17870463602456285</v>
      </c>
      <c r="AI48" s="160">
        <f t="shared" si="75"/>
        <v>0.1694453960127639</v>
      </c>
      <c r="AJ48" s="160">
        <f t="shared" si="75"/>
        <v>0.14163407214254672</v>
      </c>
      <c r="AK48" s="160">
        <f t="shared" si="75"/>
        <v>9.5150891127944892E-2</v>
      </c>
      <c r="AL48" s="160">
        <f t="shared" si="75"/>
        <v>0.17870463602456285</v>
      </c>
      <c r="AM48" s="160">
        <f t="shared" si="75"/>
        <v>0.31986543378752652</v>
      </c>
      <c r="AN48" s="160">
        <f t="shared" ref="AN48:AO48" si="76">AN47/AN$10</f>
        <v>0.141615316647557</v>
      </c>
      <c r="AO48" s="160">
        <f t="shared" si="76"/>
        <v>0.11443379263262146</v>
      </c>
    </row>
    <row r="49" spans="1:41" x14ac:dyDescent="0.2">
      <c r="A49" s="59"/>
      <c r="B49" s="15"/>
      <c r="C49" s="15"/>
      <c r="D49" s="22"/>
      <c r="E49" s="22"/>
      <c r="F49" s="22"/>
      <c r="G49" s="22"/>
      <c r="H49" s="22"/>
      <c r="I49" s="22"/>
      <c r="J49" s="22"/>
      <c r="L49" s="22"/>
      <c r="O49" s="16"/>
    </row>
    <row r="50" spans="1:41" x14ac:dyDescent="0.2">
      <c r="A50" s="55" t="s">
        <v>42</v>
      </c>
      <c r="D50" s="64">
        <f t="shared" ref="D50:J50" si="77">D52+D54</f>
        <v>55980</v>
      </c>
      <c r="E50" s="64">
        <f t="shared" si="77"/>
        <v>-17153</v>
      </c>
      <c r="F50" s="64">
        <f t="shared" si="77"/>
        <v>-104900</v>
      </c>
      <c r="G50" s="64">
        <f t="shared" si="77"/>
        <v>-140150</v>
      </c>
      <c r="H50" s="64">
        <f t="shared" si="77"/>
        <v>-122405</v>
      </c>
      <c r="I50" s="64">
        <f t="shared" si="77"/>
        <v>96437</v>
      </c>
      <c r="J50" s="64">
        <f t="shared" si="77"/>
        <v>-62984</v>
      </c>
      <c r="K50" s="64"/>
      <c r="L50" s="64">
        <f>L52+L54</f>
        <v>-62984</v>
      </c>
      <c r="M50" s="64"/>
      <c r="N50" s="64">
        <f t="shared" ref="N50:AM50" si="78">N52+N54</f>
        <v>-1879</v>
      </c>
      <c r="O50" s="64">
        <f t="shared" si="78"/>
        <v>-1029</v>
      </c>
      <c r="P50" s="64">
        <f t="shared" si="78"/>
        <v>-3294</v>
      </c>
      <c r="Q50" s="64">
        <f t="shared" si="78"/>
        <v>62182</v>
      </c>
      <c r="R50" s="64">
        <f t="shared" si="78"/>
        <v>-1612</v>
      </c>
      <c r="S50" s="64">
        <f t="shared" si="78"/>
        <v>-7673</v>
      </c>
      <c r="T50" s="64">
        <f t="shared" si="78"/>
        <v>-6775</v>
      </c>
      <c r="U50" s="64">
        <f t="shared" si="78"/>
        <v>-1093</v>
      </c>
      <c r="V50" s="64">
        <f t="shared" si="78"/>
        <v>-26468</v>
      </c>
      <c r="W50" s="64">
        <f t="shared" si="78"/>
        <v>-24152</v>
      </c>
      <c r="X50" s="64">
        <f t="shared" si="78"/>
        <v>-20196</v>
      </c>
      <c r="Y50" s="64">
        <f t="shared" si="78"/>
        <v>-34084</v>
      </c>
      <c r="Z50" s="64">
        <f t="shared" si="78"/>
        <v>-27440</v>
      </c>
      <c r="AA50" s="64">
        <f t="shared" si="78"/>
        <v>-41518</v>
      </c>
      <c r="AB50" s="64">
        <f t="shared" si="78"/>
        <v>-42737</v>
      </c>
      <c r="AC50" s="64">
        <f t="shared" si="78"/>
        <v>-28455</v>
      </c>
      <c r="AD50" s="64">
        <f t="shared" si="78"/>
        <v>-34409</v>
      </c>
      <c r="AE50" s="64">
        <f t="shared" si="78"/>
        <v>-75168</v>
      </c>
      <c r="AF50" s="64">
        <f t="shared" si="78"/>
        <v>-26353</v>
      </c>
      <c r="AG50" s="64">
        <f t="shared" si="78"/>
        <v>13525</v>
      </c>
      <c r="AH50" s="64">
        <f t="shared" si="78"/>
        <v>-14803</v>
      </c>
      <c r="AI50" s="64">
        <f t="shared" si="78"/>
        <v>-21087</v>
      </c>
      <c r="AJ50" s="64">
        <f t="shared" si="78"/>
        <v>-18702</v>
      </c>
      <c r="AK50" s="64">
        <f t="shared" si="78"/>
        <v>151029</v>
      </c>
      <c r="AL50" s="64">
        <f t="shared" si="78"/>
        <v>-14803</v>
      </c>
      <c r="AM50" s="64">
        <f t="shared" si="78"/>
        <v>-20284</v>
      </c>
      <c r="AN50" s="64">
        <f t="shared" ref="AN50:AO50" si="79">AN52+AN54</f>
        <v>-19309</v>
      </c>
      <c r="AO50" s="64">
        <f t="shared" si="79"/>
        <v>-8588</v>
      </c>
    </row>
    <row r="51" spans="1:41" s="151" customFormat="1" x14ac:dyDescent="0.2">
      <c r="A51" s="152" t="s">
        <v>26</v>
      </c>
      <c r="D51" s="158">
        <f>D50/D$10</f>
        <v>6.2284499304055836E-2</v>
      </c>
      <c r="E51" s="158">
        <f t="shared" ref="E51:F51" si="80">E50/E$10</f>
        <v>-1.6659787005696359E-2</v>
      </c>
      <c r="F51" s="158">
        <f t="shared" si="80"/>
        <v>-6.5324311230176971E-2</v>
      </c>
      <c r="G51" s="158">
        <f>G50/G$10</f>
        <v>-8.3092918218544753E-2</v>
      </c>
      <c r="H51" s="158">
        <f>H50/H$10</f>
        <v>-7.6779290510555154E-2</v>
      </c>
      <c r="I51" s="158">
        <f>I50/I$10</f>
        <v>5.9680017525826148E-2</v>
      </c>
      <c r="J51" s="158">
        <f>J50/J$10</f>
        <v>-3.735016850391179E-2</v>
      </c>
      <c r="K51" s="159"/>
      <c r="L51" s="158">
        <f t="shared" ref="L51" si="81">L50/L$10</f>
        <v>-3.735016850391179E-2</v>
      </c>
      <c r="M51" s="159"/>
      <c r="N51" s="158">
        <f t="shared" ref="N51:AM51" si="82">N50/N$10</f>
        <v>-9.2997703515996198E-3</v>
      </c>
      <c r="O51" s="158">
        <f t="shared" si="82"/>
        <v>-4.5764656698362438E-3</v>
      </c>
      <c r="P51" s="158">
        <f t="shared" si="82"/>
        <v>-1.3787445639207578E-2</v>
      </c>
      <c r="Q51" s="158">
        <f t="shared" si="82"/>
        <v>0.26690761121508166</v>
      </c>
      <c r="R51" s="158">
        <f t="shared" si="82"/>
        <v>-6.8211727170017309E-3</v>
      </c>
      <c r="S51" s="158">
        <f t="shared" si="82"/>
        <v>-3.1840288151910499E-2</v>
      </c>
      <c r="T51" s="158">
        <f t="shared" si="82"/>
        <v>-2.5921802244388073E-2</v>
      </c>
      <c r="U51" s="158">
        <f t="shared" si="82"/>
        <v>-3.7568529052881229E-3</v>
      </c>
      <c r="V51" s="158">
        <f t="shared" si="82"/>
        <v>-7.4314705989706908E-2</v>
      </c>
      <c r="W51" s="158">
        <f t="shared" si="82"/>
        <v>-5.9910154612451846E-2</v>
      </c>
      <c r="X51" s="158">
        <f t="shared" si="82"/>
        <v>-4.6699408973611918E-2</v>
      </c>
      <c r="Y51" s="158">
        <f t="shared" si="82"/>
        <v>-8.2314982080238033E-2</v>
      </c>
      <c r="Z51" s="158">
        <f t="shared" si="82"/>
        <v>-6.7264134292942174E-2</v>
      </c>
      <c r="AA51" s="158">
        <f t="shared" si="82"/>
        <v>-9.6799539294066081E-2</v>
      </c>
      <c r="AB51" s="158">
        <f t="shared" si="82"/>
        <v>-9.6820380376298407E-2</v>
      </c>
      <c r="AC51" s="158">
        <f t="shared" si="82"/>
        <v>-6.9672632893415937E-2</v>
      </c>
      <c r="AD51" s="158">
        <f t="shared" si="82"/>
        <v>-8.4567100205463971E-2</v>
      </c>
      <c r="AE51" s="158">
        <f t="shared" si="82"/>
        <v>-0.19055441478439425</v>
      </c>
      <c r="AF51" s="158">
        <f t="shared" si="82"/>
        <v>-6.4613649458753725E-2</v>
      </c>
      <c r="AG51" s="158">
        <f t="shared" si="82"/>
        <v>3.5126585566024993E-2</v>
      </c>
      <c r="AH51" s="158">
        <f t="shared" si="82"/>
        <v>-3.4988820028458108E-2</v>
      </c>
      <c r="AI51" s="158">
        <f t="shared" si="82"/>
        <v>-5.6879209565914017E-2</v>
      </c>
      <c r="AJ51" s="158">
        <f t="shared" si="82"/>
        <v>-4.5154280747501087E-2</v>
      </c>
      <c r="AK51" s="158">
        <f t="shared" si="82"/>
        <v>0.37025079061557697</v>
      </c>
      <c r="AL51" s="158">
        <f t="shared" si="82"/>
        <v>-3.4988820028458108E-2</v>
      </c>
      <c r="AM51" s="158">
        <f t="shared" si="82"/>
        <v>-4.902192984576121E-2</v>
      </c>
      <c r="AN51" s="158">
        <f t="shared" ref="AN51:AO51" si="83">AN50/AN$10</f>
        <v>-4.4545901264929189E-2</v>
      </c>
      <c r="AO51" s="158">
        <f t="shared" si="83"/>
        <v>-2.0644429273358397E-2</v>
      </c>
    </row>
    <row r="52" spans="1:41" x14ac:dyDescent="0.25">
      <c r="A52" s="113" t="s">
        <v>43</v>
      </c>
      <c r="D52" s="7">
        <f t="shared" ref="D52:F52" si="84">SUMIFS($N52:$AB52,$N$5:$AB$5,D$7)</f>
        <v>-299</v>
      </c>
      <c r="E52" s="7">
        <f t="shared" si="84"/>
        <v>-24297</v>
      </c>
      <c r="F52" s="7">
        <f t="shared" si="84"/>
        <v>-62477</v>
      </c>
      <c r="G52" s="7">
        <f>SUMIFS($N52:$AG52,$N$5:$AG$5,G$7)</f>
        <v>-110346</v>
      </c>
      <c r="H52" s="7">
        <f>SUMIFS($N52:$AG52,$N$5:$AG$5,H$7)</f>
        <v>-111505</v>
      </c>
      <c r="I52" s="7">
        <f>SUMIFS($N52:$AP52,$N$5:$AP$5,I$7)</f>
        <v>61400</v>
      </c>
      <c r="J52" s="7">
        <f>SUMIFS($N52:$AP52,$N$5:$AP$5,J$7)</f>
        <v>-33643</v>
      </c>
      <c r="K52" s="155"/>
      <c r="L52" s="51">
        <f>SUMIFS($N52:$AR52,$N$4:$AR$4,L$5)</f>
        <v>-33643</v>
      </c>
      <c r="M52" s="155"/>
      <c r="N52" s="52">
        <v>-81</v>
      </c>
      <c r="O52" s="52">
        <v>-75</v>
      </c>
      <c r="P52" s="52">
        <v>-77</v>
      </c>
      <c r="Q52" s="52">
        <v>-66</v>
      </c>
      <c r="R52" s="52">
        <v>-533</v>
      </c>
      <c r="S52" s="52">
        <v>-7219</v>
      </c>
      <c r="T52" s="52">
        <v>-7521</v>
      </c>
      <c r="U52" s="52">
        <v>-9024</v>
      </c>
      <c r="V52" s="52">
        <v>-13907</v>
      </c>
      <c r="W52" s="52">
        <v>-19760</v>
      </c>
      <c r="X52" s="52">
        <v>-3310</v>
      </c>
      <c r="Y52" s="52">
        <v>-25500</v>
      </c>
      <c r="Z52" s="52">
        <v>-31335</v>
      </c>
      <c r="AA52" s="52">
        <v>-24040</v>
      </c>
      <c r="AB52" s="52">
        <v>-33428</v>
      </c>
      <c r="AC52" s="52">
        <v>-21543</v>
      </c>
      <c r="AD52" s="52">
        <v>-20720</v>
      </c>
      <c r="AE52" s="52">
        <v>-10238</v>
      </c>
      <c r="AF52" s="52">
        <v>-77928</v>
      </c>
      <c r="AG52" s="52">
        <v>-2619</v>
      </c>
      <c r="AH52" s="52">
        <v>-4327</v>
      </c>
      <c r="AI52" s="52">
        <v>-16568</v>
      </c>
      <c r="AJ52" s="52">
        <v>-18271</v>
      </c>
      <c r="AK52" s="52">
        <v>100566</v>
      </c>
      <c r="AL52" s="52">
        <v>-4327</v>
      </c>
      <c r="AM52" s="52">
        <v>-8179</v>
      </c>
      <c r="AN52" s="52">
        <v>-14033</v>
      </c>
      <c r="AO52" s="52">
        <v>-7104</v>
      </c>
    </row>
    <row r="53" spans="1:41" s="151" customFormat="1" x14ac:dyDescent="0.2">
      <c r="A53" s="152" t="s">
        <v>26</v>
      </c>
      <c r="D53" s="158">
        <f>D52/D$10</f>
        <v>-3.3267354933749007E-4</v>
      </c>
      <c r="E53" s="158">
        <f t="shared" ref="E53:J53" si="85">E52/E$10</f>
        <v>-2.3598370248784729E-2</v>
      </c>
      <c r="F53" s="158">
        <f t="shared" si="85"/>
        <v>-3.8906263038396248E-2</v>
      </c>
      <c r="G53" s="158">
        <f t="shared" si="85"/>
        <v>-6.5422555502986368E-2</v>
      </c>
      <c r="H53" s="158">
        <f t="shared" si="85"/>
        <v>-6.9942198344670983E-2</v>
      </c>
      <c r="I53" s="158">
        <f t="shared" si="85"/>
        <v>3.7997377314575587E-2</v>
      </c>
      <c r="J53" s="158">
        <f t="shared" si="85"/>
        <v>-1.9950649672569296E-2</v>
      </c>
      <c r="K53" s="159"/>
      <c r="L53" s="158">
        <f t="shared" ref="L53" si="86">L52/L$10</f>
        <v>-1.9950649672569296E-2</v>
      </c>
      <c r="M53" s="159"/>
      <c r="N53" s="158">
        <f t="shared" ref="N53:AO53" si="87">N52/N$10</f>
        <v>-4.0089483687044664E-4</v>
      </c>
      <c r="O53" s="158">
        <f t="shared" si="87"/>
        <v>-3.3356163774316645E-4</v>
      </c>
      <c r="P53" s="158">
        <f t="shared" si="87"/>
        <v>-3.2229305228263007E-4</v>
      </c>
      <c r="Q53" s="158">
        <f t="shared" si="87"/>
        <v>-2.8329584671119278E-4</v>
      </c>
      <c r="R53" s="158">
        <f t="shared" si="87"/>
        <v>-2.2553877532021853E-3</v>
      </c>
      <c r="S53" s="158">
        <f t="shared" si="87"/>
        <v>-2.9956345649503703E-2</v>
      </c>
      <c r="T53" s="158">
        <f t="shared" si="87"/>
        <v>-2.8776070063474938E-2</v>
      </c>
      <c r="U53" s="158">
        <f t="shared" si="87"/>
        <v>-3.1017237527282727E-2</v>
      </c>
      <c r="V53" s="158">
        <f t="shared" si="87"/>
        <v>-3.904694786908168E-2</v>
      </c>
      <c r="W53" s="158">
        <f t="shared" si="87"/>
        <v>-4.9015595194685679E-2</v>
      </c>
      <c r="X53" s="158">
        <f t="shared" si="87"/>
        <v>-7.6537454794343169E-3</v>
      </c>
      <c r="Y53" s="158">
        <f t="shared" si="87"/>
        <v>-6.1584087637779304E-2</v>
      </c>
      <c r="Z53" s="158">
        <f t="shared" si="87"/>
        <v>-7.6812013413605787E-2</v>
      </c>
      <c r="AA53" s="158">
        <f t="shared" si="87"/>
        <v>-5.6049446616632512E-2</v>
      </c>
      <c r="AB53" s="158">
        <f t="shared" si="87"/>
        <v>-7.5730904724685952E-2</v>
      </c>
      <c r="AC53" s="158">
        <f t="shared" si="87"/>
        <v>-5.2748463553781738E-2</v>
      </c>
      <c r="AD53" s="158">
        <f t="shared" si="87"/>
        <v>-5.0923604762045202E-2</v>
      </c>
      <c r="AE53" s="158">
        <f t="shared" si="87"/>
        <v>-2.595381144320227E-2</v>
      </c>
      <c r="AF53" s="158">
        <f t="shared" si="87"/>
        <v>-0.19106790403452206</v>
      </c>
      <c r="AG53" s="158">
        <f t="shared" si="87"/>
        <v>-6.8019613750402563E-3</v>
      </c>
      <c r="AH53" s="158">
        <f t="shared" si="87"/>
        <v>-1.0227428512000151E-2</v>
      </c>
      <c r="AI53" s="158">
        <f t="shared" si="87"/>
        <v>-4.4689844173569658E-2</v>
      </c>
      <c r="AJ53" s="158">
        <f t="shared" si="87"/>
        <v>-4.4113670384856828E-2</v>
      </c>
      <c r="AK53" s="158">
        <f t="shared" si="87"/>
        <v>0.24653967787011841</v>
      </c>
      <c r="AL53" s="158">
        <f t="shared" si="87"/>
        <v>-1.0227428512000151E-2</v>
      </c>
      <c r="AM53" s="158">
        <f t="shared" si="87"/>
        <v>-1.9766829235283029E-2</v>
      </c>
      <c r="AN53" s="158">
        <f t="shared" si="87"/>
        <v>-3.237415880940242E-2</v>
      </c>
      <c r="AO53" s="158">
        <f t="shared" si="87"/>
        <v>-1.707708727968538E-2</v>
      </c>
    </row>
    <row r="54" spans="1:41" x14ac:dyDescent="0.25">
      <c r="A54" s="113" t="s">
        <v>44</v>
      </c>
      <c r="D54" s="7">
        <f t="shared" ref="D54:F54" si="88">SUMIFS($N54:$AB54,$N$5:$AB$5,D$7)</f>
        <v>56279</v>
      </c>
      <c r="E54" s="7">
        <f t="shared" si="88"/>
        <v>7144</v>
      </c>
      <c r="F54" s="7">
        <f t="shared" si="88"/>
        <v>-42423</v>
      </c>
      <c r="G54" s="7">
        <f>SUMIFS($N54:$AG54,$N$5:$AG$5,G$7)</f>
        <v>-29804</v>
      </c>
      <c r="H54" s="7">
        <f>SUMIFS($N54:$AG54,$N$5:$AG$5,H$7)</f>
        <v>-10900</v>
      </c>
      <c r="I54" s="7">
        <f>SUMIFS($N54:$AP54,$N$5:$AP$5,I$7)</f>
        <v>35037</v>
      </c>
      <c r="J54" s="7">
        <f>SUMIFS($N54:$AP54,$N$5:$AP$5,J$7)</f>
        <v>-29341</v>
      </c>
      <c r="K54" s="155"/>
      <c r="L54" s="51">
        <f>SUMIFS($N54:$AR54,$N$4:$AR$4,L$5)</f>
        <v>-29341</v>
      </c>
      <c r="M54" s="155"/>
      <c r="N54" s="52">
        <v>-1798</v>
      </c>
      <c r="O54" s="52">
        <v>-954</v>
      </c>
      <c r="P54" s="52">
        <v>-3217</v>
      </c>
      <c r="Q54" s="52">
        <v>62248</v>
      </c>
      <c r="R54" s="52">
        <v>-1079</v>
      </c>
      <c r="S54" s="52">
        <v>-454</v>
      </c>
      <c r="T54" s="52">
        <v>746</v>
      </c>
      <c r="U54" s="52">
        <v>7931</v>
      </c>
      <c r="V54" s="52">
        <v>-12561</v>
      </c>
      <c r="W54" s="52">
        <v>-4392</v>
      </c>
      <c r="X54" s="52">
        <v>-16886</v>
      </c>
      <c r="Y54" s="52">
        <v>-8584</v>
      </c>
      <c r="Z54" s="52">
        <v>3895</v>
      </c>
      <c r="AA54" s="52">
        <v>-17478</v>
      </c>
      <c r="AB54" s="52">
        <v>-9309</v>
      </c>
      <c r="AC54" s="52">
        <v>-6912</v>
      </c>
      <c r="AD54" s="52">
        <v>-13689</v>
      </c>
      <c r="AE54" s="52">
        <v>-64930</v>
      </c>
      <c r="AF54" s="52">
        <v>51575</v>
      </c>
      <c r="AG54" s="52">
        <v>16144</v>
      </c>
      <c r="AH54" s="52">
        <v>-10476</v>
      </c>
      <c r="AI54" s="52">
        <v>-4519</v>
      </c>
      <c r="AJ54" s="52">
        <v>-431</v>
      </c>
      <c r="AK54" s="52">
        <v>50463</v>
      </c>
      <c r="AL54" s="52">
        <v>-10476</v>
      </c>
      <c r="AM54" s="52">
        <v>-12105</v>
      </c>
      <c r="AN54" s="52">
        <v>-5276</v>
      </c>
      <c r="AO54" s="52">
        <v>-1484</v>
      </c>
    </row>
    <row r="55" spans="1:41" s="151" customFormat="1" x14ac:dyDescent="0.2">
      <c r="A55" s="152" t="s">
        <v>26</v>
      </c>
      <c r="D55" s="158">
        <f>D54/D$10</f>
        <v>6.2617172853393327E-2</v>
      </c>
      <c r="E55" s="158">
        <f t="shared" ref="E55:J55" si="89">E54/E$10</f>
        <v>6.9385832430883688E-3</v>
      </c>
      <c r="F55" s="158">
        <f t="shared" si="89"/>
        <v>-2.6418048191780719E-2</v>
      </c>
      <c r="G55" s="158">
        <f t="shared" si="89"/>
        <v>-1.7670362715558385E-2</v>
      </c>
      <c r="H55" s="158">
        <f t="shared" si="89"/>
        <v>-6.8370921658841644E-3</v>
      </c>
      <c r="I55" s="158">
        <f t="shared" si="89"/>
        <v>2.1682640211250565E-2</v>
      </c>
      <c r="J55" s="158">
        <f t="shared" si="89"/>
        <v>-1.7399518831342498E-2</v>
      </c>
      <c r="K55" s="159"/>
      <c r="L55" s="158">
        <f t="shared" ref="L55" si="90">L54/L$10</f>
        <v>-1.7399518831342498E-2</v>
      </c>
      <c r="M55" s="159"/>
      <c r="N55" s="158">
        <f t="shared" ref="N55:AO55" si="91">N54/N$10</f>
        <v>-8.898875514729173E-3</v>
      </c>
      <c r="O55" s="158">
        <f t="shared" si="91"/>
        <v>-4.2429040320930769E-3</v>
      </c>
      <c r="P55" s="158">
        <f t="shared" si="91"/>
        <v>-1.3465152586924947E-2</v>
      </c>
      <c r="Q55" s="158">
        <f t="shared" si="91"/>
        <v>0.26719090706179283</v>
      </c>
      <c r="R55" s="158">
        <f t="shared" si="91"/>
        <v>-4.5657849637995452E-3</v>
      </c>
      <c r="S55" s="158">
        <f t="shared" si="91"/>
        <v>-1.8839425024067989E-3</v>
      </c>
      <c r="T55" s="158">
        <f t="shared" si="91"/>
        <v>2.854267819086864E-3</v>
      </c>
      <c r="U55" s="158">
        <f t="shared" si="91"/>
        <v>2.7260384621994604E-2</v>
      </c>
      <c r="V55" s="158">
        <f t="shared" si="91"/>
        <v>-3.5267758120625221E-2</v>
      </c>
      <c r="W55" s="158">
        <f t="shared" si="91"/>
        <v>-1.0894559417766169E-2</v>
      </c>
      <c r="X55" s="158">
        <f t="shared" si="91"/>
        <v>-3.9045663494177603E-2</v>
      </c>
      <c r="Y55" s="158">
        <f t="shared" si="91"/>
        <v>-2.0730894442458726E-2</v>
      </c>
      <c r="Z55" s="158">
        <f t="shared" si="91"/>
        <v>9.5478791206636202E-3</v>
      </c>
      <c r="AA55" s="158">
        <f t="shared" si="91"/>
        <v>-4.0750092677433569E-2</v>
      </c>
      <c r="AB55" s="158">
        <f t="shared" si="91"/>
        <v>-2.1089475651612465E-2</v>
      </c>
      <c r="AC55" s="158">
        <f t="shared" si="91"/>
        <v>-1.6924169339634192E-2</v>
      </c>
      <c r="AD55" s="158">
        <f t="shared" si="91"/>
        <v>-3.3643495443418762E-2</v>
      </c>
      <c r="AE55" s="158">
        <f t="shared" si="91"/>
        <v>-0.16460060334119198</v>
      </c>
      <c r="AF55" s="158">
        <f t="shared" si="91"/>
        <v>0.12645425457576834</v>
      </c>
      <c r="AG55" s="158">
        <f t="shared" si="91"/>
        <v>4.1928546941065251E-2</v>
      </c>
      <c r="AH55" s="158">
        <f t="shared" si="91"/>
        <v>-2.4761391516457957E-2</v>
      </c>
      <c r="AI55" s="158">
        <f t="shared" si="91"/>
        <v>-1.2189365392344356E-2</v>
      </c>
      <c r="AJ55" s="158">
        <f t="shared" si="91"/>
        <v>-1.0406103626442609E-3</v>
      </c>
      <c r="AK55" s="158">
        <f t="shared" si="91"/>
        <v>0.12371111274545855</v>
      </c>
      <c r="AL55" s="158">
        <f t="shared" si="91"/>
        <v>-2.4761391516457957E-2</v>
      </c>
      <c r="AM55" s="158">
        <f t="shared" si="91"/>
        <v>-2.9255100610478185E-2</v>
      </c>
      <c r="AN55" s="158">
        <f t="shared" si="91"/>
        <v>-1.217174245552677E-2</v>
      </c>
      <c r="AO55" s="158">
        <f t="shared" si="91"/>
        <v>-3.5673419936730162E-3</v>
      </c>
    </row>
    <row r="56" spans="1:41" x14ac:dyDescent="0.2">
      <c r="A56" s="50"/>
      <c r="D56" s="51"/>
      <c r="E56" s="51"/>
      <c r="F56" s="51"/>
      <c r="G56" s="51"/>
      <c r="H56" s="51"/>
      <c r="I56" s="51"/>
      <c r="J56" s="51"/>
      <c r="L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</row>
    <row r="57" spans="1:41" x14ac:dyDescent="0.2">
      <c r="A57" s="153" t="s">
        <v>45</v>
      </c>
      <c r="B57" s="49"/>
      <c r="C57" s="49"/>
      <c r="D57" s="126">
        <f t="shared" ref="D57:J57" si="92">D47+D50</f>
        <v>26455</v>
      </c>
      <c r="E57" s="126">
        <f t="shared" si="92"/>
        <v>92759.200000000012</v>
      </c>
      <c r="F57" s="126">
        <f t="shared" si="92"/>
        <v>285313</v>
      </c>
      <c r="G57" s="126">
        <f t="shared" si="92"/>
        <v>378210</v>
      </c>
      <c r="H57" s="126">
        <f t="shared" si="92"/>
        <v>383434</v>
      </c>
      <c r="I57" s="126">
        <f t="shared" si="92"/>
        <v>332337</v>
      </c>
      <c r="J57" s="126">
        <f t="shared" si="92"/>
        <v>253963</v>
      </c>
      <c r="K57" s="64"/>
      <c r="L57" s="126">
        <f>L47+L50</f>
        <v>253963</v>
      </c>
      <c r="M57" s="64"/>
      <c r="N57" s="126">
        <f t="shared" ref="N57:AM57" si="93">N47+N50</f>
        <v>242</v>
      </c>
      <c r="O57" s="126">
        <f t="shared" si="93"/>
        <v>-3253</v>
      </c>
      <c r="P57" s="126">
        <f t="shared" si="93"/>
        <v>15312</v>
      </c>
      <c r="Q57" s="126">
        <f t="shared" si="93"/>
        <v>14154</v>
      </c>
      <c r="R57" s="126">
        <f t="shared" si="93"/>
        <v>17988.099999999999</v>
      </c>
      <c r="S57" s="126">
        <f t="shared" si="93"/>
        <v>15297.099999999999</v>
      </c>
      <c r="T57" s="126">
        <f t="shared" si="93"/>
        <v>25558</v>
      </c>
      <c r="U57" s="126">
        <f t="shared" si="93"/>
        <v>33916</v>
      </c>
      <c r="V57" s="126">
        <f t="shared" si="93"/>
        <v>56701</v>
      </c>
      <c r="W57" s="126">
        <f t="shared" si="93"/>
        <v>67691</v>
      </c>
      <c r="X57" s="126">
        <f t="shared" si="93"/>
        <v>97595</v>
      </c>
      <c r="Y57" s="126">
        <f t="shared" si="93"/>
        <v>63326</v>
      </c>
      <c r="Z57" s="126">
        <f t="shared" si="93"/>
        <v>112148</v>
      </c>
      <c r="AA57" s="126">
        <f t="shared" si="93"/>
        <v>84613</v>
      </c>
      <c r="AB57" s="126">
        <f t="shared" si="93"/>
        <v>95530</v>
      </c>
      <c r="AC57" s="126">
        <f t="shared" si="93"/>
        <v>85919</v>
      </c>
      <c r="AD57" s="126">
        <f t="shared" si="93"/>
        <v>82958</v>
      </c>
      <c r="AE57" s="126">
        <f t="shared" si="93"/>
        <v>228746</v>
      </c>
      <c r="AF57" s="126">
        <f t="shared" si="93"/>
        <v>64635</v>
      </c>
      <c r="AG57" s="126">
        <f t="shared" si="93"/>
        <v>7095</v>
      </c>
      <c r="AH57" s="126">
        <f t="shared" si="93"/>
        <v>60803</v>
      </c>
      <c r="AI57" s="126">
        <f t="shared" si="93"/>
        <v>41732</v>
      </c>
      <c r="AJ57" s="126">
        <f t="shared" si="93"/>
        <v>39960</v>
      </c>
      <c r="AK57" s="126">
        <f t="shared" si="93"/>
        <v>189842</v>
      </c>
      <c r="AL57" s="126">
        <f t="shared" si="93"/>
        <v>60803</v>
      </c>
      <c r="AM57" s="126">
        <f t="shared" si="93"/>
        <v>112068</v>
      </c>
      <c r="AN57" s="126">
        <f t="shared" ref="AN57:AO57" si="94">AN47+AN50</f>
        <v>42076</v>
      </c>
      <c r="AO57" s="126">
        <f t="shared" si="94"/>
        <v>39016</v>
      </c>
    </row>
    <row r="58" spans="1:41" s="151" customFormat="1" x14ac:dyDescent="0.2">
      <c r="A58" s="154" t="s">
        <v>26</v>
      </c>
      <c r="D58" s="160">
        <f>D57/D$10</f>
        <v>2.9434377082686623E-2</v>
      </c>
      <c r="E58" s="160">
        <f t="shared" ref="E58:J58" si="95">E57/E$10</f>
        <v>9.0092025582626356E-2</v>
      </c>
      <c r="F58" s="160">
        <f t="shared" si="95"/>
        <v>0.17767278560548599</v>
      </c>
      <c r="G58" s="160">
        <f t="shared" si="95"/>
        <v>0.22423526649615277</v>
      </c>
      <c r="H58" s="160">
        <f t="shared" si="95"/>
        <v>0.2405113392232687</v>
      </c>
      <c r="I58" s="160">
        <f t="shared" si="95"/>
        <v>0.20566668378817762</v>
      </c>
      <c r="J58" s="160">
        <f t="shared" si="95"/>
        <v>0.15060270614376589</v>
      </c>
      <c r="K58" s="159"/>
      <c r="L58" s="160">
        <f t="shared" ref="L58" si="96">L57/L$10</f>
        <v>0.15060270614376589</v>
      </c>
      <c r="M58" s="159"/>
      <c r="N58" s="160">
        <f t="shared" ref="N58:AM58" si="97">N57/N$10</f>
        <v>1.1977351916376306E-3</v>
      </c>
      <c r="O58" s="160">
        <f t="shared" si="97"/>
        <v>-1.4467680101046938E-2</v>
      </c>
      <c r="P58" s="160">
        <f t="shared" si="97"/>
        <v>6.4090275539631578E-2</v>
      </c>
      <c r="Q58" s="160">
        <f t="shared" si="97"/>
        <v>6.0754082035609426E-2</v>
      </c>
      <c r="R58" s="160">
        <f t="shared" si="97"/>
        <v>7.6116586197703978E-2</v>
      </c>
      <c r="S58" s="160">
        <f t="shared" si="97"/>
        <v>6.3477658267768813E-2</v>
      </c>
      <c r="T58" s="160">
        <f t="shared" si="97"/>
        <v>9.7787368525766846E-2</v>
      </c>
      <c r="U58" s="160">
        <f t="shared" si="97"/>
        <v>0.11657586746180418</v>
      </c>
      <c r="V58" s="160">
        <f t="shared" si="97"/>
        <v>0.15920047394296399</v>
      </c>
      <c r="W58" s="160">
        <f t="shared" si="97"/>
        <v>0.1679106606439002</v>
      </c>
      <c r="X58" s="160">
        <f t="shared" si="97"/>
        <v>0.22566987615268644</v>
      </c>
      <c r="Y58" s="160">
        <f t="shared" si="97"/>
        <v>0.15293623269607889</v>
      </c>
      <c r="Z58" s="160">
        <f t="shared" si="97"/>
        <v>0.27491028180338478</v>
      </c>
      <c r="AA58" s="160">
        <f t="shared" si="97"/>
        <v>0.19727586632999694</v>
      </c>
      <c r="AB58" s="160">
        <f t="shared" si="97"/>
        <v>0.21642255978070027</v>
      </c>
      <c r="AC58" s="160">
        <f t="shared" si="97"/>
        <v>0.21037437868808306</v>
      </c>
      <c r="AD58" s="160">
        <f t="shared" si="97"/>
        <v>0.20388611987691824</v>
      </c>
      <c r="AE58" s="160">
        <f t="shared" si="97"/>
        <v>0.5798818668086293</v>
      </c>
      <c r="AF58" s="160">
        <f t="shared" si="97"/>
        <v>0.15847543857498375</v>
      </c>
      <c r="AG58" s="160">
        <f t="shared" si="97"/>
        <v>1.8426848398591301E-2</v>
      </c>
      <c r="AH58" s="160">
        <f t="shared" si="97"/>
        <v>0.14371581599610475</v>
      </c>
      <c r="AI58" s="160">
        <f t="shared" si="97"/>
        <v>0.11256618644684989</v>
      </c>
      <c r="AJ58" s="160">
        <f t="shared" si="97"/>
        <v>9.647979139504563E-2</v>
      </c>
      <c r="AK58" s="160">
        <f t="shared" si="97"/>
        <v>0.46540168174352187</v>
      </c>
      <c r="AL58" s="160">
        <f t="shared" si="97"/>
        <v>0.14371581599610475</v>
      </c>
      <c r="AM58" s="160">
        <f t="shared" si="97"/>
        <v>0.27084350394176532</v>
      </c>
      <c r="AN58" s="160">
        <f t="shared" ref="AN58:AO58" si="98">AN57/AN$10</f>
        <v>9.7069415382627811E-2</v>
      </c>
      <c r="AO58" s="160">
        <f t="shared" si="98"/>
        <v>9.3789363359263064E-2</v>
      </c>
    </row>
    <row r="59" spans="1:41" x14ac:dyDescent="0.2">
      <c r="A59" s="55"/>
      <c r="B59" s="49"/>
      <c r="C59" s="49"/>
      <c r="D59" s="64"/>
      <c r="E59" s="64"/>
      <c r="F59" s="64"/>
      <c r="G59" s="64"/>
      <c r="H59" s="64"/>
      <c r="I59" s="64"/>
      <c r="J59" s="64"/>
      <c r="K59" s="22"/>
      <c r="L59" s="64"/>
      <c r="M59" s="22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</row>
    <row r="60" spans="1:41" ht="18" x14ac:dyDescent="0.25">
      <c r="A60" s="302" t="s">
        <v>327</v>
      </c>
      <c r="B60" s="369"/>
      <c r="C60" s="369"/>
      <c r="D60" s="370">
        <f t="shared" ref="D60:F60" si="99">SUMIFS($N60:$AB60,$N$5:$AB$5,D$7)</f>
        <v>-106048</v>
      </c>
      <c r="E60" s="370">
        <f t="shared" si="99"/>
        <v>0</v>
      </c>
      <c r="F60" s="370">
        <f t="shared" si="99"/>
        <v>0</v>
      </c>
      <c r="G60" s="370">
        <f>SUMIFS($N60:$AG60,$N$5:$AG$5,G$7)</f>
        <v>0</v>
      </c>
      <c r="H60" s="370">
        <f>SUMIFS($N60:$AG60,$N$5:$AG$5,H$7)</f>
        <v>0</v>
      </c>
      <c r="I60" s="370">
        <f>SUMIFS($N60:$AP60,$N$5:$AP$5,I$7)</f>
        <v>-9761</v>
      </c>
      <c r="J60" s="7">
        <f>SUMIFS($N60:$AP60,$N$5:$AP$5,J$7)</f>
        <v>-11913</v>
      </c>
      <c r="K60" s="155"/>
      <c r="L60" s="51">
        <f>SUMIFS($N60:$AP60,$N$4:$AP$4,L$5)</f>
        <v>-11913</v>
      </c>
      <c r="M60" s="155"/>
      <c r="N60" s="52">
        <v>-6605</v>
      </c>
      <c r="O60" s="52">
        <v>-9518</v>
      </c>
      <c r="P60" s="52">
        <v>-74155</v>
      </c>
      <c r="Q60" s="52">
        <v>-15770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2">
        <v>0</v>
      </c>
      <c r="AH60" s="52">
        <v>-2108</v>
      </c>
      <c r="AI60" s="52">
        <v>-1667</v>
      </c>
      <c r="AJ60" s="52">
        <v>-2328</v>
      </c>
      <c r="AK60" s="52">
        <v>-3658</v>
      </c>
      <c r="AL60" s="52">
        <v>-2108</v>
      </c>
      <c r="AM60" s="52">
        <v>-7821</v>
      </c>
      <c r="AN60" s="52">
        <v>-965</v>
      </c>
      <c r="AO60" s="52">
        <v>-1019</v>
      </c>
    </row>
    <row r="61" spans="1:41" s="151" customFormat="1" x14ac:dyDescent="0.2">
      <c r="A61" s="152" t="s">
        <v>26</v>
      </c>
      <c r="D61" s="158">
        <f>D60/D$10</f>
        <v>-0.1179911858198734</v>
      </c>
      <c r="E61" s="158">
        <f t="shared" ref="E61:H61" si="100">E60/E$10</f>
        <v>0</v>
      </c>
      <c r="F61" s="158">
        <f t="shared" si="100"/>
        <v>0</v>
      </c>
      <c r="G61" s="158">
        <f t="shared" si="100"/>
        <v>0</v>
      </c>
      <c r="H61" s="158">
        <f t="shared" si="100"/>
        <v>0</v>
      </c>
      <c r="I61" s="158">
        <f>I60/I$10</f>
        <v>-6.0405928333480824E-3</v>
      </c>
      <c r="J61" s="158">
        <f>J60/J$10</f>
        <v>-7.0645331732995869E-3</v>
      </c>
      <c r="K61" s="159"/>
      <c r="L61" s="158">
        <f t="shared" ref="L61" si="101">L60/L$10</f>
        <v>-7.0645331732995869E-3</v>
      </c>
      <c r="M61" s="159"/>
      <c r="N61" s="158">
        <f t="shared" ref="N61:AF61" si="102">N60/N$10</f>
        <v>-3.2690251821349381E-2</v>
      </c>
      <c r="O61" s="158">
        <f t="shared" si="102"/>
        <v>-4.2331195573859441E-2</v>
      </c>
      <c r="P61" s="158">
        <f t="shared" si="102"/>
        <v>-0.31038495184439524</v>
      </c>
      <c r="Q61" s="158">
        <f t="shared" si="102"/>
        <v>-6.7690537918719845E-2</v>
      </c>
      <c r="R61" s="158">
        <f t="shared" si="102"/>
        <v>0</v>
      </c>
      <c r="S61" s="158">
        <f t="shared" si="102"/>
        <v>0</v>
      </c>
      <c r="T61" s="158">
        <f t="shared" si="102"/>
        <v>0</v>
      </c>
      <c r="U61" s="158">
        <f t="shared" si="102"/>
        <v>0</v>
      </c>
      <c r="V61" s="158">
        <f t="shared" si="102"/>
        <v>0</v>
      </c>
      <c r="W61" s="158">
        <f t="shared" si="102"/>
        <v>0</v>
      </c>
      <c r="X61" s="158">
        <f t="shared" si="102"/>
        <v>0</v>
      </c>
      <c r="Y61" s="158">
        <f t="shared" si="102"/>
        <v>0</v>
      </c>
      <c r="Z61" s="158">
        <f t="shared" si="102"/>
        <v>0</v>
      </c>
      <c r="AA61" s="158">
        <f t="shared" si="102"/>
        <v>0</v>
      </c>
      <c r="AB61" s="158">
        <f t="shared" si="102"/>
        <v>0</v>
      </c>
      <c r="AC61" s="158">
        <f t="shared" si="102"/>
        <v>0</v>
      </c>
      <c r="AD61" s="158">
        <f t="shared" si="102"/>
        <v>0</v>
      </c>
      <c r="AE61" s="158">
        <f t="shared" si="102"/>
        <v>0</v>
      </c>
      <c r="AF61" s="158">
        <f t="shared" si="102"/>
        <v>0</v>
      </c>
      <c r="AG61" s="158">
        <v>0</v>
      </c>
      <c r="AH61" s="158">
        <v>0</v>
      </c>
      <c r="AI61" s="158">
        <v>0</v>
      </c>
      <c r="AJ61" s="158">
        <v>0</v>
      </c>
      <c r="AK61" s="158">
        <v>0</v>
      </c>
      <c r="AL61" s="158">
        <f t="shared" ref="AL61:AO61" si="103">AL60/AL$10</f>
        <v>-4.9825327717347625E-3</v>
      </c>
      <c r="AM61" s="158">
        <f>AM60/AM$10</f>
        <v>-1.8901622624911182E-2</v>
      </c>
      <c r="AN61" s="158">
        <f t="shared" si="103"/>
        <v>-2.2262569123546877E-3</v>
      </c>
      <c r="AO61" s="158">
        <f t="shared" si="103"/>
        <v>-2.4495427840652314E-3</v>
      </c>
    </row>
    <row r="62" spans="1:41" x14ac:dyDescent="0.2">
      <c r="A62" s="50"/>
      <c r="B62" s="1"/>
      <c r="C62" s="1"/>
      <c r="D62" s="51"/>
      <c r="E62" s="51"/>
      <c r="F62" s="51"/>
      <c r="G62" s="51"/>
      <c r="H62" s="51"/>
      <c r="I62" s="51"/>
      <c r="J62" s="51"/>
      <c r="L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</row>
    <row r="63" spans="1:41" x14ac:dyDescent="0.2">
      <c r="A63" s="153" t="s">
        <v>46</v>
      </c>
      <c r="B63" s="49"/>
      <c r="C63" s="49"/>
      <c r="D63" s="126">
        <f t="shared" ref="D63:AM63" si="104">D57+D60</f>
        <v>-79593</v>
      </c>
      <c r="E63" s="126">
        <f t="shared" si="104"/>
        <v>92759.200000000012</v>
      </c>
      <c r="F63" s="126">
        <f t="shared" si="104"/>
        <v>285313</v>
      </c>
      <c r="G63" s="126">
        <f>G57+G60</f>
        <v>378210</v>
      </c>
      <c r="H63" s="126">
        <f>H57+H60</f>
        <v>383434</v>
      </c>
      <c r="I63" s="126">
        <f>I57+I60</f>
        <v>322576</v>
      </c>
      <c r="J63" s="126">
        <f>J57+J60</f>
        <v>242050</v>
      </c>
      <c r="K63" s="64"/>
      <c r="L63" s="126">
        <f t="shared" si="104"/>
        <v>242050</v>
      </c>
      <c r="M63" s="64"/>
      <c r="N63" s="126">
        <f t="shared" si="104"/>
        <v>-6363</v>
      </c>
      <c r="O63" s="126">
        <f t="shared" si="104"/>
        <v>-12771</v>
      </c>
      <c r="P63" s="126">
        <f t="shared" si="104"/>
        <v>-58843</v>
      </c>
      <c r="Q63" s="126">
        <f t="shared" si="104"/>
        <v>-1616</v>
      </c>
      <c r="R63" s="126">
        <f t="shared" si="104"/>
        <v>17988.099999999999</v>
      </c>
      <c r="S63" s="126">
        <f t="shared" si="104"/>
        <v>15297.099999999999</v>
      </c>
      <c r="T63" s="126">
        <f t="shared" si="104"/>
        <v>25558</v>
      </c>
      <c r="U63" s="126">
        <f t="shared" si="104"/>
        <v>33916</v>
      </c>
      <c r="V63" s="126">
        <f t="shared" si="104"/>
        <v>56701</v>
      </c>
      <c r="W63" s="126">
        <f t="shared" si="104"/>
        <v>67691</v>
      </c>
      <c r="X63" s="126">
        <f t="shared" si="104"/>
        <v>97595</v>
      </c>
      <c r="Y63" s="126">
        <f t="shared" si="104"/>
        <v>63326</v>
      </c>
      <c r="Z63" s="126">
        <f t="shared" si="104"/>
        <v>112148</v>
      </c>
      <c r="AA63" s="126">
        <f t="shared" si="104"/>
        <v>84613</v>
      </c>
      <c r="AB63" s="126">
        <f t="shared" si="104"/>
        <v>95530</v>
      </c>
      <c r="AC63" s="126">
        <f t="shared" si="104"/>
        <v>85919</v>
      </c>
      <c r="AD63" s="126">
        <f t="shared" si="104"/>
        <v>82958</v>
      </c>
      <c r="AE63" s="126">
        <f t="shared" si="104"/>
        <v>228746</v>
      </c>
      <c r="AF63" s="126">
        <f t="shared" si="104"/>
        <v>64635</v>
      </c>
      <c r="AG63" s="126">
        <f t="shared" si="104"/>
        <v>7095</v>
      </c>
      <c r="AH63" s="126">
        <f t="shared" si="104"/>
        <v>58695</v>
      </c>
      <c r="AI63" s="126">
        <f t="shared" si="104"/>
        <v>40065</v>
      </c>
      <c r="AJ63" s="126">
        <f t="shared" si="104"/>
        <v>37632</v>
      </c>
      <c r="AK63" s="126">
        <f t="shared" si="104"/>
        <v>186184</v>
      </c>
      <c r="AL63" s="126">
        <f t="shared" si="104"/>
        <v>58695</v>
      </c>
      <c r="AM63" s="126">
        <f t="shared" si="104"/>
        <v>104247</v>
      </c>
      <c r="AN63" s="126">
        <f t="shared" ref="AN63:AO63" si="105">AN57+AN60</f>
        <v>41111</v>
      </c>
      <c r="AO63" s="126">
        <f t="shared" si="105"/>
        <v>37997</v>
      </c>
    </row>
    <row r="64" spans="1:41" s="151" customFormat="1" x14ac:dyDescent="0.2">
      <c r="A64" s="154" t="s">
        <v>26</v>
      </c>
      <c r="D64" s="160">
        <f>D63/D$10</f>
        <v>-8.8556808737186785E-2</v>
      </c>
      <c r="E64" s="160">
        <f t="shared" ref="E64:J64" si="106">E63/E$10</f>
        <v>9.0092025582626356E-2</v>
      </c>
      <c r="F64" s="160">
        <f t="shared" si="106"/>
        <v>0.17767278560548599</v>
      </c>
      <c r="G64" s="160">
        <f t="shared" si="106"/>
        <v>0.22423526649615277</v>
      </c>
      <c r="H64" s="160">
        <f t="shared" si="106"/>
        <v>0.2405113392232687</v>
      </c>
      <c r="I64" s="160">
        <f t="shared" si="106"/>
        <v>0.19962609095482953</v>
      </c>
      <c r="J64" s="160">
        <f t="shared" si="106"/>
        <v>0.14353817297046631</v>
      </c>
      <c r="K64" s="159"/>
      <c r="L64" s="160">
        <f t="shared" ref="L64" si="107">L63/L$10</f>
        <v>0.14353817297046631</v>
      </c>
      <c r="M64" s="159"/>
      <c r="N64" s="160">
        <f t="shared" ref="N64:AM64" si="108">N63/N$10</f>
        <v>-3.1492516629711753E-2</v>
      </c>
      <c r="O64" s="160">
        <f t="shared" si="108"/>
        <v>-5.6798875674906379E-2</v>
      </c>
      <c r="P64" s="160">
        <f t="shared" si="108"/>
        <v>-0.24629467630476365</v>
      </c>
      <c r="Q64" s="160">
        <f t="shared" si="108"/>
        <v>-6.9364558831104166E-3</v>
      </c>
      <c r="R64" s="160">
        <f t="shared" si="108"/>
        <v>7.6116586197703978E-2</v>
      </c>
      <c r="S64" s="160">
        <f t="shared" si="108"/>
        <v>6.3477658267768813E-2</v>
      </c>
      <c r="T64" s="160">
        <f t="shared" si="108"/>
        <v>9.7787368525766846E-2</v>
      </c>
      <c r="U64" s="160">
        <f t="shared" si="108"/>
        <v>0.11657586746180418</v>
      </c>
      <c r="V64" s="160">
        <f t="shared" si="108"/>
        <v>0.15920047394296399</v>
      </c>
      <c r="W64" s="160">
        <f t="shared" si="108"/>
        <v>0.1679106606439002</v>
      </c>
      <c r="X64" s="160">
        <f t="shared" si="108"/>
        <v>0.22566987615268644</v>
      </c>
      <c r="Y64" s="160">
        <f t="shared" si="108"/>
        <v>0.15293623269607889</v>
      </c>
      <c r="Z64" s="160">
        <f t="shared" si="108"/>
        <v>0.27491028180338478</v>
      </c>
      <c r="AA64" s="160">
        <f t="shared" si="108"/>
        <v>0.19727586632999694</v>
      </c>
      <c r="AB64" s="160">
        <f t="shared" si="108"/>
        <v>0.21642255978070027</v>
      </c>
      <c r="AC64" s="160">
        <f t="shared" si="108"/>
        <v>0.21037437868808306</v>
      </c>
      <c r="AD64" s="160">
        <f t="shared" si="108"/>
        <v>0.20388611987691824</v>
      </c>
      <c r="AE64" s="160">
        <f t="shared" si="108"/>
        <v>0.5798818668086293</v>
      </c>
      <c r="AF64" s="160">
        <f t="shared" si="108"/>
        <v>0.15847543857498375</v>
      </c>
      <c r="AG64" s="160">
        <f t="shared" si="108"/>
        <v>1.8426848398591301E-2</v>
      </c>
      <c r="AH64" s="160">
        <f t="shared" si="108"/>
        <v>0.13873328322436998</v>
      </c>
      <c r="AI64" s="160">
        <f t="shared" si="108"/>
        <v>0.10806968896753189</v>
      </c>
      <c r="AJ64" s="160">
        <f t="shared" si="108"/>
        <v>9.0859046791250175E-2</v>
      </c>
      <c r="AK64" s="160">
        <f t="shared" si="108"/>
        <v>0.45643401730773947</v>
      </c>
      <c r="AL64" s="160">
        <f t="shared" si="108"/>
        <v>0.13873328322436998</v>
      </c>
      <c r="AM64" s="160">
        <f t="shared" si="108"/>
        <v>0.25194188131685413</v>
      </c>
      <c r="AN64" s="160">
        <f t="shared" ref="AN64:AO64" si="109">AN63/AN$10</f>
        <v>9.4843158470273123E-2</v>
      </c>
      <c r="AO64" s="160">
        <f t="shared" si="109"/>
        <v>9.1339820575197836E-2</v>
      </c>
    </row>
    <row r="66" spans="1:41" x14ac:dyDescent="0.2">
      <c r="A66" s="60"/>
      <c r="D66" s="61"/>
      <c r="E66" s="61"/>
      <c r="F66" s="61"/>
      <c r="G66" s="61"/>
      <c r="H66" s="61"/>
      <c r="I66" s="61"/>
      <c r="J66" s="61"/>
      <c r="L66" s="61"/>
      <c r="N66" s="61"/>
      <c r="O66" s="62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</row>
    <row r="69" spans="1:41" s="22" customFormat="1" x14ac:dyDescent="0.2">
      <c r="A69" s="131" t="s">
        <v>47</v>
      </c>
      <c r="D69" s="64">
        <f t="shared" ref="D69:J69" si="110">D47</f>
        <v>-29525</v>
      </c>
      <c r="E69" s="64">
        <f t="shared" si="110"/>
        <v>109912.20000000001</v>
      </c>
      <c r="F69" s="64">
        <f t="shared" si="110"/>
        <v>390213</v>
      </c>
      <c r="G69" s="64">
        <f t="shared" si="110"/>
        <v>518360</v>
      </c>
      <c r="H69" s="64">
        <f t="shared" si="110"/>
        <v>505839</v>
      </c>
      <c r="I69" s="64">
        <f t="shared" si="110"/>
        <v>235900</v>
      </c>
      <c r="J69" s="64">
        <f t="shared" si="110"/>
        <v>316947</v>
      </c>
      <c r="K69" s="64"/>
      <c r="L69" s="64">
        <f>L47</f>
        <v>316947</v>
      </c>
      <c r="M69" s="64"/>
      <c r="N69" s="64">
        <f t="shared" ref="N69:AL69" si="111">N47</f>
        <v>2121</v>
      </c>
      <c r="O69" s="64">
        <f t="shared" si="111"/>
        <v>-2224</v>
      </c>
      <c r="P69" s="64">
        <f t="shared" si="111"/>
        <v>18606</v>
      </c>
      <c r="Q69" s="64">
        <f t="shared" si="111"/>
        <v>-48028</v>
      </c>
      <c r="R69" s="64">
        <f t="shared" si="111"/>
        <v>19600.099999999999</v>
      </c>
      <c r="S69" s="64">
        <f t="shared" si="111"/>
        <v>22970.1</v>
      </c>
      <c r="T69" s="64">
        <f t="shared" si="111"/>
        <v>32333</v>
      </c>
      <c r="U69" s="64">
        <f t="shared" si="111"/>
        <v>35009</v>
      </c>
      <c r="V69" s="64">
        <f t="shared" si="111"/>
        <v>83169</v>
      </c>
      <c r="W69" s="64">
        <f t="shared" si="111"/>
        <v>91843</v>
      </c>
      <c r="X69" s="64">
        <f t="shared" si="111"/>
        <v>117791</v>
      </c>
      <c r="Y69" s="64">
        <f t="shared" si="111"/>
        <v>97410</v>
      </c>
      <c r="Z69" s="64">
        <f t="shared" si="111"/>
        <v>139588</v>
      </c>
      <c r="AA69" s="64">
        <f t="shared" si="111"/>
        <v>126131</v>
      </c>
      <c r="AB69" s="64">
        <f t="shared" si="111"/>
        <v>138267</v>
      </c>
      <c r="AC69" s="64">
        <f t="shared" si="111"/>
        <v>114374</v>
      </c>
      <c r="AD69" s="64">
        <f t="shared" si="111"/>
        <v>117367</v>
      </c>
      <c r="AE69" s="64">
        <f t="shared" si="111"/>
        <v>303914</v>
      </c>
      <c r="AF69" s="64">
        <f t="shared" si="111"/>
        <v>90988</v>
      </c>
      <c r="AG69" s="64">
        <f t="shared" si="111"/>
        <v>-6430</v>
      </c>
      <c r="AH69" s="64">
        <f t="shared" si="111"/>
        <v>75606</v>
      </c>
      <c r="AI69" s="64">
        <f t="shared" si="111"/>
        <v>62819</v>
      </c>
      <c r="AJ69" s="64">
        <f t="shared" si="111"/>
        <v>58662</v>
      </c>
      <c r="AK69" s="64">
        <f t="shared" si="111"/>
        <v>38813</v>
      </c>
      <c r="AL69" s="64">
        <f t="shared" si="111"/>
        <v>75606</v>
      </c>
      <c r="AM69" s="64">
        <f>AM47</f>
        <v>132352</v>
      </c>
      <c r="AN69" s="64">
        <f>AN47</f>
        <v>61385</v>
      </c>
      <c r="AO69" s="64">
        <f>AO47</f>
        <v>47604</v>
      </c>
    </row>
    <row r="70" spans="1:41" s="151" customFormat="1" x14ac:dyDescent="0.2">
      <c r="A70" s="152" t="s">
        <v>26</v>
      </c>
      <c r="D70" s="158">
        <f>D69/D$10</f>
        <v>-3.285012222136921E-2</v>
      </c>
      <c r="E70" s="158">
        <f t="shared" ref="E70:J70" si="112">E69/E$10</f>
        <v>0.10675181258832271</v>
      </c>
      <c r="F70" s="158">
        <f t="shared" si="112"/>
        <v>0.24299709683566295</v>
      </c>
      <c r="G70" s="158">
        <f t="shared" si="112"/>
        <v>0.30732818471469753</v>
      </c>
      <c r="H70" s="158">
        <f t="shared" si="112"/>
        <v>0.31729062973382383</v>
      </c>
      <c r="I70" s="158">
        <f t="shared" si="112"/>
        <v>0.14598666626235146</v>
      </c>
      <c r="J70" s="158">
        <f t="shared" si="112"/>
        <v>0.18795287464767768</v>
      </c>
      <c r="K70" s="159"/>
      <c r="L70" s="158">
        <f t="shared" ref="L70" si="113">L69/L$10</f>
        <v>0.18795287464767768</v>
      </c>
      <c r="M70" s="159"/>
      <c r="N70" s="158">
        <f t="shared" ref="N70:AM70" si="114">N69/N$10</f>
        <v>1.0497505543237251E-2</v>
      </c>
      <c r="O70" s="158">
        <f t="shared" si="114"/>
        <v>-9.8912144312106945E-3</v>
      </c>
      <c r="P70" s="158">
        <f t="shared" si="114"/>
        <v>7.7877721178839163E-2</v>
      </c>
      <c r="Q70" s="158">
        <f t="shared" si="114"/>
        <v>-0.20615352917947222</v>
      </c>
      <c r="R70" s="158">
        <f t="shared" si="114"/>
        <v>8.2937758914705714E-2</v>
      </c>
      <c r="S70" s="158">
        <f t="shared" si="114"/>
        <v>9.5317946419679306E-2</v>
      </c>
      <c r="T70" s="158">
        <f t="shared" si="114"/>
        <v>0.12370917077015492</v>
      </c>
      <c r="U70" s="158">
        <f t="shared" si="114"/>
        <v>0.12033272036709231</v>
      </c>
      <c r="V70" s="158">
        <f t="shared" si="114"/>
        <v>0.2335151799326709</v>
      </c>
      <c r="W70" s="158">
        <f t="shared" si="114"/>
        <v>0.22782081525635206</v>
      </c>
      <c r="X70" s="158">
        <f t="shared" si="114"/>
        <v>0.27236928512629838</v>
      </c>
      <c r="Y70" s="158">
        <f t="shared" si="114"/>
        <v>0.23525121477631694</v>
      </c>
      <c r="Z70" s="158">
        <f t="shared" si="114"/>
        <v>0.34217441609632693</v>
      </c>
      <c r="AA70" s="158">
        <f t="shared" si="114"/>
        <v>0.29407540562406304</v>
      </c>
      <c r="AB70" s="158">
        <f t="shared" si="114"/>
        <v>0.31324294015699866</v>
      </c>
      <c r="AC70" s="158">
        <f t="shared" si="114"/>
        <v>0.28004701158149897</v>
      </c>
      <c r="AD70" s="158">
        <f t="shared" si="114"/>
        <v>0.28845322008238222</v>
      </c>
      <c r="AE70" s="158">
        <f t="shared" si="114"/>
        <v>0.77043628159302358</v>
      </c>
      <c r="AF70" s="158">
        <f t="shared" si="114"/>
        <v>0.22308908803373748</v>
      </c>
      <c r="AG70" s="158">
        <f t="shared" si="114"/>
        <v>-1.6699737167433695E-2</v>
      </c>
      <c r="AH70" s="158">
        <f t="shared" si="114"/>
        <v>0.17870463602456285</v>
      </c>
      <c r="AI70" s="158">
        <f t="shared" si="114"/>
        <v>0.1694453960127639</v>
      </c>
      <c r="AJ70" s="158">
        <f t="shared" si="114"/>
        <v>0.14163407214254672</v>
      </c>
      <c r="AK70" s="158">
        <f t="shared" si="114"/>
        <v>9.5150891127944892E-2</v>
      </c>
      <c r="AL70" s="158">
        <f t="shared" si="114"/>
        <v>0.17870463602456285</v>
      </c>
      <c r="AM70" s="158">
        <f t="shared" si="114"/>
        <v>0.31986543378752652</v>
      </c>
      <c r="AN70" s="158">
        <f t="shared" ref="AN70:AO70" si="115">AN69/AN$10</f>
        <v>0.141615316647557</v>
      </c>
      <c r="AO70" s="158">
        <f t="shared" si="115"/>
        <v>0.11443379263262146</v>
      </c>
    </row>
    <row r="71" spans="1:41" x14ac:dyDescent="0.2">
      <c r="A71" s="131"/>
      <c r="D71" s="64"/>
      <c r="E71" s="64"/>
      <c r="F71" s="64"/>
      <c r="G71" s="64"/>
      <c r="H71" s="64"/>
      <c r="I71" s="64"/>
      <c r="J71" s="64"/>
      <c r="L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</row>
    <row r="72" spans="1:41" x14ac:dyDescent="0.25">
      <c r="A72" s="132" t="s">
        <v>48</v>
      </c>
      <c r="D72" s="7">
        <f t="shared" ref="D72:F72" si="116">SUMIFS($N72:$AB72,$N$5:$AB$5,D$7)</f>
        <v>56789</v>
      </c>
      <c r="E72" s="7">
        <f t="shared" si="116"/>
        <v>11772</v>
      </c>
      <c r="F72" s="7">
        <f t="shared" si="116"/>
        <v>21991</v>
      </c>
      <c r="G72" s="7">
        <f>SUMIFS($N72:$AG72,$N$5:$AG$5,G$7)</f>
        <v>32521</v>
      </c>
      <c r="H72" s="7">
        <f>SUMIFS($N72:$AG72,$N$5:$AG$5,H$7)</f>
        <v>17761</v>
      </c>
      <c r="I72" s="7">
        <f>SUMIFS($N72:$AP72,$N$5:$AP$5,I$7)</f>
        <v>49464</v>
      </c>
      <c r="J72" s="7">
        <f>SUMIFS($N72:$AP72,$N$5:$AP$5,J$7)</f>
        <v>50066</v>
      </c>
      <c r="K72" s="155"/>
      <c r="L72" s="51">
        <f>SUMIFS($N72:$AR72,$N$4:$AR$4,L$5)</f>
        <v>50066</v>
      </c>
      <c r="M72" s="155"/>
      <c r="N72" s="52">
        <v>3825</v>
      </c>
      <c r="O72" s="52">
        <v>3224</v>
      </c>
      <c r="P72" s="52">
        <v>4126</v>
      </c>
      <c r="Q72" s="52">
        <v>45614</v>
      </c>
      <c r="R72" s="52">
        <v>3781</v>
      </c>
      <c r="S72" s="52">
        <v>2893</v>
      </c>
      <c r="T72" s="52">
        <v>1650</v>
      </c>
      <c r="U72" s="52">
        <v>3448</v>
      </c>
      <c r="V72" s="52">
        <v>4576</v>
      </c>
      <c r="W72" s="52">
        <v>5221</v>
      </c>
      <c r="X72" s="52">
        <v>4825</v>
      </c>
      <c r="Y72" s="52">
        <v>7369</v>
      </c>
      <c r="Z72" s="52">
        <v>7847</v>
      </c>
      <c r="AA72" s="52">
        <v>9508</v>
      </c>
      <c r="AB72" s="52">
        <v>8923</v>
      </c>
      <c r="AC72" s="52">
        <v>6243</v>
      </c>
      <c r="AD72" s="52">
        <v>5026</v>
      </c>
      <c r="AE72" s="52">
        <v>4665</v>
      </c>
      <c r="AF72" s="52">
        <v>4660</v>
      </c>
      <c r="AG72" s="52">
        <v>3410</v>
      </c>
      <c r="AH72" s="52">
        <v>12382</v>
      </c>
      <c r="AI72" s="52">
        <v>11889</v>
      </c>
      <c r="AJ72" s="52">
        <v>11483</v>
      </c>
      <c r="AK72" s="52">
        <v>13710</v>
      </c>
      <c r="AL72" s="52">
        <v>12382</v>
      </c>
      <c r="AM72" s="52">
        <v>13455</v>
      </c>
      <c r="AN72" s="52">
        <v>12762</v>
      </c>
      <c r="AO72" s="52">
        <v>11467</v>
      </c>
    </row>
    <row r="73" spans="1:41" s="151" customFormat="1" x14ac:dyDescent="0.2">
      <c r="A73" s="152" t="s">
        <v>26</v>
      </c>
      <c r="D73" s="158">
        <f>D72/D$10</f>
        <v>6.3184609342229844E-2</v>
      </c>
      <c r="E73" s="158">
        <f t="shared" ref="E73:J73" si="117">E72/E$10</f>
        <v>1.1433510909523555E-2</v>
      </c>
      <c r="F73" s="158">
        <f t="shared" si="117"/>
        <v>1.3694441642162266E-2</v>
      </c>
      <c r="G73" s="158">
        <f t="shared" si="117"/>
        <v>1.9281232917483366E-2</v>
      </c>
      <c r="H73" s="158">
        <f t="shared" si="117"/>
        <v>1.1140696693419142E-2</v>
      </c>
      <c r="I73" s="158">
        <f t="shared" si="117"/>
        <v>3.0610786180589034E-2</v>
      </c>
      <c r="J73" s="158">
        <f t="shared" si="117"/>
        <v>2.9689659855151273E-2</v>
      </c>
      <c r="K73" s="159"/>
      <c r="L73" s="158">
        <f t="shared" ref="L73" si="118">L72/L$10</f>
        <v>2.9689659855151273E-2</v>
      </c>
      <c r="M73" s="159"/>
      <c r="N73" s="158">
        <f t="shared" ref="N73:AO73" si="119">N72/N$10</f>
        <v>1.8931145074437758E-2</v>
      </c>
      <c r="O73" s="158">
        <f t="shared" si="119"/>
        <v>1.4338702934452914E-2</v>
      </c>
      <c r="P73" s="158">
        <f t="shared" si="119"/>
        <v>1.7269884853482229E-2</v>
      </c>
      <c r="Q73" s="158">
        <f t="shared" si="119"/>
        <v>0.19579176896794465</v>
      </c>
      <c r="R73" s="158">
        <f t="shared" si="119"/>
        <v>1.5999289108550585E-2</v>
      </c>
      <c r="S73" s="158">
        <f t="shared" si="119"/>
        <v>1.200494638648209E-2</v>
      </c>
      <c r="T73" s="158">
        <f t="shared" si="119"/>
        <v>6.3130588491867633E-3</v>
      </c>
      <c r="U73" s="158">
        <f t="shared" si="119"/>
        <v>1.1851444480725936E-2</v>
      </c>
      <c r="V73" s="158">
        <f t="shared" si="119"/>
        <v>1.2848122057159543E-2</v>
      </c>
      <c r="W73" s="158">
        <f t="shared" si="119"/>
        <v>1.2950932313332688E-2</v>
      </c>
      <c r="X73" s="158">
        <f t="shared" si="119"/>
        <v>1.1156894845398967E-2</v>
      </c>
      <c r="Y73" s="158">
        <f t="shared" si="119"/>
        <v>1.7796593796188066E-2</v>
      </c>
      <c r="Z73" s="158">
        <f t="shared" si="119"/>
        <v>1.9235483301629636E-2</v>
      </c>
      <c r="AA73" s="158">
        <f t="shared" si="119"/>
        <v>2.2167975808275453E-2</v>
      </c>
      <c r="AB73" s="158">
        <f t="shared" si="119"/>
        <v>2.0214995299101732E-2</v>
      </c>
      <c r="AC73" s="158">
        <f t="shared" si="119"/>
        <v>1.5286109546778972E-2</v>
      </c>
      <c r="AD73" s="158">
        <f t="shared" si="119"/>
        <v>1.2352414938901506E-2</v>
      </c>
      <c r="AE73" s="158">
        <f t="shared" si="119"/>
        <v>1.1825994372195604E-2</v>
      </c>
      <c r="AF73" s="158">
        <f t="shared" si="119"/>
        <v>1.1425629206458178E-2</v>
      </c>
      <c r="AG73" s="158">
        <f t="shared" si="119"/>
        <v>8.8563147342066717E-3</v>
      </c>
      <c r="AH73" s="158">
        <f t="shared" si="119"/>
        <v>2.9266470958073925E-2</v>
      </c>
      <c r="AI73" s="158">
        <f t="shared" si="119"/>
        <v>3.2068901338699281E-2</v>
      </c>
      <c r="AJ73" s="158">
        <f t="shared" si="119"/>
        <v>2.7724660775508232E-2</v>
      </c>
      <c r="AK73" s="158">
        <f t="shared" si="119"/>
        <v>3.3610355225417374E-2</v>
      </c>
      <c r="AL73" s="158">
        <f t="shared" si="119"/>
        <v>2.9266470958073925E-2</v>
      </c>
      <c r="AM73" s="158">
        <f t="shared" si="119"/>
        <v>3.2517751236182071E-2</v>
      </c>
      <c r="AN73" s="158">
        <f t="shared" si="119"/>
        <v>2.9441959290643031E-2</v>
      </c>
      <c r="AO73" s="158">
        <f t="shared" si="119"/>
        <v>2.7565168895854766E-2</v>
      </c>
    </row>
    <row r="74" spans="1:41" x14ac:dyDescent="0.25">
      <c r="A74" s="132" t="s">
        <v>49</v>
      </c>
      <c r="D74" s="7">
        <f t="shared" ref="D74:F74" si="120">SUMIFS($N74:$AB74,$N$5:$AB$5,D$7)</f>
        <v>60520</v>
      </c>
      <c r="E74" s="7">
        <f t="shared" si="120"/>
        <v>65464</v>
      </c>
      <c r="F74" s="7">
        <f t="shared" si="120"/>
        <v>70453</v>
      </c>
      <c r="G74" s="7">
        <f>SUMIFS($N74:$AG74,$N$5:$AG$5,G$7)</f>
        <v>70507</v>
      </c>
      <c r="H74" s="7">
        <f>SUMIFS($N74:$AG74,$N$5:$AG$5,H$7)</f>
        <v>94845</v>
      </c>
      <c r="I74" s="7">
        <f>SUMIFS($N74:$AP74,$N$5:$AP$5,I$7)</f>
        <v>151533</v>
      </c>
      <c r="J74" s="7">
        <f>SUMIFS($N74:$AP74,$N$5:$AP$5,J$7)</f>
        <v>154038</v>
      </c>
      <c r="K74" s="155"/>
      <c r="L74" s="51">
        <f>SUMIFS($N74:$AR74,$N$4:$AR$4,L$5)</f>
        <v>154038</v>
      </c>
      <c r="M74" s="155"/>
      <c r="N74" s="52">
        <v>15174</v>
      </c>
      <c r="O74" s="52">
        <v>16369</v>
      </c>
      <c r="P74" s="52">
        <v>14326</v>
      </c>
      <c r="Q74" s="52">
        <v>14651</v>
      </c>
      <c r="R74" s="52">
        <v>13718</v>
      </c>
      <c r="S74" s="52">
        <v>16148</v>
      </c>
      <c r="T74" s="52">
        <v>17307</v>
      </c>
      <c r="U74" s="52">
        <v>18291</v>
      </c>
      <c r="V74" s="52">
        <v>17411</v>
      </c>
      <c r="W74" s="52">
        <v>17203</v>
      </c>
      <c r="X74" s="52">
        <v>17580</v>
      </c>
      <c r="Y74" s="52">
        <v>18259</v>
      </c>
      <c r="Z74" s="52">
        <v>16028</v>
      </c>
      <c r="AA74" s="52">
        <v>17247</v>
      </c>
      <c r="AB74" s="52">
        <v>18056</v>
      </c>
      <c r="AC74" s="52">
        <v>19176</v>
      </c>
      <c r="AD74" s="52">
        <v>20314</v>
      </c>
      <c r="AE74" s="52">
        <v>22104</v>
      </c>
      <c r="AF74" s="52">
        <v>23437</v>
      </c>
      <c r="AG74" s="52">
        <v>28990</v>
      </c>
      <c r="AH74" s="52">
        <v>39193</v>
      </c>
      <c r="AI74" s="52">
        <v>35060</v>
      </c>
      <c r="AJ74" s="52">
        <v>38522</v>
      </c>
      <c r="AK74" s="52">
        <v>38758</v>
      </c>
      <c r="AL74" s="52">
        <v>39193</v>
      </c>
      <c r="AM74" s="52">
        <v>35884</v>
      </c>
      <c r="AN74" s="52">
        <v>39062</v>
      </c>
      <c r="AO74" s="52">
        <v>39899</v>
      </c>
    </row>
    <row r="75" spans="1:41" s="151" customFormat="1" x14ac:dyDescent="0.2">
      <c r="A75" s="152" t="s">
        <v>26</v>
      </c>
      <c r="D75" s="158">
        <f>D74/D$10</f>
        <v>6.733579667526722E-2</v>
      </c>
      <c r="E75" s="158">
        <f t="shared" ref="E75:J75" si="121">E74/E$10</f>
        <v>6.3581664813205069E-2</v>
      </c>
      <c r="F75" s="158">
        <f t="shared" si="121"/>
        <v>4.3873152517632581E-2</v>
      </c>
      <c r="G75" s="158">
        <f t="shared" si="121"/>
        <v>4.1802585692721619E-2</v>
      </c>
      <c r="H75" s="158">
        <f t="shared" si="121"/>
        <v>5.9492110685622344E-2</v>
      </c>
      <c r="I75" s="158">
        <f t="shared" si="121"/>
        <v>9.3776165742827072E-2</v>
      </c>
      <c r="J75" s="158">
        <f t="shared" si="121"/>
        <v>9.1346139591095596E-2</v>
      </c>
      <c r="K75" s="159"/>
      <c r="L75" s="158">
        <f t="shared" ref="L75" si="122">L74/L$10</f>
        <v>9.1346139591095596E-2</v>
      </c>
      <c r="M75" s="159"/>
      <c r="N75" s="158">
        <f t="shared" ref="N75:AO75" si="123">N74/N$10</f>
        <v>7.5100966107063669E-2</v>
      </c>
      <c r="O75" s="158">
        <f t="shared" si="123"/>
        <v>7.2800939309571891E-2</v>
      </c>
      <c r="P75" s="158">
        <f t="shared" si="123"/>
        <v>5.9963250220791672E-2</v>
      </c>
      <c r="Q75" s="158">
        <f t="shared" si="123"/>
        <v>6.2887385608570989E-2</v>
      </c>
      <c r="R75" s="158">
        <f t="shared" si="123"/>
        <v>5.8047672042078002E-2</v>
      </c>
      <c r="S75" s="158">
        <f t="shared" si="123"/>
        <v>6.700859808120041E-2</v>
      </c>
      <c r="T75" s="158">
        <f t="shared" si="123"/>
        <v>6.6218248183560799E-2</v>
      </c>
      <c r="U75" s="158">
        <f t="shared" si="123"/>
        <v>6.286971316617114E-2</v>
      </c>
      <c r="V75" s="158">
        <f t="shared" si="123"/>
        <v>4.8885195178584966E-2</v>
      </c>
      <c r="W75" s="158">
        <f t="shared" si="123"/>
        <v>4.2672838265899682E-2</v>
      </c>
      <c r="X75" s="158">
        <f t="shared" si="123"/>
        <v>4.065040650406504E-2</v>
      </c>
      <c r="Y75" s="158">
        <f t="shared" si="123"/>
        <v>4.4096621810910286E-2</v>
      </c>
      <c r="Z75" s="158">
        <f t="shared" si="123"/>
        <v>3.9289706430294356E-2</v>
      </c>
      <c r="AA75" s="158">
        <f t="shared" si="123"/>
        <v>4.0211514384237139E-2</v>
      </c>
      <c r="AB75" s="158">
        <f t="shared" si="123"/>
        <v>4.090574415785956E-2</v>
      </c>
      <c r="AC75" s="158">
        <f t="shared" si="123"/>
        <v>4.6952817022110134E-2</v>
      </c>
      <c r="AD75" s="158">
        <f t="shared" si="123"/>
        <v>4.9925777371437559E-2</v>
      </c>
      <c r="AE75" s="158">
        <f t="shared" si="123"/>
        <v>5.6034679443303675E-2</v>
      </c>
      <c r="AF75" s="158">
        <f t="shared" si="123"/>
        <v>5.7464049723553713E-2</v>
      </c>
      <c r="AG75" s="158">
        <f t="shared" si="123"/>
        <v>7.5291661039487215E-2</v>
      </c>
      <c r="AH75" s="158">
        <f t="shared" si="123"/>
        <v>9.2637764194782049E-2</v>
      </c>
      <c r="AI75" s="158">
        <f t="shared" si="123"/>
        <v>9.4569407093514746E-2</v>
      </c>
      <c r="AJ75" s="158">
        <f t="shared" si="123"/>
        <v>9.3007870973972673E-2</v>
      </c>
      <c r="AK75" s="158">
        <f t="shared" si="123"/>
        <v>9.5016057463656198E-2</v>
      </c>
      <c r="AL75" s="158">
        <f t="shared" si="123"/>
        <v>9.2637764194782049E-2</v>
      </c>
      <c r="AM75" s="158">
        <f t="shared" si="123"/>
        <v>8.6723670409450573E-2</v>
      </c>
      <c r="AN75" s="158">
        <f t="shared" si="123"/>
        <v>9.0116111409739699E-2</v>
      </c>
      <c r="AO75" s="158">
        <f t="shared" si="123"/>
        <v>9.5911979922883875E-2</v>
      </c>
    </row>
    <row r="76" spans="1:41" x14ac:dyDescent="0.25">
      <c r="A76" s="132" t="s">
        <v>38</v>
      </c>
      <c r="D76" s="7">
        <f t="shared" ref="D76:F76" si="124">SUMIFS($N76:$AB76,$N$5:$AB$5,D$7)</f>
        <v>234647</v>
      </c>
      <c r="E76" s="7">
        <f t="shared" si="124"/>
        <v>55600</v>
      </c>
      <c r="F76" s="7">
        <f t="shared" si="124"/>
        <v>45611</v>
      </c>
      <c r="G76" s="7">
        <f>SUMIFS($N76:$AG76,$N$5:$AG$5,G$7)</f>
        <v>61503</v>
      </c>
      <c r="H76" s="7">
        <f>SUMIFS($N76:$AG76,$N$5:$AG$5,H$7)</f>
        <v>45574</v>
      </c>
      <c r="I76" s="7">
        <f>SUMIFS($N76:$AP76,$N$5:$AP$5,I$7)</f>
        <v>111880</v>
      </c>
      <c r="J76" s="7">
        <f>SUMIFS($N76:$AP76,$N$5:$AP$5,J$7)</f>
        <v>130859</v>
      </c>
      <c r="K76" s="155"/>
      <c r="L76" s="51">
        <f>SUMIFS($N76:$AR76,$N$4:$AR$4,L$5)</f>
        <v>130859</v>
      </c>
      <c r="M76" s="155"/>
      <c r="N76" s="52">
        <v>31972</v>
      </c>
      <c r="O76" s="52">
        <v>28062</v>
      </c>
      <c r="P76" s="52">
        <v>89434</v>
      </c>
      <c r="Q76" s="52">
        <v>85179</v>
      </c>
      <c r="R76" s="52">
        <v>19586</v>
      </c>
      <c r="S76" s="52">
        <v>17206</v>
      </c>
      <c r="T76" s="52">
        <v>11303</v>
      </c>
      <c r="U76" s="52">
        <v>7505</v>
      </c>
      <c r="V76" s="52">
        <v>7003</v>
      </c>
      <c r="W76" s="52">
        <v>16549</v>
      </c>
      <c r="X76" s="52">
        <v>8828</v>
      </c>
      <c r="Y76" s="52">
        <v>13231</v>
      </c>
      <c r="Z76" s="52">
        <v>16420</v>
      </c>
      <c r="AA76" s="52">
        <v>15853</v>
      </c>
      <c r="AB76" s="52">
        <v>15055</v>
      </c>
      <c r="AC76" s="52">
        <v>14175</v>
      </c>
      <c r="AD76" s="52">
        <v>19178</v>
      </c>
      <c r="AE76" s="52">
        <v>-36986</v>
      </c>
      <c r="AF76" s="52">
        <v>35916</v>
      </c>
      <c r="AG76" s="52">
        <v>27466</v>
      </c>
      <c r="AH76" s="52">
        <v>30169</v>
      </c>
      <c r="AI76" s="52">
        <v>29459</v>
      </c>
      <c r="AJ76" s="52">
        <v>28085</v>
      </c>
      <c r="AK76" s="52">
        <v>24167</v>
      </c>
      <c r="AL76" s="52">
        <v>30169</v>
      </c>
      <c r="AM76" s="52">
        <v>37398</v>
      </c>
      <c r="AN76" s="52">
        <v>33776</v>
      </c>
      <c r="AO76" s="52">
        <v>29516</v>
      </c>
    </row>
    <row r="77" spans="1:41" s="151" customFormat="1" x14ac:dyDescent="0.2">
      <c r="A77" s="152" t="s">
        <v>26</v>
      </c>
      <c r="D77" s="158">
        <f>D76/D$10</f>
        <v>0.26107307803141816</v>
      </c>
      <c r="E77" s="158">
        <f t="shared" ref="E77:J77" si="125">E76/E$10</f>
        <v>5.4001291757518659E-2</v>
      </c>
      <c r="F77" s="158">
        <f t="shared" si="125"/>
        <v>2.8403309432979997E-2</v>
      </c>
      <c r="G77" s="158">
        <f t="shared" si="125"/>
        <v>3.6464243661756386E-2</v>
      </c>
      <c r="H77" s="158">
        <f t="shared" si="125"/>
        <v>2.8586572327339899E-2</v>
      </c>
      <c r="I77" s="158">
        <f t="shared" si="125"/>
        <v>6.9236914885255962E-2</v>
      </c>
      <c r="J77" s="158">
        <f t="shared" si="125"/>
        <v>7.7600750988400122E-2</v>
      </c>
      <c r="K77" s="159"/>
      <c r="L77" s="158">
        <f t="shared" ref="L77" si="126">L76/L$10</f>
        <v>7.7600750988400122E-2</v>
      </c>
      <c r="M77" s="159"/>
      <c r="N77" s="158">
        <f t="shared" ref="N77:AO77" si="127">N76/N$10</f>
        <v>0.1582396262274311</v>
      </c>
      <c r="O77" s="158">
        <f t="shared" si="127"/>
        <v>0.12480542237798316</v>
      </c>
      <c r="P77" s="158">
        <f t="shared" si="127"/>
        <v>0.37433710179019142</v>
      </c>
      <c r="Q77" s="158">
        <f t="shared" si="127"/>
        <v>0.36561904434867709</v>
      </c>
      <c r="R77" s="158">
        <f t="shared" si="127"/>
        <v>8.287809481091557E-2</v>
      </c>
      <c r="S77" s="158">
        <f t="shared" si="127"/>
        <v>7.1398931049364275E-2</v>
      </c>
      <c r="T77" s="158">
        <f t="shared" si="127"/>
        <v>4.3246366165065449E-2</v>
      </c>
      <c r="U77" s="158">
        <f t="shared" si="127"/>
        <v>2.5796140031278465E-2</v>
      </c>
      <c r="V77" s="158">
        <f t="shared" si="127"/>
        <v>1.9662456024101459E-2</v>
      </c>
      <c r="W77" s="158">
        <f t="shared" si="127"/>
        <v>4.1050560975549252E-2</v>
      </c>
      <c r="X77" s="158">
        <f t="shared" si="127"/>
        <v>2.0413071024908202E-2</v>
      </c>
      <c r="Y77" s="158">
        <f t="shared" si="127"/>
        <v>3.1953688766096389E-2</v>
      </c>
      <c r="Z77" s="158">
        <f t="shared" si="127"/>
        <v>4.025062263447924E-2</v>
      </c>
      <c r="AA77" s="158">
        <f t="shared" si="127"/>
        <v>3.6961392562956538E-2</v>
      </c>
      <c r="AB77" s="158">
        <f t="shared" si="127"/>
        <v>3.4106999241059796E-2</v>
      </c>
      <c r="AC77" s="158">
        <f t="shared" si="127"/>
        <v>3.4707769153546682E-2</v>
      </c>
      <c r="AD77" s="158">
        <f t="shared" si="127"/>
        <v>4.7133826840082188E-2</v>
      </c>
      <c r="AE77" s="158">
        <f t="shared" si="127"/>
        <v>-9.3761249271173977E-2</v>
      </c>
      <c r="AF77" s="158">
        <f t="shared" si="127"/>
        <v>8.8060707849603417E-2</v>
      </c>
      <c r="AG77" s="158">
        <f t="shared" si="127"/>
        <v>7.1333589586428284E-2</v>
      </c>
      <c r="AH77" s="158">
        <f t="shared" si="127"/>
        <v>7.1308363942346326E-2</v>
      </c>
      <c r="AI77" s="158">
        <f t="shared" si="127"/>
        <v>7.9461499246088155E-2</v>
      </c>
      <c r="AJ77" s="158">
        <f t="shared" si="127"/>
        <v>6.780868221546188E-2</v>
      </c>
      <c r="AK77" s="158">
        <f t="shared" si="127"/>
        <v>5.9245912088450883E-2</v>
      </c>
      <c r="AL77" s="158">
        <f t="shared" si="127"/>
        <v>7.1308363942346326E-2</v>
      </c>
      <c r="AM77" s="158">
        <f t="shared" si="127"/>
        <v>9.0382672666721453E-2</v>
      </c>
      <c r="AN77" s="158">
        <f t="shared" si="127"/>
        <v>7.7921298934395783E-2</v>
      </c>
      <c r="AO77" s="158">
        <f t="shared" si="127"/>
        <v>7.0952605313512634E-2</v>
      </c>
    </row>
    <row r="78" spans="1:41" x14ac:dyDescent="0.2">
      <c r="A78" s="65"/>
      <c r="D78" s="66"/>
      <c r="E78" s="66"/>
      <c r="F78" s="51"/>
      <c r="G78" s="51"/>
      <c r="H78" s="51"/>
      <c r="I78" s="51"/>
      <c r="J78" s="51"/>
      <c r="K78" s="65"/>
      <c r="L78" s="51"/>
      <c r="M78" s="65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</row>
    <row r="79" spans="1:41" x14ac:dyDescent="0.2">
      <c r="A79" s="127" t="s">
        <v>50</v>
      </c>
      <c r="B79" s="65"/>
      <c r="C79" s="65"/>
      <c r="D79" s="128">
        <f>SUM(D69,D72,D74,D76)</f>
        <v>322431</v>
      </c>
      <c r="E79" s="128">
        <f t="shared" ref="E79:AM79" si="128">SUM(E69,E72,E74,E76)</f>
        <v>242748.2</v>
      </c>
      <c r="F79" s="128">
        <f t="shared" si="128"/>
        <v>528268</v>
      </c>
      <c r="G79" s="128">
        <f t="shared" si="128"/>
        <v>682891</v>
      </c>
      <c r="H79" s="128">
        <f t="shared" si="128"/>
        <v>664019</v>
      </c>
      <c r="I79" s="128">
        <f>SUM(I69,I72,I74,I76)</f>
        <v>548777</v>
      </c>
      <c r="J79" s="128">
        <f>SUM(J69,J72,J74,J76)</f>
        <v>651910</v>
      </c>
      <c r="K79" s="156"/>
      <c r="L79" s="128">
        <f>SUM(L69,L72,L74,L76)</f>
        <v>651910</v>
      </c>
      <c r="M79" s="156"/>
      <c r="N79" s="128">
        <f t="shared" si="128"/>
        <v>53092</v>
      </c>
      <c r="O79" s="128">
        <f t="shared" si="128"/>
        <v>45431</v>
      </c>
      <c r="P79" s="128">
        <f t="shared" si="128"/>
        <v>126492</v>
      </c>
      <c r="Q79" s="128">
        <f t="shared" si="128"/>
        <v>97416</v>
      </c>
      <c r="R79" s="128">
        <f t="shared" si="128"/>
        <v>56685.1</v>
      </c>
      <c r="S79" s="128">
        <f t="shared" si="128"/>
        <v>59217.1</v>
      </c>
      <c r="T79" s="128">
        <f t="shared" si="128"/>
        <v>62593</v>
      </c>
      <c r="U79" s="128">
        <f t="shared" si="128"/>
        <v>64253</v>
      </c>
      <c r="V79" s="128">
        <f t="shared" si="128"/>
        <v>112159</v>
      </c>
      <c r="W79" s="128">
        <f t="shared" si="128"/>
        <v>130816</v>
      </c>
      <c r="X79" s="128">
        <f t="shared" si="128"/>
        <v>149024</v>
      </c>
      <c r="Y79" s="128">
        <f t="shared" si="128"/>
        <v>136269</v>
      </c>
      <c r="Z79" s="128">
        <f t="shared" si="128"/>
        <v>179883</v>
      </c>
      <c r="AA79" s="128">
        <f t="shared" si="128"/>
        <v>168739</v>
      </c>
      <c r="AB79" s="128">
        <f t="shared" si="128"/>
        <v>180301</v>
      </c>
      <c r="AC79" s="128">
        <f t="shared" si="128"/>
        <v>153968</v>
      </c>
      <c r="AD79" s="128">
        <f t="shared" si="128"/>
        <v>161885</v>
      </c>
      <c r="AE79" s="128">
        <f t="shared" si="128"/>
        <v>293697</v>
      </c>
      <c r="AF79" s="128">
        <f t="shared" si="128"/>
        <v>155001</v>
      </c>
      <c r="AG79" s="128">
        <f t="shared" si="128"/>
        <v>53436</v>
      </c>
      <c r="AH79" s="128">
        <f t="shared" si="128"/>
        <v>157350</v>
      </c>
      <c r="AI79" s="128">
        <f t="shared" si="128"/>
        <v>139227</v>
      </c>
      <c r="AJ79" s="128">
        <f t="shared" si="128"/>
        <v>136752</v>
      </c>
      <c r="AK79" s="128">
        <f t="shared" si="128"/>
        <v>115448</v>
      </c>
      <c r="AL79" s="128">
        <f t="shared" si="128"/>
        <v>157350</v>
      </c>
      <c r="AM79" s="128">
        <f t="shared" si="128"/>
        <v>219089</v>
      </c>
      <c r="AN79" s="128">
        <f t="shared" ref="AN79:AO79" si="129">SUM(AN69,AN72,AN74,AN76)</f>
        <v>146985</v>
      </c>
      <c r="AO79" s="128">
        <f t="shared" si="129"/>
        <v>128486</v>
      </c>
    </row>
    <row r="80" spans="1:41" x14ac:dyDescent="0.2">
      <c r="A80" s="149" t="s">
        <v>51</v>
      </c>
      <c r="B80" s="65"/>
      <c r="C80" s="65"/>
      <c r="D80" s="161">
        <f t="shared" ref="D80:J80" si="130">D79/D$10</f>
        <v>0.35874336182754601</v>
      </c>
      <c r="E80" s="161">
        <f t="shared" si="130"/>
        <v>0.23576828006857001</v>
      </c>
      <c r="F80" s="161">
        <f t="shared" si="130"/>
        <v>0.32896800042843782</v>
      </c>
      <c r="G80" s="161">
        <f t="shared" si="130"/>
        <v>0.40487624698665886</v>
      </c>
      <c r="H80" s="161">
        <f t="shared" si="130"/>
        <v>0.41651000944020522</v>
      </c>
      <c r="I80" s="161">
        <f t="shared" si="130"/>
        <v>0.33961053307102351</v>
      </c>
      <c r="J80" s="161">
        <f t="shared" si="130"/>
        <v>0.38658942508232469</v>
      </c>
      <c r="K80" s="162"/>
      <c r="L80" s="161">
        <f>L79/L$10</f>
        <v>0.38658942508232469</v>
      </c>
      <c r="M80" s="162"/>
      <c r="N80" s="161">
        <f t="shared" ref="N80:AM80" si="131">N79/N$10</f>
        <v>0.2627692429521698</v>
      </c>
      <c r="O80" s="161">
        <f t="shared" si="131"/>
        <v>0.20205385019079725</v>
      </c>
      <c r="P80" s="161">
        <f t="shared" si="131"/>
        <v>0.52944795804330447</v>
      </c>
      <c r="Q80" s="161">
        <f t="shared" si="131"/>
        <v>0.41814466974572051</v>
      </c>
      <c r="R80" s="161">
        <f t="shared" si="131"/>
        <v>0.23986281487624989</v>
      </c>
      <c r="S80" s="161">
        <f t="shared" si="131"/>
        <v>0.24573042193672609</v>
      </c>
      <c r="T80" s="161">
        <f t="shared" si="131"/>
        <v>0.23948684396796793</v>
      </c>
      <c r="U80" s="161">
        <f t="shared" si="131"/>
        <v>0.22085001804526785</v>
      </c>
      <c r="V80" s="161">
        <f t="shared" si="131"/>
        <v>0.31491095319251688</v>
      </c>
      <c r="W80" s="161">
        <f t="shared" si="131"/>
        <v>0.32449514681113367</v>
      </c>
      <c r="X80" s="161">
        <f t="shared" si="131"/>
        <v>0.34458965750067055</v>
      </c>
      <c r="Y80" s="161">
        <f t="shared" si="131"/>
        <v>0.32909811914951165</v>
      </c>
      <c r="Z80" s="161">
        <f t="shared" si="131"/>
        <v>0.44095022846273019</v>
      </c>
      <c r="AA80" s="161">
        <f t="shared" si="131"/>
        <v>0.39341628837953219</v>
      </c>
      <c r="AB80" s="161">
        <f t="shared" si="131"/>
        <v>0.40847067885501975</v>
      </c>
      <c r="AC80" s="161">
        <f t="shared" si="131"/>
        <v>0.37699370730393478</v>
      </c>
      <c r="AD80" s="161">
        <f t="shared" si="131"/>
        <v>0.39786523923280342</v>
      </c>
      <c r="AE80" s="161">
        <f t="shared" si="131"/>
        <v>0.74453570613734887</v>
      </c>
      <c r="AF80" s="161">
        <f t="shared" si="131"/>
        <v>0.38003947481335276</v>
      </c>
      <c r="AG80" s="161">
        <f t="shared" si="131"/>
        <v>0.13878182819268847</v>
      </c>
      <c r="AH80" s="161">
        <f t="shared" si="131"/>
        <v>0.37191723511976515</v>
      </c>
      <c r="AI80" s="161">
        <f t="shared" si="131"/>
        <v>0.37554520369106609</v>
      </c>
      <c r="AJ80" s="161">
        <f t="shared" si="131"/>
        <v>0.33017528610748947</v>
      </c>
      <c r="AK80" s="161">
        <f t="shared" si="131"/>
        <v>0.28302321590546936</v>
      </c>
      <c r="AL80" s="161">
        <f t="shared" si="131"/>
        <v>0.37191723511976515</v>
      </c>
      <c r="AM80" s="161">
        <f t="shared" si="131"/>
        <v>0.52948952809988059</v>
      </c>
      <c r="AN80" s="161">
        <f t="shared" ref="AN80:AO80" si="132">AN79/AN$10</f>
        <v>0.33909468628233552</v>
      </c>
      <c r="AO80" s="161">
        <f t="shared" si="132"/>
        <v>0.30886354676487277</v>
      </c>
    </row>
    <row r="81" spans="1:41" x14ac:dyDescent="0.2">
      <c r="A81" s="67"/>
      <c r="B81" s="65"/>
      <c r="C81" s="65"/>
      <c r="D81" s="68"/>
      <c r="E81" s="68"/>
      <c r="F81" s="68"/>
      <c r="G81" s="68"/>
      <c r="H81" s="68"/>
      <c r="I81" s="68"/>
      <c r="J81" s="68"/>
      <c r="K81" s="65"/>
      <c r="L81" s="68"/>
      <c r="M81" s="65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</row>
    <row r="82" spans="1:41" ht="18" x14ac:dyDescent="0.25">
      <c r="A82" s="69" t="s">
        <v>52</v>
      </c>
      <c r="B82" s="119"/>
      <c r="C82" s="119"/>
      <c r="D82" s="7">
        <f t="shared" ref="D82:F82" si="133">SUMIFS($N82:$AB82,$N$5:$AB$5,D$7)</f>
        <v>-7969</v>
      </c>
      <c r="E82" s="7">
        <f t="shared" si="133"/>
        <v>-18374</v>
      </c>
      <c r="F82" s="7">
        <f t="shared" si="133"/>
        <v>-43849</v>
      </c>
      <c r="G82" s="7">
        <f>SUMIFS($N82:$AG82,$N$5:$AG$5,G$7)</f>
        <v>-139003</v>
      </c>
      <c r="H82" s="7">
        <f>SUMIFS($N82:$AG82,$N$5:$AG$5,H$7)</f>
        <v>-71620</v>
      </c>
      <c r="I82" s="7">
        <f>SUMIFS($N82:$AP82,$N$5:$AP$5,I$7)</f>
        <v>-88679</v>
      </c>
      <c r="J82" s="7">
        <f>SUMIFS($N82:$AP82,$N$5:$AP$5,J$7)</f>
        <v>-116800</v>
      </c>
      <c r="K82" s="155"/>
      <c r="L82" s="51">
        <f>SUMIFS($N82:$AR82,$N$4:$AR$4,L$5)</f>
        <v>-116800</v>
      </c>
      <c r="M82" s="155"/>
      <c r="N82" s="70">
        <v>-2607</v>
      </c>
      <c r="O82" s="52">
        <v>1270</v>
      </c>
      <c r="P82" s="52">
        <v>-5956</v>
      </c>
      <c r="Q82" s="52">
        <v>-676</v>
      </c>
      <c r="R82" s="52">
        <v>-4469</v>
      </c>
      <c r="S82" s="52">
        <v>-3617</v>
      </c>
      <c r="T82" s="52">
        <v>-733</v>
      </c>
      <c r="U82" s="52">
        <v>-9555</v>
      </c>
      <c r="V82" s="52">
        <v>-11811</v>
      </c>
      <c r="W82" s="52">
        <v>-14069</v>
      </c>
      <c r="X82" s="52">
        <v>-14855</v>
      </c>
      <c r="Y82" s="52">
        <v>-3114</v>
      </c>
      <c r="Z82" s="52">
        <v>-26086</v>
      </c>
      <c r="AA82" s="52">
        <v>-35138</v>
      </c>
      <c r="AB82" s="52">
        <v>-37571</v>
      </c>
      <c r="AC82" s="52">
        <v>-40208</v>
      </c>
      <c r="AD82" s="52">
        <v>-33923</v>
      </c>
      <c r="AE82" s="52">
        <v>-33483</v>
      </c>
      <c r="AF82" s="52">
        <v>-30349</v>
      </c>
      <c r="AG82" s="52">
        <v>26135</v>
      </c>
      <c r="AH82" s="52">
        <v>-25715</v>
      </c>
      <c r="AI82" s="52">
        <v>-24149</v>
      </c>
      <c r="AJ82" s="52">
        <v>-14850</v>
      </c>
      <c r="AK82" s="52">
        <v>-23965</v>
      </c>
      <c r="AL82" s="52">
        <v>-25715</v>
      </c>
      <c r="AM82" s="52">
        <v>-76302</v>
      </c>
      <c r="AN82" s="52">
        <v>-5386</v>
      </c>
      <c r="AO82" s="52">
        <v>-9397</v>
      </c>
    </row>
    <row r="83" spans="1:41" s="151" customFormat="1" x14ac:dyDescent="0.2">
      <c r="A83" s="152" t="s">
        <v>26</v>
      </c>
      <c r="D83" s="158">
        <f>D82/D$10</f>
        <v>-8.8664732932122355E-3</v>
      </c>
      <c r="E83" s="158">
        <f t="shared" ref="E83:J83" si="134">E82/E$10</f>
        <v>-1.784567868260158E-2</v>
      </c>
      <c r="F83" s="158">
        <f t="shared" si="134"/>
        <v>-2.7306060277712391E-2</v>
      </c>
      <c r="G83" s="158">
        <f t="shared" si="134"/>
        <v>-8.2412878424062613E-2</v>
      </c>
      <c r="H83" s="158">
        <f t="shared" si="134"/>
        <v>-4.4924086322993016E-2</v>
      </c>
      <c r="I83" s="158">
        <f t="shared" si="134"/>
        <v>-5.4878980828652252E-2</v>
      </c>
      <c r="J83" s="158">
        <f t="shared" si="134"/>
        <v>-6.9263617446603865E-2</v>
      </c>
      <c r="K83" s="159"/>
      <c r="L83" s="158">
        <f t="shared" ref="L83" si="135">L82/L$10</f>
        <v>-6.9263617446603865E-2</v>
      </c>
      <c r="M83" s="159"/>
      <c r="N83" s="158">
        <f t="shared" ref="N83:AO83" si="136">N82/N$10</f>
        <v>-1.290287456445993E-2</v>
      </c>
      <c r="O83" s="158">
        <f t="shared" si="136"/>
        <v>5.6483103991176184E-3</v>
      </c>
      <c r="P83" s="158">
        <f t="shared" si="136"/>
        <v>-2.4929576875264217E-2</v>
      </c>
      <c r="Q83" s="158">
        <f t="shared" si="136"/>
        <v>-2.9016362481328229E-3</v>
      </c>
      <c r="R83" s="158">
        <f t="shared" si="136"/>
        <v>-1.8910558853772168E-2</v>
      </c>
      <c r="S83" s="158">
        <f t="shared" si="136"/>
        <v>-1.5009295222919364E-2</v>
      </c>
      <c r="T83" s="158">
        <f t="shared" si="136"/>
        <v>-2.8045285675478166E-3</v>
      </c>
      <c r="U83" s="158">
        <f t="shared" si="136"/>
        <v>-3.2842387474865523E-2</v>
      </c>
      <c r="V83" s="158">
        <f t="shared" si="136"/>
        <v>-3.3161968884858249E-2</v>
      </c>
      <c r="W83" s="158">
        <f t="shared" si="136"/>
        <v>-3.4898806113058338E-2</v>
      </c>
      <c r="X83" s="158">
        <f t="shared" si="136"/>
        <v>-3.4349362264953706E-2</v>
      </c>
      <c r="Y83" s="158">
        <f t="shared" si="136"/>
        <v>-7.5205038785899903E-3</v>
      </c>
      <c r="Z83" s="158">
        <f t="shared" si="136"/>
        <v>-6.3945051281548454E-2</v>
      </c>
      <c r="AA83" s="158">
        <f t="shared" si="136"/>
        <v>-8.1924519767688567E-2</v>
      </c>
      <c r="AB83" s="158">
        <f t="shared" si="136"/>
        <v>-8.5116842808758392E-2</v>
      </c>
      <c r="AC83" s="158">
        <f t="shared" si="136"/>
        <v>-9.8450086922455382E-2</v>
      </c>
      <c r="AD83" s="158">
        <f t="shared" si="136"/>
        <v>-8.3372656580253834E-2</v>
      </c>
      <c r="AE83" s="158">
        <f t="shared" si="136"/>
        <v>-8.4880979542170512E-2</v>
      </c>
      <c r="AF83" s="158">
        <f t="shared" si="136"/>
        <v>-7.4411249095879664E-2</v>
      </c>
      <c r="AG83" s="158">
        <f t="shared" si="136"/>
        <v>6.7876769964366965E-2</v>
      </c>
      <c r="AH83" s="158">
        <f t="shared" si="136"/>
        <v>-6.0780754376261591E-2</v>
      </c>
      <c r="AI83" s="158">
        <f t="shared" si="136"/>
        <v>-6.5138522872255772E-2</v>
      </c>
      <c r="AJ83" s="158">
        <f t="shared" si="136"/>
        <v>-3.5853976531942632E-2</v>
      </c>
      <c r="AK83" s="158">
        <f t="shared" si="136"/>
        <v>-5.8750704812336053E-2</v>
      </c>
      <c r="AL83" s="158">
        <f t="shared" si="136"/>
        <v>-6.0780754376261591E-2</v>
      </c>
      <c r="AM83" s="158">
        <f t="shared" si="136"/>
        <v>-0.18440501336478368</v>
      </c>
      <c r="AN83" s="158">
        <f t="shared" si="136"/>
        <v>-1.2425512673515387E-2</v>
      </c>
      <c r="AO83" s="158">
        <f t="shared" si="136"/>
        <v>-2.2589159511149145E-2</v>
      </c>
    </row>
    <row r="84" spans="1:41" ht="18" x14ac:dyDescent="0.25">
      <c r="A84" s="65" t="s">
        <v>53</v>
      </c>
      <c r="B84" s="63"/>
      <c r="C84" s="63"/>
      <c r="D84" s="7">
        <f t="shared" ref="D84:F84" si="137">SUMIFS($N84:$AB84,$N$5:$AB$5,D$7)</f>
        <v>-86217</v>
      </c>
      <c r="E84" s="7">
        <f t="shared" si="137"/>
        <v>-8581</v>
      </c>
      <c r="F84" s="7">
        <f t="shared" si="137"/>
        <v>-4530</v>
      </c>
      <c r="G84" s="7">
        <f>SUMIFS($N84:$AG84,$N$5:$AG$5,G$7)</f>
        <v>-21352</v>
      </c>
      <c r="H84" s="7">
        <f>SUMIFS($N84:$AG84,$N$5:$AG$5,H$7)</f>
        <v>-118391</v>
      </c>
      <c r="I84" s="7">
        <f>SUMIFS($N84:$AP84,$N$5:$AP$5,I$7)</f>
        <v>20548</v>
      </c>
      <c r="J84" s="7">
        <f>SUMIFS($N84:$AP84,$N$5:$AP$5,J$7)</f>
        <v>-15671</v>
      </c>
      <c r="K84" s="155"/>
      <c r="L84" s="51">
        <f>SUMIFS($N84:$AR84,$N$4:$AR$4,L$5)</f>
        <v>-15671</v>
      </c>
      <c r="M84" s="155"/>
      <c r="N84" s="52">
        <v>0</v>
      </c>
      <c r="O84" s="52">
        <v>0</v>
      </c>
      <c r="P84" s="52">
        <v>-70124</v>
      </c>
      <c r="Q84" s="52">
        <v>-16093</v>
      </c>
      <c r="R84" s="52">
        <v>0</v>
      </c>
      <c r="S84" s="52">
        <v>0</v>
      </c>
      <c r="T84" s="52">
        <v>-9352</v>
      </c>
      <c r="U84" s="52">
        <v>771</v>
      </c>
      <c r="V84" s="52">
        <v>0</v>
      </c>
      <c r="W84" s="52">
        <v>-3341</v>
      </c>
      <c r="X84" s="52">
        <v>-1189</v>
      </c>
      <c r="Y84" s="52">
        <v>0</v>
      </c>
      <c r="Z84" s="52">
        <v>-17229</v>
      </c>
      <c r="AA84" s="52">
        <v>0</v>
      </c>
      <c r="AB84" s="52">
        <v>-7274</v>
      </c>
      <c r="AC84" s="52">
        <v>3151</v>
      </c>
      <c r="AD84" s="52">
        <v>-3870</v>
      </c>
      <c r="AE84" s="52">
        <v>-147272</v>
      </c>
      <c r="AF84" s="52">
        <v>4559</v>
      </c>
      <c r="AG84" s="52">
        <v>28192</v>
      </c>
      <c r="AH84" s="52">
        <v>0</v>
      </c>
      <c r="AI84" s="52">
        <v>0</v>
      </c>
      <c r="AJ84" s="52">
        <v>0</v>
      </c>
      <c r="AK84" s="52">
        <v>20548</v>
      </c>
      <c r="AL84" s="52">
        <v>0</v>
      </c>
      <c r="AM84" s="52">
        <v>-19871</v>
      </c>
      <c r="AN84" s="52">
        <v>0</v>
      </c>
      <c r="AO84" s="52">
        <v>4200</v>
      </c>
    </row>
    <row r="85" spans="1:41" s="151" customFormat="1" x14ac:dyDescent="0.2">
      <c r="A85" s="152" t="s">
        <v>26</v>
      </c>
      <c r="D85" s="158">
        <f>D84/D$10</f>
        <v>-9.5926807368663491E-2</v>
      </c>
      <c r="E85" s="158">
        <f t="shared" ref="E85:J85" si="138">E84/E$10</f>
        <v>-8.3342641109940222E-3</v>
      </c>
      <c r="F85" s="158">
        <f t="shared" si="138"/>
        <v>-2.8209640597969651E-3</v>
      </c>
      <c r="G85" s="158">
        <f t="shared" si="138"/>
        <v>-1.2659293541222744E-2</v>
      </c>
      <c r="H85" s="158">
        <f t="shared" si="138"/>
        <v>-7.4261484276256159E-2</v>
      </c>
      <c r="I85" s="158">
        <f t="shared" si="138"/>
        <v>1.2716125554721484E-2</v>
      </c>
      <c r="J85" s="158">
        <f t="shared" si="138"/>
        <v>-9.293066344227132E-3</v>
      </c>
      <c r="K85" s="159"/>
      <c r="L85" s="158">
        <f t="shared" ref="L85" si="139">L84/L$10</f>
        <v>-9.293066344227132E-3</v>
      </c>
      <c r="M85" s="159"/>
      <c r="N85" s="158">
        <f t="shared" ref="N85:AO85" si="140">N84/N$10</f>
        <v>0</v>
      </c>
      <c r="O85" s="158">
        <f t="shared" si="140"/>
        <v>0</v>
      </c>
      <c r="P85" s="158">
        <f t="shared" si="140"/>
        <v>-0.29351270127619677</v>
      </c>
      <c r="Q85" s="158">
        <f t="shared" si="140"/>
        <v>-6.9076970623079173E-2</v>
      </c>
      <c r="R85" s="158">
        <f t="shared" si="140"/>
        <v>0</v>
      </c>
      <c r="S85" s="158">
        <f t="shared" si="140"/>
        <v>0</v>
      </c>
      <c r="T85" s="158">
        <f t="shared" si="140"/>
        <v>-3.5781652337936128E-2</v>
      </c>
      <c r="U85" s="158">
        <f t="shared" si="140"/>
        <v>2.6500764775637168E-3</v>
      </c>
      <c r="V85" s="158">
        <f t="shared" si="140"/>
        <v>0</v>
      </c>
      <c r="W85" s="158">
        <f t="shared" si="140"/>
        <v>-8.2875052401540916E-3</v>
      </c>
      <c r="X85" s="158">
        <f t="shared" si="140"/>
        <v>-2.7493363670838072E-3</v>
      </c>
      <c r="Y85" s="158">
        <f t="shared" si="140"/>
        <v>0</v>
      </c>
      <c r="Z85" s="158">
        <f t="shared" si="140"/>
        <v>-4.2233737964034276E-2</v>
      </c>
      <c r="AA85" s="158">
        <f t="shared" si="140"/>
        <v>0</v>
      </c>
      <c r="AB85" s="158">
        <f t="shared" si="140"/>
        <v>-1.647919710923075E-2</v>
      </c>
      <c r="AC85" s="158">
        <f t="shared" si="140"/>
        <v>7.7152861095467788E-3</v>
      </c>
      <c r="AD85" s="158">
        <f t="shared" si="140"/>
        <v>-9.5113103488955082E-3</v>
      </c>
      <c r="AE85" s="158">
        <f t="shared" si="140"/>
        <v>-0.37334144548381371</v>
      </c>
      <c r="AF85" s="158">
        <f t="shared" si="140"/>
        <v>1.1177992178592883E-2</v>
      </c>
      <c r="AG85" s="158">
        <f t="shared" si="140"/>
        <v>7.3219127562098085E-2</v>
      </c>
      <c r="AH85" s="158">
        <f t="shared" si="140"/>
        <v>0</v>
      </c>
      <c r="AI85" s="158">
        <f t="shared" si="140"/>
        <v>0</v>
      </c>
      <c r="AJ85" s="158">
        <f t="shared" si="140"/>
        <v>0</v>
      </c>
      <c r="AK85" s="158">
        <f t="shared" si="140"/>
        <v>5.0373856978255006E-2</v>
      </c>
      <c r="AL85" s="158">
        <f t="shared" si="140"/>
        <v>0</v>
      </c>
      <c r="AM85" s="158">
        <f t="shared" si="140"/>
        <v>-4.8023800432119949E-2</v>
      </c>
      <c r="AN85" s="158">
        <f t="shared" si="140"/>
        <v>0</v>
      </c>
      <c r="AO85" s="158">
        <f t="shared" si="140"/>
        <v>1.0096250925489669E-2</v>
      </c>
    </row>
    <row r="86" spans="1:41" ht="18" x14ac:dyDescent="0.25">
      <c r="A86" s="65" t="s">
        <v>54</v>
      </c>
      <c r="B86" s="63"/>
      <c r="C86" s="63"/>
      <c r="D86" s="7">
        <f t="shared" ref="D86:F86" si="141">SUMIFS($N86:$AB86,$N$5:$AB$5,D$7)</f>
        <v>0</v>
      </c>
      <c r="E86" s="7">
        <f t="shared" si="141"/>
        <v>10085</v>
      </c>
      <c r="F86" s="7">
        <f t="shared" si="141"/>
        <v>14032</v>
      </c>
      <c r="G86" s="7">
        <f>SUMIFS($N86:$AG86,$N$5:$AG$5,G$7)</f>
        <v>15452</v>
      </c>
      <c r="H86" s="7">
        <f>SUMIFS($N86:$AG86,$N$5:$AG$5,H$7)</f>
        <v>16468</v>
      </c>
      <c r="I86" s="7">
        <f>SUMIFS($N86:$AP86,$N$5:$AP$5,I$7)</f>
        <v>19855</v>
      </c>
      <c r="J86" s="7">
        <f>SUMIFS($N86:$AP86,$N$5:$AP$5,J$7)</f>
        <v>19586</v>
      </c>
      <c r="K86" s="155"/>
      <c r="L86" s="51">
        <f>SUMIFS($N86:$AR86,$N$4:$AR$4,L$5)</f>
        <v>19586</v>
      </c>
      <c r="M86" s="155"/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3129</v>
      </c>
      <c r="U86" s="52">
        <v>6956</v>
      </c>
      <c r="V86" s="52">
        <v>0</v>
      </c>
      <c r="W86" s="52">
        <v>5670</v>
      </c>
      <c r="X86" s="52">
        <v>7336</v>
      </c>
      <c r="Y86" s="52">
        <v>1026</v>
      </c>
      <c r="Z86" s="52">
        <v>0</v>
      </c>
      <c r="AA86" s="52">
        <v>11215</v>
      </c>
      <c r="AB86" s="52">
        <v>1912</v>
      </c>
      <c r="AC86" s="52">
        <v>2325</v>
      </c>
      <c r="AD86" s="52">
        <v>4118</v>
      </c>
      <c r="AE86" s="52">
        <v>4118</v>
      </c>
      <c r="AF86" s="52">
        <v>4118</v>
      </c>
      <c r="AG86" s="52">
        <v>4114</v>
      </c>
      <c r="AH86" s="52">
        <v>4619</v>
      </c>
      <c r="AI86" s="52">
        <v>4287</v>
      </c>
      <c r="AJ86" s="52">
        <v>4287</v>
      </c>
      <c r="AK86" s="52">
        <v>6662</v>
      </c>
      <c r="AL86" s="52">
        <v>4619</v>
      </c>
      <c r="AM86" s="52">
        <v>4619</v>
      </c>
      <c r="AN86" s="52">
        <v>4619</v>
      </c>
      <c r="AO86" s="52">
        <v>5729</v>
      </c>
    </row>
    <row r="87" spans="1:41" s="151" customFormat="1" x14ac:dyDescent="0.2">
      <c r="A87" s="152" t="s">
        <v>26</v>
      </c>
      <c r="D87" s="158">
        <f>D86/D$10</f>
        <v>0</v>
      </c>
      <c r="E87" s="158">
        <f t="shared" ref="E87:J87" si="142">E86/E$10</f>
        <v>9.7950184779599936E-3</v>
      </c>
      <c r="F87" s="158">
        <f t="shared" si="142"/>
        <v>8.7381385622673328E-3</v>
      </c>
      <c r="G87" s="158">
        <f t="shared" si="142"/>
        <v>9.1612684431891071E-3</v>
      </c>
      <c r="H87" s="158">
        <f t="shared" si="142"/>
        <v>1.0329654475943159E-2</v>
      </c>
      <c r="I87" s="158">
        <f t="shared" si="142"/>
        <v>1.2287262647897364E-2</v>
      </c>
      <c r="J87" s="158">
        <f t="shared" si="142"/>
        <v>1.161470215161972E-2</v>
      </c>
      <c r="K87" s="159"/>
      <c r="L87" s="158">
        <f t="shared" ref="L87" si="143">L86/L$10</f>
        <v>1.161470215161972E-2</v>
      </c>
      <c r="M87" s="159"/>
      <c r="N87" s="158">
        <f t="shared" ref="N87:AO87" si="144">N86/N$10</f>
        <v>0</v>
      </c>
      <c r="O87" s="158">
        <f t="shared" si="144"/>
        <v>0</v>
      </c>
      <c r="P87" s="158">
        <f t="shared" si="144"/>
        <v>0</v>
      </c>
      <c r="Q87" s="158">
        <f t="shared" si="144"/>
        <v>0</v>
      </c>
      <c r="R87" s="158">
        <f t="shared" si="144"/>
        <v>0</v>
      </c>
      <c r="S87" s="158">
        <f t="shared" si="144"/>
        <v>0</v>
      </c>
      <c r="T87" s="158">
        <f t="shared" si="144"/>
        <v>1.1971855235821444E-2</v>
      </c>
      <c r="U87" s="158">
        <f t="shared" si="144"/>
        <v>2.3909120593947102E-2</v>
      </c>
      <c r="V87" s="158">
        <f t="shared" si="144"/>
        <v>0</v>
      </c>
      <c r="W87" s="158">
        <f t="shared" si="144"/>
        <v>1.4064697609001406E-2</v>
      </c>
      <c r="X87" s="158">
        <f t="shared" si="144"/>
        <v>1.6963104784631464E-2</v>
      </c>
      <c r="Y87" s="158">
        <f t="shared" si="144"/>
        <v>2.4778538790730027E-3</v>
      </c>
      <c r="Z87" s="158">
        <f t="shared" si="144"/>
        <v>0</v>
      </c>
      <c r="AA87" s="158">
        <f t="shared" si="144"/>
        <v>2.6147859559298402E-2</v>
      </c>
      <c r="AB87" s="158">
        <f t="shared" si="144"/>
        <v>4.331622886011713E-3</v>
      </c>
      <c r="AC87" s="158">
        <f t="shared" si="144"/>
        <v>5.6928086971425769E-3</v>
      </c>
      <c r="AD87" s="158">
        <f t="shared" si="144"/>
        <v>1.012082067616323E-2</v>
      </c>
      <c r="AE87" s="158">
        <f t="shared" si="144"/>
        <v>1.0439323649453698E-2</v>
      </c>
      <c r="AF87" s="158">
        <f t="shared" si="144"/>
        <v>1.0096725551973128E-2</v>
      </c>
      <c r="AG87" s="158">
        <f t="shared" si="144"/>
        <v>1.0684715195462243E-2</v>
      </c>
      <c r="AH87" s="158">
        <f t="shared" si="144"/>
        <v>1.0917608573359995E-2</v>
      </c>
      <c r="AI87" s="158">
        <f t="shared" si="144"/>
        <v>1.1563578100681622E-2</v>
      </c>
      <c r="AJ87" s="158">
        <f t="shared" si="144"/>
        <v>1.0350572214978995E-2</v>
      </c>
      <c r="AK87" s="158">
        <f t="shared" si="144"/>
        <v>1.6332034027113824E-2</v>
      </c>
      <c r="AL87" s="158">
        <f t="shared" si="144"/>
        <v>1.0917608573359995E-2</v>
      </c>
      <c r="AM87" s="158">
        <f t="shared" si="144"/>
        <v>1.1163098696389817E-2</v>
      </c>
      <c r="AN87" s="158">
        <f t="shared" si="144"/>
        <v>1.0656042153540209E-2</v>
      </c>
      <c r="AO87" s="158">
        <f t="shared" si="144"/>
        <v>1.3771767036221502E-2</v>
      </c>
    </row>
    <row r="88" spans="1:41" x14ac:dyDescent="0.2">
      <c r="A88" s="65"/>
      <c r="B88" s="63"/>
      <c r="C88" s="63"/>
      <c r="D88" s="66"/>
      <c r="E88" s="66"/>
      <c r="F88" s="66"/>
      <c r="G88" s="66"/>
      <c r="H88" s="66"/>
      <c r="I88" s="66"/>
      <c r="J88" s="66"/>
      <c r="K88" s="63"/>
      <c r="L88" s="66"/>
      <c r="M88" s="63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</row>
    <row r="89" spans="1:41" x14ac:dyDescent="0.2">
      <c r="A89" s="127" t="s">
        <v>55</v>
      </c>
      <c r="B89" s="65"/>
      <c r="C89" s="65"/>
      <c r="D89" s="128">
        <f>SUM(D79,D82,D84,D86)</f>
        <v>228245</v>
      </c>
      <c r="E89" s="128">
        <f t="shared" ref="E89:AM89" si="145">SUM(E79,E82,E84,E86)</f>
        <v>225878.2</v>
      </c>
      <c r="F89" s="128">
        <f t="shared" si="145"/>
        <v>493921</v>
      </c>
      <c r="G89" s="128">
        <f t="shared" si="145"/>
        <v>537988</v>
      </c>
      <c r="H89" s="128">
        <f t="shared" si="145"/>
        <v>490476</v>
      </c>
      <c r="I89" s="128">
        <f t="shared" si="145"/>
        <v>500501</v>
      </c>
      <c r="J89" s="128">
        <f t="shared" si="145"/>
        <v>539025</v>
      </c>
      <c r="K89" s="156"/>
      <c r="L89" s="128">
        <f t="shared" si="145"/>
        <v>539025</v>
      </c>
      <c r="M89" s="156"/>
      <c r="N89" s="128">
        <f t="shared" si="145"/>
        <v>50485</v>
      </c>
      <c r="O89" s="128">
        <f t="shared" si="145"/>
        <v>46701</v>
      </c>
      <c r="P89" s="128">
        <f t="shared" si="145"/>
        <v>50412</v>
      </c>
      <c r="Q89" s="128">
        <f t="shared" si="145"/>
        <v>80647</v>
      </c>
      <c r="R89" s="128">
        <f t="shared" si="145"/>
        <v>52216.1</v>
      </c>
      <c r="S89" s="128">
        <f t="shared" si="145"/>
        <v>55600.1</v>
      </c>
      <c r="T89" s="128">
        <f t="shared" si="145"/>
        <v>55637</v>
      </c>
      <c r="U89" s="128">
        <f t="shared" si="145"/>
        <v>62425</v>
      </c>
      <c r="V89" s="128">
        <f t="shared" si="145"/>
        <v>100348</v>
      </c>
      <c r="W89" s="128">
        <f t="shared" si="145"/>
        <v>119076</v>
      </c>
      <c r="X89" s="128">
        <f t="shared" si="145"/>
        <v>140316</v>
      </c>
      <c r="Y89" s="128">
        <f t="shared" si="145"/>
        <v>134181</v>
      </c>
      <c r="Z89" s="128">
        <f t="shared" si="145"/>
        <v>136568</v>
      </c>
      <c r="AA89" s="128">
        <f t="shared" si="145"/>
        <v>144816</v>
      </c>
      <c r="AB89" s="128">
        <f t="shared" si="145"/>
        <v>137368</v>
      </c>
      <c r="AC89" s="128">
        <f t="shared" si="145"/>
        <v>119236</v>
      </c>
      <c r="AD89" s="128">
        <f t="shared" si="145"/>
        <v>128210</v>
      </c>
      <c r="AE89" s="128">
        <f t="shared" si="145"/>
        <v>117060</v>
      </c>
      <c r="AF89" s="128">
        <f t="shared" si="145"/>
        <v>133329</v>
      </c>
      <c r="AG89" s="128">
        <f t="shared" si="145"/>
        <v>111877</v>
      </c>
      <c r="AH89" s="128">
        <f t="shared" si="145"/>
        <v>136254</v>
      </c>
      <c r="AI89" s="128">
        <f t="shared" si="145"/>
        <v>119365</v>
      </c>
      <c r="AJ89" s="128">
        <f t="shared" si="145"/>
        <v>126189</v>
      </c>
      <c r="AK89" s="128">
        <f t="shared" si="145"/>
        <v>118693</v>
      </c>
      <c r="AL89" s="128">
        <f t="shared" si="145"/>
        <v>136254</v>
      </c>
      <c r="AM89" s="128">
        <f t="shared" si="145"/>
        <v>127535</v>
      </c>
      <c r="AN89" s="128">
        <f t="shared" ref="AN89:AO89" si="146">SUM(AN79,AN82,AN84,AN86)</f>
        <v>146218</v>
      </c>
      <c r="AO89" s="128">
        <f t="shared" si="146"/>
        <v>129018</v>
      </c>
    </row>
    <row r="90" spans="1:41" x14ac:dyDescent="0.2">
      <c r="A90" s="149" t="s">
        <v>56</v>
      </c>
      <c r="B90" s="65"/>
      <c r="C90" s="65"/>
      <c r="D90" s="161">
        <f t="shared" ref="D90:J90" si="147">D89/D$10</f>
        <v>0.2539500811656703</v>
      </c>
      <c r="E90" s="161">
        <f t="shared" si="147"/>
        <v>0.21938335575293438</v>
      </c>
      <c r="F90" s="161">
        <f t="shared" si="147"/>
        <v>0.30757911465319576</v>
      </c>
      <c r="G90" s="161">
        <f t="shared" si="147"/>
        <v>0.31896534346456262</v>
      </c>
      <c r="H90" s="161">
        <f t="shared" si="147"/>
        <v>0.30765409331689925</v>
      </c>
      <c r="I90" s="161">
        <f t="shared" si="147"/>
        <v>0.30973494044499011</v>
      </c>
      <c r="J90" s="161">
        <f t="shared" si="147"/>
        <v>0.31964744344311341</v>
      </c>
      <c r="K90" s="162"/>
      <c r="L90" s="161">
        <f t="shared" ref="L90" si="148">L89/L$10</f>
        <v>0.31964744344311341</v>
      </c>
      <c r="M90" s="162"/>
      <c r="N90" s="161">
        <f t="shared" ref="N90:AM90" si="149">N89/N$10</f>
        <v>0.24986636838770984</v>
      </c>
      <c r="O90" s="161">
        <f t="shared" si="149"/>
        <v>0.20770216058991486</v>
      </c>
      <c r="P90" s="161">
        <f t="shared" si="149"/>
        <v>0.21100567989184346</v>
      </c>
      <c r="Q90" s="161">
        <f t="shared" si="149"/>
        <v>0.34616606287450852</v>
      </c>
      <c r="R90" s="161">
        <f t="shared" si="149"/>
        <v>0.2209522560224777</v>
      </c>
      <c r="S90" s="161">
        <f t="shared" si="149"/>
        <v>0.23072112671380671</v>
      </c>
      <c r="T90" s="161">
        <f t="shared" si="149"/>
        <v>0.21287251829830542</v>
      </c>
      <c r="U90" s="161">
        <f t="shared" si="149"/>
        <v>0.21456682764191315</v>
      </c>
      <c r="V90" s="161">
        <f t="shared" si="149"/>
        <v>0.2817489843076586</v>
      </c>
      <c r="W90" s="161">
        <f t="shared" si="149"/>
        <v>0.29537353306692266</v>
      </c>
      <c r="X90" s="161">
        <f t="shared" si="149"/>
        <v>0.32445406365326451</v>
      </c>
      <c r="Y90" s="161">
        <f t="shared" si="149"/>
        <v>0.32405546914999467</v>
      </c>
      <c r="Z90" s="161">
        <f t="shared" si="149"/>
        <v>0.33477143921714747</v>
      </c>
      <c r="AA90" s="161">
        <f t="shared" si="149"/>
        <v>0.33763962817114201</v>
      </c>
      <c r="AB90" s="161">
        <f t="shared" si="149"/>
        <v>0.31120626182304234</v>
      </c>
      <c r="AC90" s="161">
        <f t="shared" si="149"/>
        <v>0.29195171518816876</v>
      </c>
      <c r="AD90" s="161">
        <f t="shared" si="149"/>
        <v>0.31510209297981734</v>
      </c>
      <c r="AE90" s="161">
        <f t="shared" si="149"/>
        <v>0.29675260476081833</v>
      </c>
      <c r="AF90" s="161">
        <f t="shared" si="149"/>
        <v>0.32690294344803911</v>
      </c>
      <c r="AG90" s="161">
        <f t="shared" si="149"/>
        <v>0.29056244091461575</v>
      </c>
      <c r="AH90" s="161">
        <f t="shared" si="149"/>
        <v>0.32205408931686358</v>
      </c>
      <c r="AI90" s="161">
        <f t="shared" si="149"/>
        <v>0.32197025891949194</v>
      </c>
      <c r="AJ90" s="161">
        <f t="shared" si="149"/>
        <v>0.30467188179052584</v>
      </c>
      <c r="AK90" s="161">
        <f t="shared" si="149"/>
        <v>0.29097840209850212</v>
      </c>
      <c r="AL90" s="161">
        <f t="shared" si="149"/>
        <v>0.32205408931686358</v>
      </c>
      <c r="AM90" s="161">
        <f t="shared" si="149"/>
        <v>0.3082238129993668</v>
      </c>
      <c r="AN90" s="161">
        <f t="shared" ref="AN90:AO90" si="150">AN89/AN$10</f>
        <v>0.33732521576236035</v>
      </c>
      <c r="AO90" s="161">
        <f t="shared" si="150"/>
        <v>0.31014240521543479</v>
      </c>
    </row>
    <row r="91" spans="1:41" x14ac:dyDescent="0.2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3"/>
      <c r="O91" s="71"/>
      <c r="P91" s="72"/>
      <c r="Q91" s="72"/>
      <c r="R91" s="71"/>
      <c r="S91" s="71"/>
      <c r="T91" s="72"/>
      <c r="U91" s="72"/>
      <c r="V91" s="71"/>
      <c r="W91" s="71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</row>
    <row r="92" spans="1:41" ht="18" x14ac:dyDescent="0.25">
      <c r="A92" s="368" t="s">
        <v>325</v>
      </c>
      <c r="B92" s="65"/>
      <c r="C92" s="65"/>
      <c r="D92" s="7">
        <f t="shared" ref="D92:F92" si="151">SUMIFS($N92:$AB92,$N$5:$AB$5,D$7)</f>
        <v>-13760</v>
      </c>
      <c r="E92" s="7">
        <f t="shared" si="151"/>
        <v>0</v>
      </c>
      <c r="F92" s="7">
        <f t="shared" si="151"/>
        <v>0</v>
      </c>
      <c r="G92" s="7">
        <f>SUMIFS($N92:$AG92,$N$5:$AG$5,G$7)</f>
        <v>0</v>
      </c>
      <c r="H92" s="7">
        <f>SUMIFS($N92:$AG92,$N$5:$AG$5,H$7)</f>
        <v>0</v>
      </c>
      <c r="I92" s="7">
        <f>SUMIFS($N92:$AP92,$N$5:$AP$5,I$7)</f>
        <v>-4905</v>
      </c>
      <c r="J92" s="7">
        <f>SUMIFS($N92:$AP92,$N$5:$AP$5,J$7)</f>
        <v>-7197</v>
      </c>
      <c r="K92" s="155"/>
      <c r="L92" s="51">
        <f>SUMIFS($N92:$AR92,$N$4:$AR$4,L$5)</f>
        <v>-7197</v>
      </c>
      <c r="M92" s="155"/>
      <c r="N92" s="70">
        <v>-1177</v>
      </c>
      <c r="O92" s="70">
        <v>-4336</v>
      </c>
      <c r="P92" s="70">
        <v>-3175</v>
      </c>
      <c r="Q92" s="70">
        <v>-5072</v>
      </c>
      <c r="R92" s="70">
        <v>0</v>
      </c>
      <c r="S92" s="70">
        <v>0</v>
      </c>
      <c r="T92" s="70">
        <v>0</v>
      </c>
      <c r="U92" s="70">
        <v>0</v>
      </c>
      <c r="V92" s="70">
        <v>0</v>
      </c>
      <c r="W92" s="70">
        <v>0</v>
      </c>
      <c r="X92" s="70">
        <v>0</v>
      </c>
      <c r="Y92" s="70">
        <v>0</v>
      </c>
      <c r="Z92" s="70">
        <v>0</v>
      </c>
      <c r="AA92" s="70">
        <v>0</v>
      </c>
      <c r="AB92" s="70">
        <v>0</v>
      </c>
      <c r="AC92" s="70">
        <v>0</v>
      </c>
      <c r="AD92" s="70">
        <v>0</v>
      </c>
      <c r="AE92" s="70">
        <v>0</v>
      </c>
      <c r="AF92" s="70">
        <v>0</v>
      </c>
      <c r="AG92" s="70">
        <v>0</v>
      </c>
      <c r="AH92" s="70">
        <v>660</v>
      </c>
      <c r="AI92" s="70">
        <v>-1347</v>
      </c>
      <c r="AJ92" s="70">
        <v>-923</v>
      </c>
      <c r="AK92" s="70">
        <v>-3295</v>
      </c>
      <c r="AL92" s="70">
        <v>660</v>
      </c>
      <c r="AM92" s="70">
        <v>-5849</v>
      </c>
      <c r="AN92" s="70">
        <v>-982</v>
      </c>
      <c r="AO92" s="70">
        <v>-1026</v>
      </c>
    </row>
    <row r="93" spans="1:41" s="151" customFormat="1" x14ac:dyDescent="0.2">
      <c r="A93" s="152" t="s">
        <v>26</v>
      </c>
      <c r="D93" s="158">
        <f>D92/D$10</f>
        <v>-1.5309658992922621E-2</v>
      </c>
      <c r="E93" s="158">
        <f t="shared" ref="E93:J93" si="152">E92/E$10</f>
        <v>0</v>
      </c>
      <c r="F93" s="158">
        <f t="shared" si="152"/>
        <v>0</v>
      </c>
      <c r="G93" s="158">
        <f t="shared" si="152"/>
        <v>0</v>
      </c>
      <c r="H93" s="158">
        <f t="shared" si="152"/>
        <v>0</v>
      </c>
      <c r="I93" s="158">
        <f t="shared" si="152"/>
        <v>-3.0354582366122675E-3</v>
      </c>
      <c r="J93" s="158">
        <f t="shared" si="152"/>
        <v>-4.2678960168082876E-3</v>
      </c>
      <c r="K93" s="159"/>
      <c r="L93" s="158">
        <f t="shared" ref="L93" si="153">L92/L$10</f>
        <v>-4.2678960168082876E-3</v>
      </c>
      <c r="M93" s="159"/>
      <c r="N93" s="158">
        <f t="shared" ref="N93:AF93" si="154">N92/N$10</f>
        <v>-5.825348432055749E-3</v>
      </c>
      <c r="O93" s="158">
        <f t="shared" si="154"/>
        <v>-1.9284310150058263E-2</v>
      </c>
      <c r="P93" s="158">
        <f t="shared" si="154"/>
        <v>-1.3289356376588967E-2</v>
      </c>
      <c r="Q93" s="158">
        <f t="shared" si="154"/>
        <v>-2.1770856583623783E-2</v>
      </c>
      <c r="R93" s="158">
        <f t="shared" si="154"/>
        <v>0</v>
      </c>
      <c r="S93" s="158">
        <f t="shared" si="154"/>
        <v>0</v>
      </c>
      <c r="T93" s="158">
        <f t="shared" si="154"/>
        <v>0</v>
      </c>
      <c r="U93" s="158">
        <f t="shared" si="154"/>
        <v>0</v>
      </c>
      <c r="V93" s="158">
        <f t="shared" si="154"/>
        <v>0</v>
      </c>
      <c r="W93" s="158">
        <f t="shared" si="154"/>
        <v>0</v>
      </c>
      <c r="X93" s="158">
        <f t="shared" si="154"/>
        <v>0</v>
      </c>
      <c r="Y93" s="158">
        <f t="shared" si="154"/>
        <v>0</v>
      </c>
      <c r="Z93" s="158">
        <f t="shared" si="154"/>
        <v>0</v>
      </c>
      <c r="AA93" s="158">
        <f t="shared" si="154"/>
        <v>0</v>
      </c>
      <c r="AB93" s="158">
        <f t="shared" si="154"/>
        <v>0</v>
      </c>
      <c r="AC93" s="158">
        <f t="shared" si="154"/>
        <v>0</v>
      </c>
      <c r="AD93" s="158">
        <f t="shared" si="154"/>
        <v>0</v>
      </c>
      <c r="AE93" s="158">
        <f t="shared" si="154"/>
        <v>0</v>
      </c>
      <c r="AF93" s="158">
        <f t="shared" si="154"/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0</v>
      </c>
      <c r="AL93" s="158">
        <f t="shared" ref="AL93:AO93" si="155">AL92/AL$10</f>
        <v>1.5599960291010169E-3</v>
      </c>
      <c r="AM93" s="158">
        <f t="shared" si="155"/>
        <v>-1.4135735933142247E-2</v>
      </c>
      <c r="AN93" s="158">
        <f t="shared" si="155"/>
        <v>-2.2654759460438378E-3</v>
      </c>
      <c r="AO93" s="158">
        <f t="shared" si="155"/>
        <v>-2.4663698689410475E-3</v>
      </c>
    </row>
    <row r="94" spans="1:41" x14ac:dyDescent="0.2">
      <c r="A94" s="114"/>
      <c r="B94" s="72"/>
      <c r="C94" s="72"/>
      <c r="D94" s="115"/>
      <c r="E94" s="115"/>
      <c r="F94" s="115"/>
      <c r="G94" s="115"/>
      <c r="H94" s="115"/>
      <c r="I94" s="115"/>
      <c r="J94" s="115"/>
      <c r="K94" s="72"/>
      <c r="L94" s="115"/>
      <c r="M94" s="72"/>
      <c r="N94" s="116"/>
      <c r="O94" s="114"/>
      <c r="P94" s="115"/>
      <c r="Q94" s="115"/>
      <c r="R94" s="114"/>
      <c r="S94" s="114"/>
      <c r="T94" s="115"/>
      <c r="U94" s="115"/>
      <c r="V94" s="114"/>
      <c r="W94" s="114"/>
      <c r="X94" s="115"/>
      <c r="Y94" s="115"/>
      <c r="Z94" s="115"/>
      <c r="AA94" s="115"/>
      <c r="AB94" s="115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</row>
    <row r="95" spans="1:41" x14ac:dyDescent="0.2">
      <c r="A95" s="117" t="s">
        <v>57</v>
      </c>
      <c r="B95" s="67"/>
      <c r="C95" s="67"/>
      <c r="D95" s="118">
        <f t="shared" ref="D95:J95" si="156">SUM(D89,D92)</f>
        <v>214485</v>
      </c>
      <c r="E95" s="118">
        <f t="shared" si="156"/>
        <v>225878.2</v>
      </c>
      <c r="F95" s="118">
        <f t="shared" si="156"/>
        <v>493921</v>
      </c>
      <c r="G95" s="118">
        <f t="shared" si="156"/>
        <v>537988</v>
      </c>
      <c r="H95" s="118">
        <f t="shared" si="156"/>
        <v>490476</v>
      </c>
      <c r="I95" s="118">
        <f t="shared" si="156"/>
        <v>495596</v>
      </c>
      <c r="J95" s="118">
        <f t="shared" si="156"/>
        <v>531828</v>
      </c>
      <c r="K95" s="157"/>
      <c r="L95" s="118">
        <f>SUM(L89,L92)</f>
        <v>531828</v>
      </c>
      <c r="M95" s="157"/>
      <c r="N95" s="118">
        <f t="shared" ref="N95:AM95" si="157">SUM(N89,N92)</f>
        <v>49308</v>
      </c>
      <c r="O95" s="118">
        <f t="shared" si="157"/>
        <v>42365</v>
      </c>
      <c r="P95" s="118">
        <f t="shared" si="157"/>
        <v>47237</v>
      </c>
      <c r="Q95" s="118">
        <f t="shared" si="157"/>
        <v>75575</v>
      </c>
      <c r="R95" s="118">
        <f t="shared" si="157"/>
        <v>52216.1</v>
      </c>
      <c r="S95" s="118">
        <f t="shared" si="157"/>
        <v>55600.1</v>
      </c>
      <c r="T95" s="118">
        <f t="shared" si="157"/>
        <v>55637</v>
      </c>
      <c r="U95" s="118">
        <f t="shared" si="157"/>
        <v>62425</v>
      </c>
      <c r="V95" s="118">
        <f t="shared" si="157"/>
        <v>100348</v>
      </c>
      <c r="W95" s="118">
        <f t="shared" si="157"/>
        <v>119076</v>
      </c>
      <c r="X95" s="118">
        <f t="shared" si="157"/>
        <v>140316</v>
      </c>
      <c r="Y95" s="118">
        <f t="shared" si="157"/>
        <v>134181</v>
      </c>
      <c r="Z95" s="118">
        <f t="shared" si="157"/>
        <v>136568</v>
      </c>
      <c r="AA95" s="118">
        <f t="shared" si="157"/>
        <v>144816</v>
      </c>
      <c r="AB95" s="118">
        <f t="shared" si="157"/>
        <v>137368</v>
      </c>
      <c r="AC95" s="118">
        <f t="shared" si="157"/>
        <v>119236</v>
      </c>
      <c r="AD95" s="118">
        <f t="shared" si="157"/>
        <v>128210</v>
      </c>
      <c r="AE95" s="118">
        <f t="shared" si="157"/>
        <v>117060</v>
      </c>
      <c r="AF95" s="118">
        <f t="shared" si="157"/>
        <v>133329</v>
      </c>
      <c r="AG95" s="118">
        <f t="shared" si="157"/>
        <v>111877</v>
      </c>
      <c r="AH95" s="118">
        <f t="shared" si="157"/>
        <v>136914</v>
      </c>
      <c r="AI95" s="118">
        <f t="shared" si="157"/>
        <v>118018</v>
      </c>
      <c r="AJ95" s="118">
        <f t="shared" si="157"/>
        <v>125266</v>
      </c>
      <c r="AK95" s="118">
        <f t="shared" si="157"/>
        <v>115398</v>
      </c>
      <c r="AL95" s="118">
        <f t="shared" si="157"/>
        <v>136914</v>
      </c>
      <c r="AM95" s="118">
        <f t="shared" si="157"/>
        <v>121686</v>
      </c>
      <c r="AN95" s="118">
        <f>SUM(AN89,AN92)</f>
        <v>145236</v>
      </c>
      <c r="AO95" s="118">
        <f>SUM(AO89,AO92)</f>
        <v>127992</v>
      </c>
    </row>
    <row r="96" spans="1:41" s="151" customFormat="1" x14ac:dyDescent="0.2">
      <c r="A96" s="149" t="s">
        <v>56</v>
      </c>
      <c r="B96" s="150"/>
      <c r="C96" s="150"/>
      <c r="D96" s="163">
        <f t="shared" ref="D96:AM96" si="158">D95/D$10</f>
        <v>0.2386404221727477</v>
      </c>
      <c r="E96" s="163">
        <f t="shared" si="158"/>
        <v>0.21938335575293438</v>
      </c>
      <c r="F96" s="163">
        <f t="shared" si="158"/>
        <v>0.30757911465319576</v>
      </c>
      <c r="G96" s="163">
        <f t="shared" si="158"/>
        <v>0.31896534346456262</v>
      </c>
      <c r="H96" s="163">
        <f t="shared" si="158"/>
        <v>0.30765409331689925</v>
      </c>
      <c r="I96" s="163">
        <f t="shared" si="158"/>
        <v>0.30669948220837784</v>
      </c>
      <c r="J96" s="163">
        <f t="shared" si="158"/>
        <v>0.31537954742630508</v>
      </c>
      <c r="K96" s="164"/>
      <c r="L96" s="163">
        <f t="shared" si="158"/>
        <v>0.31537954742630508</v>
      </c>
      <c r="M96" s="164"/>
      <c r="N96" s="163">
        <f t="shared" si="158"/>
        <v>0.24404101995565411</v>
      </c>
      <c r="O96" s="163">
        <f t="shared" si="158"/>
        <v>0.18841785043985662</v>
      </c>
      <c r="P96" s="163">
        <f t="shared" si="158"/>
        <v>0.19771632351525451</v>
      </c>
      <c r="Q96" s="163">
        <f t="shared" si="158"/>
        <v>0.32439520629088475</v>
      </c>
      <c r="R96" s="163">
        <f t="shared" si="158"/>
        <v>0.2209522560224777</v>
      </c>
      <c r="S96" s="163">
        <f t="shared" si="158"/>
        <v>0.23072112671380671</v>
      </c>
      <c r="T96" s="163">
        <f t="shared" si="158"/>
        <v>0.21287251829830542</v>
      </c>
      <c r="U96" s="163">
        <f t="shared" si="158"/>
        <v>0.21456682764191315</v>
      </c>
      <c r="V96" s="163">
        <f t="shared" si="158"/>
        <v>0.2817489843076586</v>
      </c>
      <c r="W96" s="163">
        <f t="shared" si="158"/>
        <v>0.29537353306692266</v>
      </c>
      <c r="X96" s="163">
        <f t="shared" si="158"/>
        <v>0.32445406365326451</v>
      </c>
      <c r="Y96" s="163">
        <f t="shared" si="158"/>
        <v>0.32405546914999467</v>
      </c>
      <c r="Z96" s="163">
        <f t="shared" si="158"/>
        <v>0.33477143921714747</v>
      </c>
      <c r="AA96" s="163">
        <f t="shared" si="158"/>
        <v>0.33763962817114201</v>
      </c>
      <c r="AB96" s="163">
        <f t="shared" si="158"/>
        <v>0.31120626182304234</v>
      </c>
      <c r="AC96" s="163">
        <f t="shared" si="158"/>
        <v>0.29195171518816876</v>
      </c>
      <c r="AD96" s="163">
        <f t="shared" si="158"/>
        <v>0.31510209297981734</v>
      </c>
      <c r="AE96" s="163">
        <f t="shared" si="158"/>
        <v>0.29675260476081833</v>
      </c>
      <c r="AF96" s="163">
        <f t="shared" si="158"/>
        <v>0.32690294344803911</v>
      </c>
      <c r="AG96" s="163">
        <f t="shared" si="158"/>
        <v>0.29056244091461575</v>
      </c>
      <c r="AH96" s="163">
        <f t="shared" si="158"/>
        <v>0.32361408534596459</v>
      </c>
      <c r="AI96" s="163">
        <f t="shared" si="158"/>
        <v>0.31833691632522598</v>
      </c>
      <c r="AJ96" s="163">
        <f t="shared" si="158"/>
        <v>0.30244338210439903</v>
      </c>
      <c r="AK96" s="163">
        <f t="shared" si="158"/>
        <v>0.28290063984702507</v>
      </c>
      <c r="AL96" s="163">
        <f t="shared" si="158"/>
        <v>0.32361408534596459</v>
      </c>
      <c r="AM96" s="163">
        <f t="shared" si="158"/>
        <v>0.29408807706622458</v>
      </c>
      <c r="AN96" s="163">
        <f>AN95/AN$10</f>
        <v>0.33505973981631648</v>
      </c>
      <c r="AO96" s="163">
        <f>AO95/AO$10</f>
        <v>0.30767603534649374</v>
      </c>
    </row>
    <row r="97" spans="1:41" x14ac:dyDescent="0.2">
      <c r="A97" s="67"/>
      <c r="B97" s="67"/>
      <c r="C97" s="67"/>
      <c r="D97" s="122"/>
      <c r="E97" s="122"/>
      <c r="F97" s="122"/>
      <c r="G97" s="122"/>
      <c r="H97" s="122"/>
      <c r="I97" s="122"/>
      <c r="J97" s="122"/>
      <c r="K97" s="67"/>
      <c r="L97" s="122"/>
      <c r="M97" s="67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</row>
    <row r="98" spans="1:41" x14ac:dyDescent="0.2">
      <c r="A98" s="67"/>
      <c r="B98" s="67"/>
      <c r="C98" s="67"/>
      <c r="D98" s="122"/>
      <c r="E98" s="122"/>
      <c r="F98" s="122"/>
      <c r="G98" s="122"/>
      <c r="H98" s="122"/>
      <c r="I98" s="122"/>
      <c r="J98" s="122"/>
      <c r="K98" s="67"/>
      <c r="L98" s="122"/>
      <c r="M98" s="67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</row>
    <row r="99" spans="1:41" s="302" customFormat="1" x14ac:dyDescent="0.2">
      <c r="A99" s="355"/>
      <c r="B99" s="356"/>
      <c r="C99" s="356"/>
      <c r="D99" s="357"/>
      <c r="E99" s="357"/>
      <c r="F99" s="357"/>
      <c r="G99" s="357"/>
      <c r="H99" s="357"/>
      <c r="I99" s="357"/>
      <c r="J99" s="357"/>
      <c r="K99" s="356"/>
      <c r="L99" s="357"/>
      <c r="M99" s="356"/>
      <c r="N99" s="357"/>
      <c r="O99" s="357"/>
      <c r="P99" s="357"/>
      <c r="Q99" s="357"/>
      <c r="R99" s="357"/>
      <c r="S99" s="357"/>
      <c r="T99" s="357"/>
      <c r="U99" s="357"/>
      <c r="V99" s="357"/>
      <c r="W99" s="357"/>
      <c r="X99" s="357"/>
      <c r="Y99" s="357"/>
      <c r="Z99" s="357"/>
      <c r="AA99" s="357"/>
      <c r="AB99" s="357"/>
      <c r="AC99" s="357"/>
      <c r="AD99" s="357"/>
      <c r="AE99" s="357"/>
      <c r="AF99" s="357"/>
      <c r="AG99" s="357"/>
      <c r="AH99" s="357"/>
      <c r="AI99" s="357"/>
      <c r="AJ99" s="357"/>
      <c r="AK99" s="357"/>
      <c r="AL99" s="357"/>
      <c r="AM99" s="357"/>
      <c r="AN99" s="357"/>
      <c r="AO99" s="357"/>
    </row>
    <row r="100" spans="1:41" x14ac:dyDescent="0.2">
      <c r="A100" s="67"/>
      <c r="B100" s="67"/>
      <c r="C100" s="67"/>
      <c r="D100" s="122"/>
      <c r="E100" s="122"/>
      <c r="F100" s="122"/>
      <c r="G100" s="122"/>
      <c r="H100" s="122"/>
      <c r="I100" s="122"/>
      <c r="J100" s="122"/>
      <c r="K100" s="67"/>
      <c r="L100" s="122"/>
      <c r="M100" s="67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</row>
    <row r="101" spans="1:41" ht="18" outlineLevel="1" x14ac:dyDescent="0.2">
      <c r="A101" s="22" t="s">
        <v>331</v>
      </c>
      <c r="D101" s="65"/>
      <c r="E101" s="65"/>
      <c r="F101" s="65"/>
      <c r="G101" s="65"/>
      <c r="H101" s="65"/>
      <c r="I101" s="65"/>
      <c r="J101" s="65"/>
      <c r="L101" s="65"/>
      <c r="O101" s="16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</row>
    <row r="102" spans="1:41" outlineLevel="1" x14ac:dyDescent="0.2">
      <c r="A102" s="125"/>
      <c r="B102" s="125"/>
      <c r="C102" s="125"/>
      <c r="D102" s="65"/>
      <c r="E102" s="65"/>
      <c r="F102" s="65"/>
      <c r="G102" s="65"/>
      <c r="H102" s="65"/>
      <c r="I102" s="65"/>
      <c r="J102" s="65"/>
      <c r="K102" s="125"/>
      <c r="L102" s="65"/>
      <c r="M102" s="125"/>
      <c r="N102" s="125"/>
      <c r="O102" s="125"/>
      <c r="P102" s="12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</row>
    <row r="103" spans="1:41" ht="18" outlineLevel="1" x14ac:dyDescent="0.2">
      <c r="A103" s="22" t="s">
        <v>332</v>
      </c>
      <c r="D103" s="65"/>
      <c r="E103" s="65"/>
      <c r="F103" s="65"/>
      <c r="G103" s="65"/>
      <c r="H103" s="65"/>
      <c r="I103" s="65"/>
      <c r="J103" s="65"/>
      <c r="L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</row>
    <row r="104" spans="1:41" outlineLevel="1" x14ac:dyDescent="0.2">
      <c r="A104" s="16" t="s">
        <v>63</v>
      </c>
      <c r="O104" s="16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</row>
    <row r="105" spans="1:41" outlineLevel="1" x14ac:dyDescent="0.2">
      <c r="A105" s="16" t="s">
        <v>62</v>
      </c>
      <c r="D105" s="65"/>
      <c r="E105" s="65"/>
      <c r="F105" s="65"/>
      <c r="G105" s="65"/>
      <c r="H105" s="65"/>
      <c r="I105" s="65"/>
      <c r="J105" s="65"/>
      <c r="L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</row>
    <row r="106" spans="1:41" outlineLevel="1" x14ac:dyDescent="0.2">
      <c r="A106" s="16" t="s">
        <v>61</v>
      </c>
      <c r="D106" s="65"/>
      <c r="E106" s="65"/>
      <c r="F106" s="65"/>
      <c r="G106" s="65"/>
      <c r="H106" s="65"/>
      <c r="I106" s="65"/>
      <c r="J106" s="65"/>
      <c r="L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</row>
    <row r="107" spans="1:41" outlineLevel="1" x14ac:dyDescent="0.2">
      <c r="A107" s="16" t="s">
        <v>60</v>
      </c>
      <c r="D107" s="65"/>
      <c r="E107" s="65"/>
      <c r="F107" s="65"/>
      <c r="G107" s="65"/>
      <c r="H107" s="65"/>
      <c r="I107" s="65"/>
      <c r="J107" s="65"/>
      <c r="L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</row>
    <row r="108" spans="1:41" outlineLevel="1" x14ac:dyDescent="0.2">
      <c r="A108" s="16" t="s">
        <v>59</v>
      </c>
      <c r="D108" s="65"/>
      <c r="E108" s="65"/>
      <c r="F108" s="65"/>
      <c r="G108" s="65"/>
      <c r="H108" s="65"/>
      <c r="I108" s="65"/>
      <c r="J108" s="65"/>
      <c r="L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</row>
    <row r="109" spans="1:41" outlineLevel="1" x14ac:dyDescent="0.2">
      <c r="A109" s="16" t="s">
        <v>58</v>
      </c>
      <c r="D109" s="65"/>
      <c r="E109" s="65"/>
      <c r="F109" s="65"/>
      <c r="G109" s="65"/>
      <c r="H109" s="65"/>
      <c r="I109" s="65"/>
      <c r="J109" s="65"/>
      <c r="L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</row>
    <row r="110" spans="1:41" outlineLevel="1" x14ac:dyDescent="0.2">
      <c r="A110" s="16" t="s">
        <v>250</v>
      </c>
      <c r="D110" s="65"/>
      <c r="E110" s="65"/>
      <c r="F110" s="65"/>
      <c r="G110" s="65"/>
      <c r="H110" s="65"/>
      <c r="I110" s="65"/>
      <c r="J110" s="65"/>
      <c r="L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</row>
    <row r="111" spans="1:41" outlineLevel="1" x14ac:dyDescent="0.2">
      <c r="A111" s="16" t="s">
        <v>252</v>
      </c>
      <c r="D111" s="65"/>
      <c r="E111" s="65"/>
      <c r="F111" s="65"/>
      <c r="G111" s="65"/>
      <c r="H111" s="65"/>
      <c r="I111" s="65"/>
      <c r="J111" s="65"/>
      <c r="L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</row>
    <row r="112" spans="1:41" outlineLevel="1" x14ac:dyDescent="0.2">
      <c r="A112" s="16" t="s">
        <v>262</v>
      </c>
      <c r="O112" s="16"/>
    </row>
    <row r="113" spans="1:41" outlineLevel="1" x14ac:dyDescent="0.2">
      <c r="A113" s="16" t="s">
        <v>265</v>
      </c>
      <c r="D113" s="125"/>
      <c r="E113" s="125"/>
      <c r="F113" s="65"/>
      <c r="G113" s="65"/>
      <c r="H113" s="65"/>
      <c r="I113" s="65"/>
      <c r="J113" s="65"/>
      <c r="L113" s="65"/>
      <c r="O113" s="16"/>
      <c r="Q113" s="125"/>
      <c r="R113" s="125"/>
      <c r="S113" s="12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</row>
    <row r="114" spans="1:41" outlineLevel="1" x14ac:dyDescent="0.2">
      <c r="A114" s="16" t="s">
        <v>287</v>
      </c>
      <c r="D114" s="65"/>
      <c r="E114" s="65"/>
      <c r="F114" s="65"/>
      <c r="G114" s="65"/>
      <c r="H114" s="65"/>
      <c r="I114" s="65"/>
      <c r="J114" s="65"/>
      <c r="L114" s="65"/>
      <c r="O114" s="16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</row>
    <row r="115" spans="1:41" outlineLevel="1" x14ac:dyDescent="0.2">
      <c r="A115" s="16" t="s">
        <v>290</v>
      </c>
      <c r="D115" s="65"/>
      <c r="E115" s="65"/>
      <c r="F115" s="65"/>
      <c r="G115" s="65"/>
      <c r="H115" s="65"/>
      <c r="I115" s="65"/>
      <c r="J115" s="65"/>
      <c r="L115" s="65"/>
      <c r="O115" s="16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</row>
    <row r="116" spans="1:41" outlineLevel="1" x14ac:dyDescent="0.2">
      <c r="A116" s="16" t="s">
        <v>328</v>
      </c>
      <c r="D116" s="65"/>
      <c r="E116" s="65"/>
      <c r="F116" s="65"/>
      <c r="G116" s="65"/>
      <c r="H116" s="65"/>
      <c r="I116" s="65"/>
      <c r="J116" s="65"/>
      <c r="L116" s="65"/>
      <c r="O116" s="16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</row>
    <row r="117" spans="1:41" outlineLevel="1" x14ac:dyDescent="0.2">
      <c r="A117" s="16" t="s">
        <v>307</v>
      </c>
      <c r="D117" s="65"/>
      <c r="E117" s="65"/>
      <c r="F117" s="65"/>
      <c r="G117" s="65"/>
      <c r="H117" s="65"/>
      <c r="I117" s="65"/>
      <c r="J117" s="65"/>
      <c r="L117" s="65"/>
      <c r="O117" s="16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</row>
    <row r="118" spans="1:41" outlineLevel="1" x14ac:dyDescent="0.2">
      <c r="A118" s="16" t="s">
        <v>314</v>
      </c>
      <c r="O118" s="16"/>
    </row>
    <row r="119" spans="1:41" outlineLevel="1" x14ac:dyDescent="0.2">
      <c r="A119" s="16" t="s">
        <v>313</v>
      </c>
      <c r="O119" s="16"/>
    </row>
    <row r="120" spans="1:41" outlineLevel="1" x14ac:dyDescent="0.2">
      <c r="A120" s="16" t="s">
        <v>329</v>
      </c>
      <c r="O120" s="16"/>
    </row>
    <row r="121" spans="1:41" outlineLevel="1" x14ac:dyDescent="0.2">
      <c r="A121" s="71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1"/>
      <c r="P121" s="73"/>
      <c r="Q121" s="73"/>
      <c r="R121" s="71"/>
      <c r="S121" s="71"/>
      <c r="T121" s="73"/>
      <c r="U121" s="73"/>
      <c r="V121" s="71"/>
      <c r="W121" s="71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</row>
    <row r="122" spans="1:41" ht="18" outlineLevel="1" x14ac:dyDescent="0.2">
      <c r="A122" s="371" t="s">
        <v>333</v>
      </c>
      <c r="B122" s="125"/>
      <c r="C122" s="125"/>
      <c r="D122" s="125"/>
      <c r="E122" s="125"/>
      <c r="F122" s="65"/>
      <c r="G122" s="65"/>
      <c r="H122" s="65"/>
      <c r="I122" s="65"/>
      <c r="J122" s="65"/>
      <c r="K122" s="125"/>
      <c r="L122" s="65"/>
      <c r="M122" s="125"/>
      <c r="N122" s="125"/>
      <c r="O122" s="125"/>
      <c r="P122" s="125"/>
      <c r="Q122" s="125"/>
      <c r="R122" s="125"/>
      <c r="S122" s="12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</row>
    <row r="123" spans="1:41" outlineLevel="1" x14ac:dyDescent="0.2">
      <c r="A123" s="367"/>
      <c r="B123" s="125"/>
      <c r="C123" s="125"/>
      <c r="D123" s="125"/>
      <c r="E123" s="125"/>
      <c r="F123" s="65"/>
      <c r="G123" s="65"/>
      <c r="H123" s="65"/>
      <c r="I123" s="65"/>
      <c r="J123" s="65"/>
      <c r="K123" s="125"/>
      <c r="L123" s="65"/>
      <c r="M123" s="125"/>
      <c r="N123" s="125"/>
      <c r="O123" s="125"/>
      <c r="P123" s="125"/>
      <c r="Q123" s="125"/>
      <c r="R123" s="125"/>
      <c r="S123" s="12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</row>
    <row r="124" spans="1:41" ht="18" outlineLevel="1" x14ac:dyDescent="0.2">
      <c r="A124" s="355" t="s">
        <v>334</v>
      </c>
      <c r="B124" s="125"/>
      <c r="C124" s="125"/>
      <c r="D124" s="125"/>
      <c r="E124" s="125"/>
      <c r="F124" s="65"/>
      <c r="G124" s="65"/>
      <c r="H124" s="65"/>
      <c r="I124" s="65"/>
      <c r="J124" s="65"/>
      <c r="K124" s="125"/>
      <c r="L124" s="65"/>
      <c r="M124" s="125"/>
      <c r="N124" s="125"/>
      <c r="O124" s="125"/>
      <c r="P124" s="125"/>
      <c r="Q124" s="125"/>
      <c r="R124" s="125"/>
      <c r="S124" s="12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</row>
    <row r="125" spans="1:41" outlineLevel="1" x14ac:dyDescent="0.2">
      <c r="A125" s="16" t="s">
        <v>330</v>
      </c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</row>
    <row r="126" spans="1:41" outlineLevel="1" x14ac:dyDescent="0.2">
      <c r="A126" s="16" t="s">
        <v>326</v>
      </c>
    </row>
  </sheetData>
  <dataConsolidate/>
  <phoneticPr fontId="65" type="noConversion"/>
  <hyperlinks>
    <hyperlink ref="A126" r:id="rId1" display="No 1T25, conforme Fato Relevante publicado em 26 de março de 2025, a Companhia encerrou as atividades da fábrica de destilação de goma resina extraída de florestas de pinus, localizada no município de Balneário Pinhal/RS (“Fábrica”)" xr:uid="{A6411C89-EF37-4F26-9E67-E848166B5BCD}"/>
    <hyperlink ref="A125" r:id="rId2" xr:uid="{41263834-614A-45E6-BB65-DE1EF69059CE}"/>
  </hyperlinks>
  <pageMargins left="0.51181102362204722" right="0.51181102362204722" top="0.78740157480314965" bottom="0.78740157480314965" header="0.31496062992125984" footer="0.31496062992125984"/>
  <pageSetup paperSize="9" scale="55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2:AT77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 activeCell="J6" sqref="J6"/>
    </sheetView>
  </sheetViews>
  <sheetFormatPr defaultColWidth="0" defaultRowHeight="15.75" x14ac:dyDescent="0.2"/>
  <cols>
    <col min="1" max="1" width="57" style="16" bestFit="1" customWidth="1"/>
    <col min="2" max="3" width="2.140625" style="16" customWidth="1"/>
    <col min="4" max="4" width="12.28515625" style="16" bestFit="1" customWidth="1"/>
    <col min="5" max="5" width="12.28515625" style="16" customWidth="1"/>
    <col min="6" max="6" width="13.140625" style="16" customWidth="1"/>
    <col min="7" max="10" width="12.42578125" style="16" bestFit="1" customWidth="1"/>
    <col min="11" max="11" width="5" style="16" customWidth="1"/>
    <col min="12" max="12" width="13.140625" style="16" bestFit="1" customWidth="1"/>
    <col min="13" max="13" width="5" style="16" customWidth="1"/>
    <col min="14" max="19" width="13.42578125" style="16" bestFit="1" customWidth="1"/>
    <col min="20" max="21" width="13.42578125" style="16" customWidth="1"/>
    <col min="22" max="24" width="13.42578125" style="16" bestFit="1" customWidth="1"/>
    <col min="25" max="41" width="13.42578125" style="16" customWidth="1"/>
    <col min="42" max="46" width="9.140625" style="16" customWidth="1"/>
    <col min="47" max="16384" width="9.140625" style="16" hidden="1"/>
  </cols>
  <sheetData>
    <row r="2" spans="1:42" ht="26.25" x14ac:dyDescent="0.2">
      <c r="A2" s="14" t="s">
        <v>64</v>
      </c>
      <c r="B2" s="15"/>
      <c r="C2" s="15"/>
      <c r="K2" s="15"/>
      <c r="L2" s="15"/>
      <c r="M2" s="15"/>
      <c r="Q2" s="15"/>
    </row>
    <row r="3" spans="1:42" ht="18.75" x14ac:dyDescent="0.2">
      <c r="A3" s="17" t="s">
        <v>65</v>
      </c>
      <c r="B3" s="15"/>
      <c r="C3" s="15"/>
      <c r="K3" s="15"/>
      <c r="L3" s="15"/>
      <c r="M3" s="15"/>
      <c r="Q3" s="15"/>
    </row>
    <row r="4" spans="1:42" ht="26.25" x14ac:dyDescent="0.2">
      <c r="A4" s="18" t="s">
        <v>4</v>
      </c>
      <c r="B4" s="1"/>
      <c r="C4" s="1"/>
      <c r="D4" s="228">
        <f>D10-D38</f>
        <v>0</v>
      </c>
      <c r="E4" s="228">
        <f>E10-E38</f>
        <v>0</v>
      </c>
      <c r="F4" s="228"/>
      <c r="G4" s="228">
        <f>G10-G38</f>
        <v>0</v>
      </c>
      <c r="H4" s="228"/>
      <c r="I4" s="228"/>
      <c r="J4" s="228"/>
      <c r="K4" s="1"/>
      <c r="L4" s="1"/>
      <c r="M4" s="1"/>
      <c r="Q4" s="1"/>
    </row>
    <row r="5" spans="1:42" ht="18.75" x14ac:dyDescent="0.2">
      <c r="A5" s="19" t="s">
        <v>66</v>
      </c>
      <c r="B5" s="20"/>
      <c r="C5" s="20"/>
      <c r="D5" s="21" t="str">
        <f>"4T "&amp;D7</f>
        <v>4T 2019</v>
      </c>
      <c r="E5" s="21" t="str">
        <f>"4T "&amp;E7</f>
        <v>4T 2020</v>
      </c>
      <c r="F5" s="21" t="str">
        <f>"4T "&amp;F7</f>
        <v>4T 2021</v>
      </c>
      <c r="G5" s="21" t="str">
        <f>"4T "&amp;G7</f>
        <v>4T 2022</v>
      </c>
      <c r="H5" s="21" t="s">
        <v>283</v>
      </c>
      <c r="I5" s="21" t="s">
        <v>300</v>
      </c>
      <c r="J5" s="21" t="s">
        <v>320</v>
      </c>
      <c r="K5" s="20"/>
      <c r="L5" s="20"/>
      <c r="M5" s="20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42" s="1" customFormat="1" ht="5.25" customHeight="1" x14ac:dyDescent="0.2">
      <c r="B6" s="22"/>
      <c r="C6" s="22"/>
      <c r="D6" s="15"/>
      <c r="E6" s="15"/>
      <c r="F6" s="15"/>
      <c r="G6" s="15"/>
      <c r="H6" s="15"/>
      <c r="I6" s="15"/>
      <c r="J6" s="15"/>
      <c r="K6" s="22"/>
      <c r="L6" s="22"/>
      <c r="M6" s="22"/>
      <c r="N6" s="15"/>
      <c r="O6" s="22"/>
      <c r="P6" s="23"/>
      <c r="Q6" s="23"/>
      <c r="R6" s="15"/>
      <c r="S6" s="22"/>
      <c r="T6" s="22"/>
      <c r="U6" s="22"/>
      <c r="V6" s="15"/>
      <c r="W6" s="22"/>
    </row>
    <row r="7" spans="1:42" s="1" customFormat="1" x14ac:dyDescent="0.2">
      <c r="A7" s="22" t="s">
        <v>7</v>
      </c>
      <c r="B7" s="2"/>
      <c r="C7" s="2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2"/>
      <c r="L7" s="2"/>
      <c r="M7" s="2"/>
      <c r="N7" s="9" t="s">
        <v>8</v>
      </c>
      <c r="O7" s="9" t="s">
        <v>9</v>
      </c>
      <c r="P7" s="9" t="s">
        <v>10</v>
      </c>
      <c r="Q7" s="9" t="s">
        <v>11</v>
      </c>
      <c r="R7" s="9" t="s">
        <v>12</v>
      </c>
      <c r="S7" s="9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18</v>
      </c>
      <c r="Y7" s="9" t="s">
        <v>19</v>
      </c>
      <c r="Z7" s="9" t="s">
        <v>20</v>
      </c>
      <c r="AA7" s="9" t="s">
        <v>21</v>
      </c>
      <c r="AB7" s="9" t="s">
        <v>22</v>
      </c>
      <c r="AC7" s="9" t="s">
        <v>23</v>
      </c>
      <c r="AD7" s="9" t="s">
        <v>251</v>
      </c>
      <c r="AE7" s="9" t="s">
        <v>254</v>
      </c>
      <c r="AF7" s="9" t="s">
        <v>263</v>
      </c>
      <c r="AG7" s="9" t="s">
        <v>283</v>
      </c>
      <c r="AH7" s="9" t="s">
        <v>288</v>
      </c>
      <c r="AI7" s="9" t="s">
        <v>296</v>
      </c>
      <c r="AJ7" s="9" t="s">
        <v>298</v>
      </c>
      <c r="AK7" s="9" t="s">
        <v>300</v>
      </c>
      <c r="AL7" s="9" t="s">
        <v>304</v>
      </c>
      <c r="AM7" s="9" t="s">
        <v>312</v>
      </c>
      <c r="AN7" s="9" t="s">
        <v>318</v>
      </c>
      <c r="AO7" s="9" t="s">
        <v>320</v>
      </c>
    </row>
    <row r="8" spans="1:42" s="1" customFormat="1" ht="5.25" customHeight="1" x14ac:dyDescent="0.2">
      <c r="B8" s="22"/>
      <c r="C8" s="22"/>
      <c r="D8" s="15"/>
      <c r="E8" s="15"/>
      <c r="F8" s="15"/>
      <c r="G8" s="15"/>
      <c r="H8" s="15"/>
      <c r="I8" s="15"/>
      <c r="J8" s="15"/>
      <c r="K8" s="22"/>
      <c r="L8" s="22"/>
      <c r="M8" s="22"/>
      <c r="N8" s="15"/>
      <c r="O8" s="22"/>
      <c r="P8" s="23"/>
      <c r="Q8" s="23"/>
      <c r="R8" s="15"/>
      <c r="S8" s="22"/>
      <c r="T8" s="22"/>
      <c r="U8" s="22"/>
      <c r="V8" s="15"/>
      <c r="W8" s="22"/>
    </row>
    <row r="9" spans="1:42" s="1" customFormat="1" ht="5.25" customHeight="1" x14ac:dyDescent="0.2">
      <c r="B9" s="22"/>
      <c r="C9" s="22"/>
      <c r="D9" s="15"/>
      <c r="E9" s="15"/>
      <c r="F9" s="15"/>
      <c r="G9" s="15"/>
      <c r="H9" s="15"/>
      <c r="I9" s="15"/>
      <c r="J9" s="15"/>
      <c r="K9" s="22"/>
      <c r="L9" s="22"/>
      <c r="M9" s="22"/>
      <c r="N9" s="15"/>
      <c r="O9" s="22"/>
      <c r="P9" s="23"/>
      <c r="Q9" s="23"/>
      <c r="R9" s="15"/>
      <c r="S9" s="22"/>
      <c r="T9" s="22"/>
      <c r="U9" s="22"/>
      <c r="V9" s="15"/>
      <c r="W9" s="22"/>
    </row>
    <row r="10" spans="1:42" s="1" customFormat="1" x14ac:dyDescent="0.2">
      <c r="A10" s="129" t="s">
        <v>67</v>
      </c>
      <c r="B10" s="24"/>
      <c r="C10" s="24"/>
      <c r="D10" s="130">
        <f t="shared" ref="D10:H10" si="0">D12+D24</f>
        <v>1579546</v>
      </c>
      <c r="E10" s="130">
        <f t="shared" si="0"/>
        <v>1814117</v>
      </c>
      <c r="F10" s="130">
        <f t="shared" si="0"/>
        <v>2365300</v>
      </c>
      <c r="G10" s="130">
        <f t="shared" si="0"/>
        <v>3515338</v>
      </c>
      <c r="H10" s="130">
        <f t="shared" si="0"/>
        <v>3467066</v>
      </c>
      <c r="I10" s="130">
        <f>I12+I24</f>
        <v>3620637</v>
      </c>
      <c r="J10" s="130">
        <f>J12+J24</f>
        <v>3949686</v>
      </c>
      <c r="K10" s="165"/>
      <c r="L10" s="165"/>
      <c r="M10" s="165"/>
      <c r="N10" s="166">
        <f t="shared" ref="N10:AH10" si="1">N12+N24</f>
        <v>1494508</v>
      </c>
      <c r="O10" s="166">
        <f t="shared" si="1"/>
        <v>1479451</v>
      </c>
      <c r="P10" s="166">
        <f t="shared" si="1"/>
        <v>1614747</v>
      </c>
      <c r="Q10" s="166">
        <f t="shared" si="1"/>
        <v>1579546</v>
      </c>
      <c r="R10" s="166">
        <f t="shared" si="1"/>
        <v>1563835</v>
      </c>
      <c r="S10" s="166">
        <f t="shared" si="1"/>
        <v>1568964</v>
      </c>
      <c r="T10" s="166">
        <f t="shared" si="1"/>
        <v>1824428</v>
      </c>
      <c r="U10" s="166">
        <f t="shared" si="1"/>
        <v>1814117</v>
      </c>
      <c r="V10" s="166">
        <f t="shared" si="1"/>
        <v>1899665</v>
      </c>
      <c r="W10" s="166">
        <f t="shared" si="1"/>
        <v>1974864</v>
      </c>
      <c r="X10" s="166">
        <f t="shared" si="1"/>
        <v>2094360</v>
      </c>
      <c r="Y10" s="166">
        <f t="shared" si="1"/>
        <v>2365300</v>
      </c>
      <c r="Z10" s="166">
        <f t="shared" si="1"/>
        <v>2412537</v>
      </c>
      <c r="AA10" s="166">
        <f t="shared" si="1"/>
        <v>2629642</v>
      </c>
      <c r="AB10" s="166">
        <f t="shared" si="1"/>
        <v>2707188</v>
      </c>
      <c r="AC10" s="166">
        <f t="shared" si="1"/>
        <v>3515338</v>
      </c>
      <c r="AD10" s="166">
        <f t="shared" si="1"/>
        <v>3577859</v>
      </c>
      <c r="AE10" s="166">
        <f t="shared" si="1"/>
        <v>3777363</v>
      </c>
      <c r="AF10" s="166">
        <f t="shared" si="1"/>
        <v>3473583</v>
      </c>
      <c r="AG10" s="166">
        <f t="shared" si="1"/>
        <v>3467066</v>
      </c>
      <c r="AH10" s="166">
        <f t="shared" si="1"/>
        <v>3480534</v>
      </c>
      <c r="AI10" s="166">
        <f t="shared" ref="AI10:AO10" si="2">AI12+AI24</f>
        <v>3505715</v>
      </c>
      <c r="AJ10" s="166">
        <f t="shared" si="2"/>
        <v>3483185</v>
      </c>
      <c r="AK10" s="166">
        <f t="shared" si="2"/>
        <v>3620637</v>
      </c>
      <c r="AL10" s="166">
        <f t="shared" si="2"/>
        <v>3681575</v>
      </c>
      <c r="AM10" s="166">
        <f t="shared" si="2"/>
        <v>3768111</v>
      </c>
      <c r="AN10" s="166">
        <f t="shared" si="2"/>
        <v>3780942</v>
      </c>
      <c r="AO10" s="166">
        <f t="shared" si="2"/>
        <v>3949686</v>
      </c>
      <c r="AP10" s="172"/>
    </row>
    <row r="11" spans="1:42" s="1" customFormat="1" ht="12.75" customHeight="1" x14ac:dyDescent="0.2">
      <c r="A11" s="26"/>
      <c r="B11" s="27"/>
      <c r="C11" s="27"/>
      <c r="D11" s="28"/>
      <c r="E11" s="28"/>
      <c r="F11" s="28"/>
      <c r="G11" s="28"/>
      <c r="H11" s="28"/>
      <c r="I11" s="28"/>
      <c r="J11" s="28"/>
      <c r="K11" s="183"/>
      <c r="L11" s="183"/>
      <c r="M11" s="183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42" s="1" customFormat="1" x14ac:dyDescent="0.2">
      <c r="A12" s="138" t="s">
        <v>68</v>
      </c>
      <c r="B12" s="29"/>
      <c r="C12" s="29"/>
      <c r="D12" s="25">
        <f t="shared" ref="D12:I12" si="3">SUM(D13:D22)</f>
        <v>503864</v>
      </c>
      <c r="E12" s="25">
        <f t="shared" si="3"/>
        <v>771598</v>
      </c>
      <c r="F12" s="25">
        <f t="shared" si="3"/>
        <v>958723</v>
      </c>
      <c r="G12" s="25">
        <f t="shared" si="3"/>
        <v>1505181</v>
      </c>
      <c r="H12" s="25">
        <f t="shared" si="3"/>
        <v>1134869</v>
      </c>
      <c r="I12" s="25">
        <f t="shared" si="3"/>
        <v>1230009</v>
      </c>
      <c r="J12" s="25">
        <f t="shared" ref="J12" si="4">SUM(J13:J22)</f>
        <v>1396763</v>
      </c>
      <c r="K12" s="170"/>
      <c r="L12" s="170"/>
      <c r="M12" s="170"/>
      <c r="N12" s="168">
        <f t="shared" ref="N12:AH12" si="5">SUM(N13:N22)</f>
        <v>331453</v>
      </c>
      <c r="O12" s="168">
        <f t="shared" si="5"/>
        <v>315098</v>
      </c>
      <c r="P12" s="168">
        <f t="shared" si="5"/>
        <v>456557</v>
      </c>
      <c r="Q12" s="168">
        <f t="shared" si="5"/>
        <v>503864</v>
      </c>
      <c r="R12" s="168">
        <f t="shared" si="5"/>
        <v>490402</v>
      </c>
      <c r="S12" s="168">
        <f t="shared" si="5"/>
        <v>504490</v>
      </c>
      <c r="T12" s="168">
        <f t="shared" si="5"/>
        <v>765603</v>
      </c>
      <c r="U12" s="168">
        <f t="shared" si="5"/>
        <v>771598</v>
      </c>
      <c r="V12" s="168">
        <f t="shared" si="5"/>
        <v>852135</v>
      </c>
      <c r="W12" s="168">
        <f t="shared" si="5"/>
        <v>841626</v>
      </c>
      <c r="X12" s="168">
        <f t="shared" si="5"/>
        <v>818868</v>
      </c>
      <c r="Y12" s="168">
        <f t="shared" si="5"/>
        <v>958723</v>
      </c>
      <c r="Z12" s="168">
        <f t="shared" si="5"/>
        <v>856468</v>
      </c>
      <c r="AA12" s="168">
        <f t="shared" si="5"/>
        <v>924091</v>
      </c>
      <c r="AB12" s="168">
        <f t="shared" si="5"/>
        <v>832233</v>
      </c>
      <c r="AC12" s="168">
        <f t="shared" si="5"/>
        <v>1505181</v>
      </c>
      <c r="AD12" s="168">
        <f t="shared" si="5"/>
        <v>1464032</v>
      </c>
      <c r="AE12" s="168">
        <f t="shared" si="5"/>
        <v>1407326</v>
      </c>
      <c r="AF12" s="168">
        <f t="shared" si="5"/>
        <v>1153546</v>
      </c>
      <c r="AG12" s="168">
        <f t="shared" si="5"/>
        <v>1134869</v>
      </c>
      <c r="AH12" s="168">
        <f t="shared" si="5"/>
        <v>1151281</v>
      </c>
      <c r="AI12" s="168">
        <f t="shared" ref="AI12:AO12" si="6">SUM(AI13:AI22)</f>
        <v>1174045</v>
      </c>
      <c r="AJ12" s="168">
        <f t="shared" si="6"/>
        <v>1145828</v>
      </c>
      <c r="AK12" s="168">
        <f t="shared" si="6"/>
        <v>1230009</v>
      </c>
      <c r="AL12" s="168">
        <f t="shared" si="6"/>
        <v>1308974</v>
      </c>
      <c r="AM12" s="168">
        <f t="shared" si="6"/>
        <v>1243755</v>
      </c>
      <c r="AN12" s="168">
        <f t="shared" si="6"/>
        <v>1268821</v>
      </c>
      <c r="AO12" s="168">
        <f t="shared" si="6"/>
        <v>1396763</v>
      </c>
      <c r="AP12" s="172"/>
    </row>
    <row r="13" spans="1:42" x14ac:dyDescent="0.2">
      <c r="A13" s="133" t="s">
        <v>69</v>
      </c>
      <c r="B13" s="31"/>
      <c r="C13" s="31"/>
      <c r="D13" s="32">
        <f t="shared" ref="D13:F22" si="7">INDEX($N13:$AB13,MATCH(D$5,$N$7:$AB$7,0))</f>
        <v>80822</v>
      </c>
      <c r="E13" s="32">
        <f t="shared" si="7"/>
        <v>54260</v>
      </c>
      <c r="F13" s="32">
        <f t="shared" si="7"/>
        <v>30410</v>
      </c>
      <c r="G13" s="32">
        <f>INDEX($N13:$AG13,MATCH(G$5,$N$7:$AG$7,0))</f>
        <v>735194</v>
      </c>
      <c r="H13" s="32">
        <f>INDEX($N13:$AG13,MATCH(H$5,$N$7:$AG$7,0))</f>
        <v>484152</v>
      </c>
      <c r="I13" s="32">
        <f>INDEX($N13:$AP13,MATCH(I$5,$N$7:$AP$7,0))</f>
        <v>604232</v>
      </c>
      <c r="J13" s="32">
        <f>INDEX($N13:$AP13,MATCH(J$5,$N$7:$AP$7,0))</f>
        <v>839834</v>
      </c>
      <c r="K13" s="169"/>
      <c r="L13" s="169"/>
      <c r="M13" s="169"/>
      <c r="N13" s="39">
        <v>41962</v>
      </c>
      <c r="O13" s="52">
        <v>30546</v>
      </c>
      <c r="P13" s="39">
        <v>19003</v>
      </c>
      <c r="Q13" s="39">
        <v>80822</v>
      </c>
      <c r="R13" s="39">
        <v>68719</v>
      </c>
      <c r="S13" s="52">
        <v>108208</v>
      </c>
      <c r="T13" s="52">
        <v>86424</v>
      </c>
      <c r="U13" s="52">
        <v>54260</v>
      </c>
      <c r="V13" s="39">
        <v>46406</v>
      </c>
      <c r="W13" s="52">
        <v>34894</v>
      </c>
      <c r="X13" s="52">
        <v>41720</v>
      </c>
      <c r="Y13" s="52">
        <v>30410</v>
      </c>
      <c r="Z13" s="52">
        <v>42974</v>
      </c>
      <c r="AA13" s="52">
        <v>37691</v>
      </c>
      <c r="AB13" s="52">
        <v>48397</v>
      </c>
      <c r="AC13" s="52">
        <v>735194</v>
      </c>
      <c r="AD13" s="52">
        <v>493889</v>
      </c>
      <c r="AE13" s="52">
        <v>368120</v>
      </c>
      <c r="AF13" s="52">
        <v>440770</v>
      </c>
      <c r="AG13" s="52">
        <v>484152</v>
      </c>
      <c r="AH13" s="52">
        <v>505444</v>
      </c>
      <c r="AI13" s="52">
        <v>599309</v>
      </c>
      <c r="AJ13" s="52">
        <v>508948</v>
      </c>
      <c r="AK13" s="52">
        <v>604232</v>
      </c>
      <c r="AL13" s="52">
        <v>667138</v>
      </c>
      <c r="AM13" s="52">
        <v>613937</v>
      </c>
      <c r="AN13" s="52">
        <v>681453</v>
      </c>
      <c r="AO13" s="52">
        <v>839834</v>
      </c>
    </row>
    <row r="14" spans="1:42" x14ac:dyDescent="0.2">
      <c r="A14" s="133" t="s">
        <v>74</v>
      </c>
      <c r="B14" s="31"/>
      <c r="C14" s="31"/>
      <c r="D14" s="32">
        <f>INDEX($N14:$AB14,MATCH(D$5,$N$7:$AB$7,0))</f>
        <v>0</v>
      </c>
      <c r="E14" s="32">
        <f>INDEX($N14:$AB14,MATCH(E$5,$N$7:$AB$7,0))</f>
        <v>291972</v>
      </c>
      <c r="F14" s="32">
        <f>INDEX($N14:$AB14,MATCH(F$5,$N$7:$AB$7,0))</f>
        <v>475858</v>
      </c>
      <c r="G14" s="32">
        <f>INDEX($N14:$AG14,MATCH(G$5,$N$7:$AG$7,0))</f>
        <v>314014</v>
      </c>
      <c r="H14" s="32">
        <f>INDEX($N14:$AG14,MATCH(H$5,$N$7:$AG$7,0))</f>
        <v>116829</v>
      </c>
      <c r="I14" s="32">
        <f t="shared" ref="I14:J22" si="8">INDEX($N14:$AP14,MATCH(I$5,$N$7:$AP$7,0))</f>
        <v>0</v>
      </c>
      <c r="J14" s="32">
        <f t="shared" si="8"/>
        <v>0</v>
      </c>
      <c r="K14" s="169"/>
      <c r="L14" s="169"/>
      <c r="M14" s="169"/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9">
        <v>290947</v>
      </c>
      <c r="U14" s="39">
        <v>291972</v>
      </c>
      <c r="V14" s="39">
        <v>353414</v>
      </c>
      <c r="W14" s="39">
        <v>339711</v>
      </c>
      <c r="X14" s="39">
        <v>321457</v>
      </c>
      <c r="Y14" s="39">
        <v>475858</v>
      </c>
      <c r="Z14" s="39">
        <v>366225</v>
      </c>
      <c r="AA14" s="39">
        <v>441706</v>
      </c>
      <c r="AB14" s="39">
        <v>350107</v>
      </c>
      <c r="AC14" s="39">
        <v>314014</v>
      </c>
      <c r="AD14" s="39">
        <v>539930</v>
      </c>
      <c r="AE14" s="39">
        <v>493835</v>
      </c>
      <c r="AF14" s="39">
        <v>97310</v>
      </c>
      <c r="AG14" s="39">
        <v>116829</v>
      </c>
      <c r="AH14" s="39">
        <v>102071</v>
      </c>
      <c r="AI14" s="39">
        <v>15049</v>
      </c>
      <c r="AJ14" s="39">
        <v>77141</v>
      </c>
      <c r="AK14" s="39">
        <v>0</v>
      </c>
      <c r="AL14" s="39">
        <v>0</v>
      </c>
      <c r="AM14" s="39">
        <v>13168</v>
      </c>
      <c r="AN14" s="39">
        <v>0</v>
      </c>
      <c r="AO14" s="39">
        <v>0</v>
      </c>
    </row>
    <row r="15" spans="1:42" x14ac:dyDescent="0.2">
      <c r="A15" s="133" t="s">
        <v>70</v>
      </c>
      <c r="B15" s="31"/>
      <c r="C15" s="31"/>
      <c r="D15" s="32">
        <f t="shared" si="7"/>
        <v>162252</v>
      </c>
      <c r="E15" s="32">
        <f t="shared" si="7"/>
        <v>202470</v>
      </c>
      <c r="F15" s="32">
        <f t="shared" si="7"/>
        <v>255345</v>
      </c>
      <c r="G15" s="32">
        <f t="shared" ref="G15:H21" si="9">INDEX($N15:$AG15,MATCH(G$5,$N$7:$AG$7,0))</f>
        <v>258472</v>
      </c>
      <c r="H15" s="32">
        <f t="shared" si="9"/>
        <v>264092</v>
      </c>
      <c r="I15" s="32">
        <f t="shared" si="8"/>
        <v>281757</v>
      </c>
      <c r="J15" s="32">
        <f t="shared" si="8"/>
        <v>286247</v>
      </c>
      <c r="K15" s="169"/>
      <c r="L15" s="169"/>
      <c r="M15" s="169"/>
      <c r="N15" s="39">
        <v>187712</v>
      </c>
      <c r="O15" s="52">
        <v>180715</v>
      </c>
      <c r="P15" s="39">
        <v>180025</v>
      </c>
      <c r="Q15" s="39">
        <v>162252</v>
      </c>
      <c r="R15" s="39">
        <v>184420</v>
      </c>
      <c r="S15" s="52">
        <v>179639</v>
      </c>
      <c r="T15" s="52">
        <v>179854</v>
      </c>
      <c r="U15" s="52">
        <v>202470</v>
      </c>
      <c r="V15" s="39">
        <v>235806</v>
      </c>
      <c r="W15" s="52">
        <v>261345</v>
      </c>
      <c r="X15" s="52">
        <v>278677</v>
      </c>
      <c r="Y15" s="52">
        <v>255345</v>
      </c>
      <c r="Z15" s="52">
        <v>259963</v>
      </c>
      <c r="AA15" s="52">
        <v>271559</v>
      </c>
      <c r="AB15" s="52">
        <v>263592</v>
      </c>
      <c r="AC15" s="52">
        <v>258472</v>
      </c>
      <c r="AD15" s="52">
        <v>252948</v>
      </c>
      <c r="AE15" s="52">
        <v>252318</v>
      </c>
      <c r="AF15" s="52">
        <v>268226</v>
      </c>
      <c r="AG15" s="52">
        <v>264092</v>
      </c>
      <c r="AH15" s="52">
        <v>268579</v>
      </c>
      <c r="AI15" s="52">
        <v>274193</v>
      </c>
      <c r="AJ15" s="52">
        <v>280629</v>
      </c>
      <c r="AK15" s="52">
        <v>281757</v>
      </c>
      <c r="AL15" s="52">
        <v>313645</v>
      </c>
      <c r="AM15" s="52">
        <v>303610</v>
      </c>
      <c r="AN15" s="52">
        <v>298069</v>
      </c>
      <c r="AO15" s="52">
        <v>286247</v>
      </c>
    </row>
    <row r="16" spans="1:42" x14ac:dyDescent="0.2">
      <c r="A16" s="133" t="s">
        <v>71</v>
      </c>
      <c r="B16" s="31"/>
      <c r="C16" s="31"/>
      <c r="D16" s="32">
        <f t="shared" si="7"/>
        <v>79421</v>
      </c>
      <c r="E16" s="32">
        <f t="shared" si="7"/>
        <v>73167</v>
      </c>
      <c r="F16" s="32">
        <f t="shared" si="7"/>
        <v>20898</v>
      </c>
      <c r="G16" s="32">
        <f t="shared" si="9"/>
        <v>28639</v>
      </c>
      <c r="H16" s="32">
        <f t="shared" si="9"/>
        <v>137449</v>
      </c>
      <c r="I16" s="32">
        <f t="shared" si="8"/>
        <v>103669</v>
      </c>
      <c r="J16" s="32">
        <f t="shared" si="8"/>
        <v>49955</v>
      </c>
      <c r="K16" s="169"/>
      <c r="L16" s="169"/>
      <c r="M16" s="169"/>
      <c r="N16" s="39">
        <v>5961</v>
      </c>
      <c r="O16" s="52">
        <v>6613</v>
      </c>
      <c r="P16" s="39">
        <v>66084</v>
      </c>
      <c r="Q16" s="39">
        <v>79421</v>
      </c>
      <c r="R16" s="39">
        <v>73632</v>
      </c>
      <c r="S16" s="52">
        <v>73125</v>
      </c>
      <c r="T16" s="52">
        <v>72417</v>
      </c>
      <c r="U16" s="52">
        <v>73167</v>
      </c>
      <c r="V16" s="39">
        <v>66259</v>
      </c>
      <c r="W16" s="52">
        <v>37327</v>
      </c>
      <c r="X16" s="52">
        <v>17164</v>
      </c>
      <c r="Y16" s="52">
        <v>20898</v>
      </c>
      <c r="Z16" s="52">
        <v>25682</v>
      </c>
      <c r="AA16" s="52">
        <v>22271</v>
      </c>
      <c r="AB16" s="52">
        <v>20059</v>
      </c>
      <c r="AC16" s="52">
        <v>28639</v>
      </c>
      <c r="AD16" s="52">
        <v>28999</v>
      </c>
      <c r="AE16" s="52">
        <v>150998</v>
      </c>
      <c r="AF16" s="52">
        <v>214357</v>
      </c>
      <c r="AG16" s="52">
        <v>137449</v>
      </c>
      <c r="AH16" s="52">
        <v>135364</v>
      </c>
      <c r="AI16" s="52">
        <v>129528</v>
      </c>
      <c r="AJ16" s="52">
        <v>130415</v>
      </c>
      <c r="AK16" s="52">
        <v>103669</v>
      </c>
      <c r="AL16" s="52">
        <v>83732</v>
      </c>
      <c r="AM16" s="52">
        <v>87386</v>
      </c>
      <c r="AN16" s="52">
        <v>64611</v>
      </c>
      <c r="AO16" s="52">
        <v>49955</v>
      </c>
    </row>
    <row r="17" spans="1:41" x14ac:dyDescent="0.2">
      <c r="A17" s="353" t="s">
        <v>301</v>
      </c>
      <c r="B17" s="31"/>
      <c r="C17" s="31"/>
      <c r="D17" s="32"/>
      <c r="E17" s="32"/>
      <c r="F17" s="32"/>
      <c r="G17" s="32"/>
      <c r="H17" s="32"/>
      <c r="I17" s="32">
        <f t="shared" si="8"/>
        <v>79840</v>
      </c>
      <c r="J17" s="32">
        <f t="shared" si="8"/>
        <v>70501</v>
      </c>
      <c r="K17" s="169"/>
      <c r="L17" s="169"/>
      <c r="M17" s="169"/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79840</v>
      </c>
      <c r="AL17" s="52">
        <v>82136</v>
      </c>
      <c r="AM17" s="52">
        <v>84215</v>
      </c>
      <c r="AN17" s="52">
        <v>81083</v>
      </c>
      <c r="AO17" s="52">
        <v>70501</v>
      </c>
    </row>
    <row r="18" spans="1:41" x14ac:dyDescent="0.2">
      <c r="A18" s="133" t="s">
        <v>72</v>
      </c>
      <c r="B18" s="31"/>
      <c r="C18" s="31"/>
      <c r="D18" s="32">
        <f t="shared" si="7"/>
        <v>41580</v>
      </c>
      <c r="E18" s="32">
        <f t="shared" si="7"/>
        <v>41200</v>
      </c>
      <c r="F18" s="32">
        <f t="shared" si="7"/>
        <v>41200</v>
      </c>
      <c r="G18" s="32">
        <f t="shared" si="9"/>
        <v>2562</v>
      </c>
      <c r="H18" s="32">
        <f t="shared" si="9"/>
        <v>0</v>
      </c>
      <c r="I18" s="32">
        <f t="shared" si="8"/>
        <v>0</v>
      </c>
      <c r="J18" s="32">
        <f t="shared" si="8"/>
        <v>0</v>
      </c>
      <c r="K18" s="169"/>
      <c r="L18" s="169"/>
      <c r="M18" s="169"/>
      <c r="N18" s="33">
        <v>0</v>
      </c>
      <c r="O18" s="33">
        <v>0</v>
      </c>
      <c r="P18" s="39">
        <v>42000</v>
      </c>
      <c r="Q18" s="39">
        <v>41580</v>
      </c>
      <c r="R18" s="39">
        <v>41580</v>
      </c>
      <c r="S18" s="52">
        <v>41580</v>
      </c>
      <c r="T18" s="52">
        <v>41580</v>
      </c>
      <c r="U18" s="52">
        <v>41200</v>
      </c>
      <c r="V18" s="39">
        <v>41200</v>
      </c>
      <c r="W18" s="52">
        <v>41200</v>
      </c>
      <c r="X18" s="52">
        <v>41200</v>
      </c>
      <c r="Y18" s="52">
        <v>41200</v>
      </c>
      <c r="Z18" s="38">
        <v>0</v>
      </c>
      <c r="AA18" s="38">
        <v>2952</v>
      </c>
      <c r="AB18" s="38">
        <v>2562</v>
      </c>
      <c r="AC18" s="38">
        <v>2562</v>
      </c>
      <c r="AD18" s="38">
        <v>2562</v>
      </c>
      <c r="AE18" s="38">
        <v>2562</v>
      </c>
      <c r="AF18" s="38">
        <v>2562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17465</v>
      </c>
      <c r="AM18" s="38">
        <v>0</v>
      </c>
      <c r="AN18" s="38">
        <v>0</v>
      </c>
      <c r="AO18" s="38">
        <v>0</v>
      </c>
    </row>
    <row r="19" spans="1:41" x14ac:dyDescent="0.2">
      <c r="A19" s="133" t="s">
        <v>73</v>
      </c>
      <c r="B19" s="31"/>
      <c r="C19" s="31"/>
      <c r="D19" s="32">
        <f t="shared" si="7"/>
        <v>29165</v>
      </c>
      <c r="E19" s="32">
        <f t="shared" si="7"/>
        <v>0</v>
      </c>
      <c r="F19" s="32">
        <f t="shared" si="7"/>
        <v>0</v>
      </c>
      <c r="G19" s="32">
        <f t="shared" si="9"/>
        <v>0</v>
      </c>
      <c r="H19" s="32">
        <f t="shared" si="9"/>
        <v>0</v>
      </c>
      <c r="I19" s="32">
        <f t="shared" si="8"/>
        <v>0</v>
      </c>
      <c r="J19" s="32">
        <f t="shared" si="8"/>
        <v>0</v>
      </c>
      <c r="K19" s="169"/>
      <c r="L19" s="169"/>
      <c r="M19" s="169"/>
      <c r="N19" s="33">
        <v>0</v>
      </c>
      <c r="O19" s="33">
        <v>0</v>
      </c>
      <c r="P19" s="39">
        <v>61728</v>
      </c>
      <c r="Q19" s="39">
        <v>29165</v>
      </c>
      <c r="R19" s="39">
        <v>29869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8">
        <v>0</v>
      </c>
      <c r="AK19" s="38">
        <v>0</v>
      </c>
      <c r="AL19" s="38">
        <v>0</v>
      </c>
      <c r="AM19" s="38">
        <v>0</v>
      </c>
      <c r="AN19" s="38">
        <v>0</v>
      </c>
      <c r="AO19" s="38">
        <v>0</v>
      </c>
    </row>
    <row r="20" spans="1:41" x14ac:dyDescent="0.2">
      <c r="A20" s="133" t="s">
        <v>75</v>
      </c>
      <c r="B20" s="31"/>
      <c r="C20" s="31"/>
      <c r="D20" s="32">
        <f t="shared" si="7"/>
        <v>33779</v>
      </c>
      <c r="E20" s="32">
        <f t="shared" si="7"/>
        <v>15552</v>
      </c>
      <c r="F20" s="32">
        <f t="shared" si="7"/>
        <v>11954</v>
      </c>
      <c r="G20" s="32">
        <f t="shared" si="9"/>
        <v>32411</v>
      </c>
      <c r="H20" s="32">
        <f t="shared" si="9"/>
        <v>9886</v>
      </c>
      <c r="I20" s="32">
        <f t="shared" si="8"/>
        <v>12004</v>
      </c>
      <c r="J20" s="32">
        <f t="shared" si="8"/>
        <v>10637</v>
      </c>
      <c r="K20" s="169"/>
      <c r="L20" s="169"/>
      <c r="M20" s="169"/>
      <c r="N20" s="39">
        <v>14211</v>
      </c>
      <c r="O20" s="33">
        <v>12468</v>
      </c>
      <c r="P20" s="39">
        <v>10529</v>
      </c>
      <c r="Q20" s="39">
        <v>33779</v>
      </c>
      <c r="R20" s="39">
        <v>14791</v>
      </c>
      <c r="S20" s="52">
        <v>20336</v>
      </c>
      <c r="T20" s="52">
        <v>14024</v>
      </c>
      <c r="U20" s="52">
        <v>15552</v>
      </c>
      <c r="V20" s="39">
        <v>13656</v>
      </c>
      <c r="W20" s="52">
        <v>9522</v>
      </c>
      <c r="X20" s="52">
        <v>9519</v>
      </c>
      <c r="Y20" s="52">
        <v>11954</v>
      </c>
      <c r="Z20" s="52">
        <v>44800</v>
      </c>
      <c r="AA20" s="52">
        <v>42490</v>
      </c>
      <c r="AB20" s="52">
        <v>39129</v>
      </c>
      <c r="AC20" s="52">
        <v>32411</v>
      </c>
      <c r="AD20" s="52">
        <v>9802</v>
      </c>
      <c r="AE20" s="52">
        <v>10607</v>
      </c>
      <c r="AF20" s="52">
        <v>10608</v>
      </c>
      <c r="AG20" s="52">
        <v>9886</v>
      </c>
      <c r="AH20" s="52">
        <v>11434</v>
      </c>
      <c r="AI20" s="52">
        <v>24126</v>
      </c>
      <c r="AJ20" s="52">
        <v>15255</v>
      </c>
      <c r="AK20" s="52">
        <v>12004</v>
      </c>
      <c r="AL20" s="52">
        <v>9771</v>
      </c>
      <c r="AM20" s="52">
        <v>7961</v>
      </c>
      <c r="AN20" s="52">
        <v>7101</v>
      </c>
      <c r="AO20" s="52">
        <v>10637</v>
      </c>
    </row>
    <row r="21" spans="1:41" x14ac:dyDescent="0.25">
      <c r="A21" s="134" t="s">
        <v>76</v>
      </c>
      <c r="B21" s="31"/>
      <c r="C21" s="31"/>
      <c r="D21" s="32">
        <f t="shared" si="7"/>
        <v>0</v>
      </c>
      <c r="E21" s="32">
        <f t="shared" si="7"/>
        <v>0</v>
      </c>
      <c r="F21" s="32">
        <f t="shared" si="7"/>
        <v>0</v>
      </c>
      <c r="G21" s="32">
        <f t="shared" si="9"/>
        <v>131</v>
      </c>
      <c r="H21" s="32">
        <f t="shared" si="9"/>
        <v>936</v>
      </c>
      <c r="I21" s="32">
        <f t="shared" si="8"/>
        <v>656</v>
      </c>
      <c r="J21" s="32">
        <f t="shared" si="8"/>
        <v>2264</v>
      </c>
      <c r="K21" s="169"/>
      <c r="L21" s="169"/>
      <c r="M21" s="169"/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52">
        <v>34</v>
      </c>
      <c r="AA21" s="52">
        <v>196</v>
      </c>
      <c r="AB21" s="52">
        <v>0</v>
      </c>
      <c r="AC21" s="52">
        <v>131</v>
      </c>
      <c r="AD21" s="52">
        <v>242</v>
      </c>
      <c r="AE21" s="52">
        <v>785</v>
      </c>
      <c r="AF21" s="52">
        <v>612</v>
      </c>
      <c r="AG21" s="52">
        <v>936</v>
      </c>
      <c r="AH21" s="52">
        <v>876</v>
      </c>
      <c r="AI21" s="52">
        <v>829</v>
      </c>
      <c r="AJ21" s="52">
        <v>727</v>
      </c>
      <c r="AK21" s="52">
        <v>656</v>
      </c>
      <c r="AL21" s="52">
        <v>723</v>
      </c>
      <c r="AM21" s="52">
        <v>993</v>
      </c>
      <c r="AN21" s="52">
        <v>920</v>
      </c>
      <c r="AO21" s="52">
        <v>2264</v>
      </c>
    </row>
    <row r="22" spans="1:41" x14ac:dyDescent="0.2">
      <c r="A22" s="133" t="s">
        <v>77</v>
      </c>
      <c r="B22" s="31"/>
      <c r="C22" s="31"/>
      <c r="D22" s="32">
        <f t="shared" si="7"/>
        <v>76845</v>
      </c>
      <c r="E22" s="32">
        <f t="shared" si="7"/>
        <v>92977</v>
      </c>
      <c r="F22" s="32">
        <f t="shared" si="7"/>
        <v>123058</v>
      </c>
      <c r="G22" s="32">
        <f>INDEX($N22:$AG22,MATCH(G$5,$N$7:$AG$7,0))</f>
        <v>133758</v>
      </c>
      <c r="H22" s="32">
        <f>INDEX($N22:$AG22,MATCH(H$5,$N$7:$AG$7,0))</f>
        <v>121525</v>
      </c>
      <c r="I22" s="32">
        <f t="shared" si="8"/>
        <v>147851</v>
      </c>
      <c r="J22" s="32">
        <f t="shared" si="8"/>
        <v>137325</v>
      </c>
      <c r="K22" s="169"/>
      <c r="L22" s="169"/>
      <c r="M22" s="169"/>
      <c r="N22" s="39">
        <v>81607</v>
      </c>
      <c r="O22" s="52">
        <v>84756</v>
      </c>
      <c r="P22" s="39">
        <v>77188</v>
      </c>
      <c r="Q22" s="39">
        <v>76845</v>
      </c>
      <c r="R22" s="39">
        <v>77391</v>
      </c>
      <c r="S22" s="52">
        <v>81602</v>
      </c>
      <c r="T22" s="52">
        <v>80357</v>
      </c>
      <c r="U22" s="52">
        <v>92977</v>
      </c>
      <c r="V22" s="39">
        <v>95394</v>
      </c>
      <c r="W22" s="52">
        <v>117627</v>
      </c>
      <c r="X22" s="52">
        <v>109131</v>
      </c>
      <c r="Y22" s="52">
        <v>123058</v>
      </c>
      <c r="Z22" s="52">
        <v>116790</v>
      </c>
      <c r="AA22" s="52">
        <v>105226</v>
      </c>
      <c r="AB22" s="52">
        <v>108387</v>
      </c>
      <c r="AC22" s="52">
        <v>133758</v>
      </c>
      <c r="AD22" s="52">
        <v>135660</v>
      </c>
      <c r="AE22" s="52">
        <v>128101</v>
      </c>
      <c r="AF22" s="52">
        <v>119101</v>
      </c>
      <c r="AG22" s="52">
        <v>121525</v>
      </c>
      <c r="AH22" s="52">
        <v>127513</v>
      </c>
      <c r="AI22" s="52">
        <v>131011</v>
      </c>
      <c r="AJ22" s="52">
        <v>132713</v>
      </c>
      <c r="AK22" s="52">
        <v>147851</v>
      </c>
      <c r="AL22" s="52">
        <v>134364</v>
      </c>
      <c r="AM22" s="52">
        <v>132485</v>
      </c>
      <c r="AN22" s="52">
        <v>135584</v>
      </c>
      <c r="AO22" s="52">
        <v>137325</v>
      </c>
    </row>
    <row r="23" spans="1:41" x14ac:dyDescent="0.2">
      <c r="A23" s="31"/>
      <c r="B23" s="31"/>
      <c r="C23" s="31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</row>
    <row r="24" spans="1:41" s="1" customFormat="1" x14ac:dyDescent="0.2">
      <c r="A24" s="139" t="s">
        <v>78</v>
      </c>
      <c r="B24" s="29"/>
      <c r="C24" s="29"/>
      <c r="D24" s="25">
        <f t="shared" ref="D24:F24" si="10">SUM(D25:D36)</f>
        <v>1075682</v>
      </c>
      <c r="E24" s="25">
        <f t="shared" si="10"/>
        <v>1042519</v>
      </c>
      <c r="F24" s="25">
        <f t="shared" si="10"/>
        <v>1406577</v>
      </c>
      <c r="G24" s="25">
        <f>SUM(G25:G36)</f>
        <v>2010157</v>
      </c>
      <c r="H24" s="25">
        <f>SUM(H25:H36)</f>
        <v>2332197</v>
      </c>
      <c r="I24" s="25">
        <f>SUM(I25:I36)</f>
        <v>2390628</v>
      </c>
      <c r="J24" s="25">
        <f>SUM(J25:J36)</f>
        <v>2552923</v>
      </c>
      <c r="K24" s="167"/>
      <c r="L24" s="167"/>
      <c r="M24" s="167"/>
      <c r="N24" s="170">
        <f t="shared" ref="N24:AB24" si="11">SUM(N25:N36)</f>
        <v>1163055</v>
      </c>
      <c r="O24" s="170">
        <f t="shared" si="11"/>
        <v>1164353</v>
      </c>
      <c r="P24" s="170">
        <f t="shared" si="11"/>
        <v>1158190</v>
      </c>
      <c r="Q24" s="170">
        <f t="shared" si="11"/>
        <v>1075682</v>
      </c>
      <c r="R24" s="170">
        <f t="shared" si="11"/>
        <v>1073433</v>
      </c>
      <c r="S24" s="170">
        <f t="shared" si="11"/>
        <v>1064474</v>
      </c>
      <c r="T24" s="170">
        <f t="shared" si="11"/>
        <v>1058825</v>
      </c>
      <c r="U24" s="170">
        <f t="shared" si="11"/>
        <v>1042519</v>
      </c>
      <c r="V24" s="170">
        <f t="shared" si="11"/>
        <v>1047530</v>
      </c>
      <c r="W24" s="170">
        <f t="shared" si="11"/>
        <v>1133238</v>
      </c>
      <c r="X24" s="170">
        <f t="shared" si="11"/>
        <v>1275492</v>
      </c>
      <c r="Y24" s="170">
        <f t="shared" si="11"/>
        <v>1406577</v>
      </c>
      <c r="Z24" s="170">
        <f t="shared" si="11"/>
        <v>1556069</v>
      </c>
      <c r="AA24" s="170">
        <f t="shared" si="11"/>
        <v>1705551</v>
      </c>
      <c r="AB24" s="170">
        <f t="shared" si="11"/>
        <v>1874955</v>
      </c>
      <c r="AC24" s="170">
        <f t="shared" ref="AC24:AO24" si="12">SUM(AC25:AC36)</f>
        <v>2010157</v>
      </c>
      <c r="AD24" s="170">
        <f t="shared" si="12"/>
        <v>2113827</v>
      </c>
      <c r="AE24" s="170">
        <f t="shared" si="12"/>
        <v>2370037</v>
      </c>
      <c r="AF24" s="170">
        <f t="shared" si="12"/>
        <v>2320037</v>
      </c>
      <c r="AG24" s="170">
        <f t="shared" si="12"/>
        <v>2332197</v>
      </c>
      <c r="AH24" s="170">
        <f t="shared" si="12"/>
        <v>2329253</v>
      </c>
      <c r="AI24" s="170">
        <f t="shared" si="12"/>
        <v>2331670</v>
      </c>
      <c r="AJ24" s="170">
        <f t="shared" si="12"/>
        <v>2337357</v>
      </c>
      <c r="AK24" s="170">
        <f t="shared" si="12"/>
        <v>2390628</v>
      </c>
      <c r="AL24" s="170">
        <f t="shared" si="12"/>
        <v>2372601</v>
      </c>
      <c r="AM24" s="170">
        <f t="shared" si="12"/>
        <v>2524356</v>
      </c>
      <c r="AN24" s="170">
        <f t="shared" si="12"/>
        <v>2512121</v>
      </c>
      <c r="AO24" s="170">
        <f t="shared" si="12"/>
        <v>2552923</v>
      </c>
    </row>
    <row r="25" spans="1:41" x14ac:dyDescent="0.2">
      <c r="A25" s="135" t="s">
        <v>70</v>
      </c>
      <c r="B25" s="31"/>
      <c r="C25" s="31"/>
      <c r="D25" s="32">
        <f t="shared" ref="D25:F36" si="13">INDEX($N25:$AB25,MATCH(D$5,$N$7:$AB$7,0))</f>
        <v>1576</v>
      </c>
      <c r="E25" s="32">
        <f t="shared" si="13"/>
        <v>4173</v>
      </c>
      <c r="F25" s="32">
        <f t="shared" si="13"/>
        <v>2123</v>
      </c>
      <c r="G25" s="32">
        <f>INDEX($N25:$AG25,MATCH(G$5,$N$7:$AG$7,0))</f>
        <v>984</v>
      </c>
      <c r="H25" s="32">
        <f>INDEX($N25:$AG25,MATCH(H$5,$N$7:$AG$7,0))</f>
        <v>490</v>
      </c>
      <c r="I25" s="32">
        <f>INDEX($N25:$AP25,MATCH(I$5,$N$7:$AP$7,0))</f>
        <v>145</v>
      </c>
      <c r="J25" s="32">
        <f>INDEX($N25:$AP25,MATCH(J$5,$N$7:$AP$7,0))</f>
        <v>19</v>
      </c>
      <c r="K25" s="169"/>
      <c r="L25" s="169"/>
      <c r="M25" s="169"/>
      <c r="N25" s="39">
        <v>2066</v>
      </c>
      <c r="O25" s="52">
        <v>1365</v>
      </c>
      <c r="P25" s="39">
        <v>1083</v>
      </c>
      <c r="Q25" s="39">
        <v>1576</v>
      </c>
      <c r="R25" s="39">
        <v>1077</v>
      </c>
      <c r="S25" s="52">
        <v>1980</v>
      </c>
      <c r="T25" s="52">
        <v>2008</v>
      </c>
      <c r="U25" s="52">
        <v>4173</v>
      </c>
      <c r="V25" s="39">
        <v>3809</v>
      </c>
      <c r="W25" s="52">
        <v>3524</v>
      </c>
      <c r="X25" s="52">
        <v>7092</v>
      </c>
      <c r="Y25" s="52">
        <v>2123</v>
      </c>
      <c r="Z25" s="52">
        <v>1678</v>
      </c>
      <c r="AA25" s="52">
        <v>1613</v>
      </c>
      <c r="AB25" s="52">
        <v>1295</v>
      </c>
      <c r="AC25" s="52">
        <v>984</v>
      </c>
      <c r="AD25" s="52">
        <v>570</v>
      </c>
      <c r="AE25" s="52">
        <v>198</v>
      </c>
      <c r="AF25" s="52">
        <v>485</v>
      </c>
      <c r="AG25" s="52">
        <v>490</v>
      </c>
      <c r="AH25" s="52">
        <v>370</v>
      </c>
      <c r="AI25" s="52">
        <v>541</v>
      </c>
      <c r="AJ25" s="52">
        <v>175</v>
      </c>
      <c r="AK25" s="52">
        <v>145</v>
      </c>
      <c r="AL25" s="52">
        <v>135</v>
      </c>
      <c r="AM25" s="52">
        <v>24</v>
      </c>
      <c r="AN25" s="52">
        <v>21</v>
      </c>
      <c r="AO25" s="52">
        <v>19</v>
      </c>
    </row>
    <row r="26" spans="1:41" x14ac:dyDescent="0.2">
      <c r="A26" s="133" t="s">
        <v>71</v>
      </c>
      <c r="B26" s="31"/>
      <c r="C26" s="31"/>
      <c r="D26" s="32">
        <f t="shared" si="13"/>
        <v>76911</v>
      </c>
      <c r="E26" s="32">
        <f t="shared" si="13"/>
        <v>27448</v>
      </c>
      <c r="F26" s="32">
        <f t="shared" si="13"/>
        <v>12284</v>
      </c>
      <c r="G26" s="32">
        <f t="shared" ref="G26:H33" si="14">INDEX($N26:$AG26,MATCH(G$5,$N$7:$AG$7,0))</f>
        <v>46016</v>
      </c>
      <c r="H26" s="32">
        <f t="shared" si="14"/>
        <v>103773</v>
      </c>
      <c r="I26" s="32">
        <f t="shared" ref="I26:J36" si="15">INDEX($N26:$AP26,MATCH(I$5,$N$7:$AP$7,0))</f>
        <v>25328</v>
      </c>
      <c r="J26" s="32">
        <f t="shared" si="15"/>
        <v>16730</v>
      </c>
      <c r="K26" s="169"/>
      <c r="L26" s="169"/>
      <c r="M26" s="169"/>
      <c r="N26" s="39">
        <v>4418</v>
      </c>
      <c r="O26" s="52">
        <v>4978</v>
      </c>
      <c r="P26" s="39">
        <v>88363</v>
      </c>
      <c r="Q26" s="39">
        <v>76911</v>
      </c>
      <c r="R26" s="39">
        <v>67975</v>
      </c>
      <c r="S26" s="52">
        <v>59737</v>
      </c>
      <c r="T26" s="52">
        <v>54924</v>
      </c>
      <c r="U26" s="52">
        <v>27448</v>
      </c>
      <c r="V26" s="39">
        <v>5760</v>
      </c>
      <c r="W26" s="52">
        <v>7356</v>
      </c>
      <c r="X26" s="52">
        <v>8472</v>
      </c>
      <c r="Y26" s="52">
        <v>12284</v>
      </c>
      <c r="Z26" s="52">
        <v>22539</v>
      </c>
      <c r="AA26" s="52">
        <v>17648</v>
      </c>
      <c r="AB26" s="52">
        <v>34157</v>
      </c>
      <c r="AC26" s="52">
        <v>46016</v>
      </c>
      <c r="AD26" s="52">
        <v>47903</v>
      </c>
      <c r="AE26" s="52">
        <v>164000</v>
      </c>
      <c r="AF26" s="52">
        <v>62260</v>
      </c>
      <c r="AG26" s="52">
        <v>103773</v>
      </c>
      <c r="AH26" s="52">
        <v>77538</v>
      </c>
      <c r="AI26" s="52">
        <v>56795</v>
      </c>
      <c r="AJ26" s="52">
        <v>29524</v>
      </c>
      <c r="AK26" s="52">
        <v>25328</v>
      </c>
      <c r="AL26" s="52">
        <v>23466</v>
      </c>
      <c r="AM26" s="52">
        <v>18385</v>
      </c>
      <c r="AN26" s="52">
        <v>16055</v>
      </c>
      <c r="AO26" s="52">
        <v>16730</v>
      </c>
    </row>
    <row r="27" spans="1:41" x14ac:dyDescent="0.2">
      <c r="A27" s="133" t="s">
        <v>75</v>
      </c>
      <c r="B27" s="31"/>
      <c r="C27" s="31"/>
      <c r="D27" s="32">
        <f t="shared" si="13"/>
        <v>1951</v>
      </c>
      <c r="E27" s="32">
        <f t="shared" si="13"/>
        <v>27</v>
      </c>
      <c r="F27" s="32">
        <f t="shared" si="13"/>
        <v>4553</v>
      </c>
      <c r="G27" s="32">
        <f t="shared" si="14"/>
        <v>5113</v>
      </c>
      <c r="H27" s="32">
        <f t="shared" si="14"/>
        <v>5775</v>
      </c>
      <c r="I27" s="32">
        <f t="shared" si="15"/>
        <v>6130</v>
      </c>
      <c r="J27" s="32">
        <f t="shared" si="15"/>
        <v>6718</v>
      </c>
      <c r="K27" s="169"/>
      <c r="L27" s="169"/>
      <c r="M27" s="169"/>
      <c r="N27" s="39">
        <v>2727</v>
      </c>
      <c r="O27" s="52">
        <v>2791</v>
      </c>
      <c r="P27" s="39">
        <v>2383</v>
      </c>
      <c r="Q27" s="39">
        <v>1951</v>
      </c>
      <c r="R27" s="39">
        <v>1499</v>
      </c>
      <c r="S27" s="52">
        <v>993</v>
      </c>
      <c r="T27" s="52">
        <v>446</v>
      </c>
      <c r="U27" s="52">
        <v>27</v>
      </c>
      <c r="V27" s="39">
        <v>27</v>
      </c>
      <c r="W27" s="52">
        <v>27</v>
      </c>
      <c r="X27" s="38">
        <v>0</v>
      </c>
      <c r="Y27" s="38">
        <v>4553</v>
      </c>
      <c r="Z27" s="38">
        <v>4663</v>
      </c>
      <c r="AA27" s="38">
        <v>4797</v>
      </c>
      <c r="AB27" s="38">
        <v>4955</v>
      </c>
      <c r="AC27" s="38">
        <v>5113</v>
      </c>
      <c r="AD27" s="38">
        <v>5277</v>
      </c>
      <c r="AE27" s="38">
        <v>5442</v>
      </c>
      <c r="AF27" s="38">
        <v>5617</v>
      </c>
      <c r="AG27" s="38">
        <v>5775</v>
      </c>
      <c r="AH27" s="38">
        <v>5926</v>
      </c>
      <c r="AI27" s="38">
        <v>6075</v>
      </c>
      <c r="AJ27" s="38">
        <v>6130</v>
      </c>
      <c r="AK27" s="38">
        <v>6130</v>
      </c>
      <c r="AL27" s="38">
        <v>6130</v>
      </c>
      <c r="AM27" s="38">
        <v>6397</v>
      </c>
      <c r="AN27" s="38">
        <v>6560</v>
      </c>
      <c r="AO27" s="38">
        <v>6718</v>
      </c>
    </row>
    <row r="28" spans="1:41" x14ac:dyDescent="0.2">
      <c r="A28" s="133" t="s">
        <v>79</v>
      </c>
      <c r="B28" s="31"/>
      <c r="C28" s="31"/>
      <c r="D28" s="32">
        <f t="shared" si="13"/>
        <v>952</v>
      </c>
      <c r="E28" s="32">
        <f t="shared" si="13"/>
        <v>886</v>
      </c>
      <c r="F28" s="32">
        <f t="shared" si="13"/>
        <v>660</v>
      </c>
      <c r="G28" s="32">
        <f t="shared" si="14"/>
        <v>708</v>
      </c>
      <c r="H28" s="32">
        <f t="shared" si="14"/>
        <v>604</v>
      </c>
      <c r="I28" s="32">
        <f t="shared" si="15"/>
        <v>472</v>
      </c>
      <c r="J28" s="32">
        <f t="shared" si="15"/>
        <v>569</v>
      </c>
      <c r="K28" s="169"/>
      <c r="L28" s="169"/>
      <c r="M28" s="169"/>
      <c r="N28" s="39">
        <v>1425</v>
      </c>
      <c r="O28" s="52">
        <v>1029</v>
      </c>
      <c r="P28" s="39">
        <v>898</v>
      </c>
      <c r="Q28" s="39">
        <v>952</v>
      </c>
      <c r="R28" s="39">
        <v>838</v>
      </c>
      <c r="S28" s="52">
        <v>873</v>
      </c>
      <c r="T28" s="52">
        <v>892</v>
      </c>
      <c r="U28" s="52">
        <v>886</v>
      </c>
      <c r="V28" s="39">
        <v>859</v>
      </c>
      <c r="W28" s="52">
        <v>861</v>
      </c>
      <c r="X28" s="52">
        <v>861</v>
      </c>
      <c r="Y28" s="52">
        <v>660</v>
      </c>
      <c r="Z28" s="52">
        <v>801</v>
      </c>
      <c r="AA28" s="52">
        <v>782</v>
      </c>
      <c r="AB28" s="52">
        <v>881</v>
      </c>
      <c r="AC28" s="52">
        <v>708</v>
      </c>
      <c r="AD28" s="52">
        <v>681</v>
      </c>
      <c r="AE28" s="52">
        <v>623</v>
      </c>
      <c r="AF28" s="52">
        <v>613</v>
      </c>
      <c r="AG28" s="52">
        <v>604</v>
      </c>
      <c r="AH28" s="52">
        <v>604</v>
      </c>
      <c r="AI28" s="52">
        <v>555</v>
      </c>
      <c r="AJ28" s="52">
        <v>502</v>
      </c>
      <c r="AK28" s="52">
        <v>472</v>
      </c>
      <c r="AL28" s="52">
        <v>594</v>
      </c>
      <c r="AM28" s="52">
        <v>654</v>
      </c>
      <c r="AN28" s="52">
        <v>579</v>
      </c>
      <c r="AO28" s="52">
        <v>569</v>
      </c>
    </row>
    <row r="29" spans="1:41" x14ac:dyDescent="0.2">
      <c r="A29" s="135" t="s">
        <v>80</v>
      </c>
      <c r="B29" s="31"/>
      <c r="C29" s="31"/>
      <c r="D29" s="32">
        <f t="shared" si="13"/>
        <v>154518</v>
      </c>
      <c r="E29" s="32">
        <f t="shared" si="13"/>
        <v>177684</v>
      </c>
      <c r="F29" s="32">
        <f t="shared" si="13"/>
        <v>219056</v>
      </c>
      <c r="G29" s="32">
        <f t="shared" si="14"/>
        <v>343727</v>
      </c>
      <c r="H29" s="32">
        <f t="shared" si="14"/>
        <v>417586</v>
      </c>
      <c r="I29" s="32">
        <f t="shared" si="15"/>
        <v>486259</v>
      </c>
      <c r="J29" s="32">
        <f t="shared" si="15"/>
        <v>641706</v>
      </c>
      <c r="K29" s="169"/>
      <c r="L29" s="169"/>
      <c r="M29" s="169"/>
      <c r="N29" s="39">
        <v>187447</v>
      </c>
      <c r="O29" s="52">
        <v>186550</v>
      </c>
      <c r="P29" s="39">
        <v>193721</v>
      </c>
      <c r="Q29" s="39">
        <v>154518</v>
      </c>
      <c r="R29" s="39">
        <v>158477</v>
      </c>
      <c r="S29" s="52">
        <v>163373</v>
      </c>
      <c r="T29" s="52">
        <v>166755</v>
      </c>
      <c r="U29" s="52">
        <v>177684</v>
      </c>
      <c r="V29" s="39">
        <v>188085</v>
      </c>
      <c r="W29" s="52">
        <v>201617</v>
      </c>
      <c r="X29" s="52">
        <v>217900</v>
      </c>
      <c r="Y29" s="52">
        <v>219056</v>
      </c>
      <c r="Z29" s="52">
        <v>241154</v>
      </c>
      <c r="AA29" s="52">
        <v>271993</v>
      </c>
      <c r="AB29" s="52">
        <v>306250</v>
      </c>
      <c r="AC29" s="52">
        <v>343727</v>
      </c>
      <c r="AD29" s="52">
        <v>376963</v>
      </c>
      <c r="AE29" s="52">
        <v>412966</v>
      </c>
      <c r="AF29" s="52">
        <v>443903</v>
      </c>
      <c r="AG29" s="52">
        <v>417586</v>
      </c>
      <c r="AH29" s="52">
        <v>432193</v>
      </c>
      <c r="AI29" s="52">
        <v>448541</v>
      </c>
      <c r="AJ29" s="52">
        <v>465117</v>
      </c>
      <c r="AK29" s="52">
        <v>486259</v>
      </c>
      <c r="AL29" s="52">
        <v>502897</v>
      </c>
      <c r="AM29" s="52">
        <v>644141</v>
      </c>
      <c r="AN29" s="52">
        <v>640353</v>
      </c>
      <c r="AO29" s="52">
        <v>641706</v>
      </c>
    </row>
    <row r="30" spans="1:41" ht="15.75" customHeight="1" x14ac:dyDescent="0.2">
      <c r="A30" s="135" t="s">
        <v>81</v>
      </c>
      <c r="B30" s="31"/>
      <c r="C30" s="31"/>
      <c r="D30" s="32">
        <f t="shared" si="13"/>
        <v>5575</v>
      </c>
      <c r="E30" s="32">
        <f t="shared" si="13"/>
        <v>21541</v>
      </c>
      <c r="F30" s="32">
        <f t="shared" si="13"/>
        <v>21367</v>
      </c>
      <c r="G30" s="32">
        <f t="shared" si="14"/>
        <v>18524</v>
      </c>
      <c r="H30" s="32">
        <f t="shared" si="14"/>
        <v>2432</v>
      </c>
      <c r="I30" s="32">
        <f t="shared" si="15"/>
        <v>1459</v>
      </c>
      <c r="J30" s="32">
        <f t="shared" si="15"/>
        <v>1459</v>
      </c>
      <c r="K30" s="169"/>
      <c r="L30" s="169"/>
      <c r="M30" s="169"/>
      <c r="N30" s="39">
        <v>3321</v>
      </c>
      <c r="O30" s="52">
        <v>5693</v>
      </c>
      <c r="P30" s="39">
        <v>5648</v>
      </c>
      <c r="Q30" s="39">
        <v>5575</v>
      </c>
      <c r="R30" s="39">
        <v>5531</v>
      </c>
      <c r="S30" s="52">
        <v>5488</v>
      </c>
      <c r="T30" s="52">
        <v>5426</v>
      </c>
      <c r="U30" s="52">
        <v>21541</v>
      </c>
      <c r="V30" s="39">
        <v>21498</v>
      </c>
      <c r="W30" s="52">
        <v>21454</v>
      </c>
      <c r="X30" s="52">
        <v>21411</v>
      </c>
      <c r="Y30" s="52">
        <v>21367</v>
      </c>
      <c r="Z30" s="52">
        <v>21323</v>
      </c>
      <c r="AA30" s="52">
        <v>21279</v>
      </c>
      <c r="AB30" s="52">
        <v>18524</v>
      </c>
      <c r="AC30" s="52">
        <v>18524</v>
      </c>
      <c r="AD30" s="52">
        <v>18524</v>
      </c>
      <c r="AE30" s="52">
        <v>18490</v>
      </c>
      <c r="AF30" s="52">
        <v>18490</v>
      </c>
      <c r="AG30" s="52">
        <v>2432</v>
      </c>
      <c r="AH30" s="52">
        <v>2432</v>
      </c>
      <c r="AI30" s="52">
        <v>2432</v>
      </c>
      <c r="AJ30" s="52">
        <v>2432</v>
      </c>
      <c r="AK30" s="52">
        <v>1459</v>
      </c>
      <c r="AL30" s="52">
        <v>1459</v>
      </c>
      <c r="AM30" s="52">
        <v>1459</v>
      </c>
      <c r="AN30" s="52">
        <v>1459</v>
      </c>
      <c r="AO30" s="52">
        <v>1459</v>
      </c>
    </row>
    <row r="31" spans="1:41" x14ac:dyDescent="0.2">
      <c r="A31" s="133" t="s">
        <v>82</v>
      </c>
      <c r="B31" s="31"/>
      <c r="C31" s="31"/>
      <c r="D31" s="32">
        <f t="shared" si="13"/>
        <v>669785</v>
      </c>
      <c r="E31" s="32">
        <f t="shared" si="13"/>
        <v>648842</v>
      </c>
      <c r="F31" s="32">
        <f t="shared" si="13"/>
        <v>960056</v>
      </c>
      <c r="G31" s="32">
        <f t="shared" si="14"/>
        <v>1407801</v>
      </c>
      <c r="H31" s="32">
        <f t="shared" si="14"/>
        <v>1594617</v>
      </c>
      <c r="I31" s="32">
        <f t="shared" si="15"/>
        <v>1655465</v>
      </c>
      <c r="J31" s="32">
        <f t="shared" si="15"/>
        <v>1680554</v>
      </c>
      <c r="K31" s="169"/>
      <c r="L31" s="169"/>
      <c r="M31" s="169"/>
      <c r="N31" s="39">
        <v>799854</v>
      </c>
      <c r="O31" s="52">
        <v>799006</v>
      </c>
      <c r="P31" s="39">
        <v>703645</v>
      </c>
      <c r="Q31" s="39">
        <v>669785</v>
      </c>
      <c r="R31" s="39">
        <v>671355</v>
      </c>
      <c r="S31" s="52">
        <v>666217</v>
      </c>
      <c r="T31" s="52">
        <v>664300</v>
      </c>
      <c r="U31" s="52">
        <v>648842</v>
      </c>
      <c r="V31" s="39">
        <v>662803</v>
      </c>
      <c r="W31" s="52">
        <v>735983</v>
      </c>
      <c r="X31" s="52">
        <v>834468</v>
      </c>
      <c r="Y31" s="52">
        <v>960056</v>
      </c>
      <c r="Z31" s="52">
        <v>1071079</v>
      </c>
      <c r="AA31" s="52">
        <v>1194791</v>
      </c>
      <c r="AB31" s="52">
        <v>1320351</v>
      </c>
      <c r="AC31" s="52">
        <v>1407801</v>
      </c>
      <c r="AD31" s="52">
        <v>1466475</v>
      </c>
      <c r="AE31" s="52">
        <v>1565678</v>
      </c>
      <c r="AF31" s="52">
        <v>1583133</v>
      </c>
      <c r="AG31" s="52">
        <v>1594617</v>
      </c>
      <c r="AH31" s="52">
        <v>1602965</v>
      </c>
      <c r="AI31" s="52">
        <v>1612577</v>
      </c>
      <c r="AJ31" s="52">
        <v>1632397</v>
      </c>
      <c r="AK31" s="52">
        <v>1655465</v>
      </c>
      <c r="AL31" s="52">
        <v>1630110</v>
      </c>
      <c r="AM31" s="52">
        <v>1633827</v>
      </c>
      <c r="AN31" s="52">
        <v>1644735</v>
      </c>
      <c r="AO31" s="52">
        <v>1680554</v>
      </c>
    </row>
    <row r="32" spans="1:41" x14ac:dyDescent="0.2">
      <c r="A32" s="133" t="s">
        <v>83</v>
      </c>
      <c r="B32" s="31"/>
      <c r="C32" s="31"/>
      <c r="D32" s="32">
        <f t="shared" si="13"/>
        <v>141989</v>
      </c>
      <c r="E32" s="32">
        <f t="shared" si="13"/>
        <v>140738</v>
      </c>
      <c r="F32" s="32">
        <f t="shared" si="13"/>
        <v>136339</v>
      </c>
      <c r="G32" s="32">
        <f t="shared" si="14"/>
        <v>134037</v>
      </c>
      <c r="H32" s="32">
        <f t="shared" si="14"/>
        <v>139180</v>
      </c>
      <c r="I32" s="32">
        <f t="shared" si="15"/>
        <v>135417</v>
      </c>
      <c r="J32" s="32">
        <f t="shared" si="15"/>
        <v>135903</v>
      </c>
      <c r="K32" s="169"/>
      <c r="L32" s="169"/>
      <c r="M32" s="169"/>
      <c r="N32" s="39">
        <v>137149</v>
      </c>
      <c r="O32" s="52">
        <v>139267</v>
      </c>
      <c r="P32" s="39">
        <v>139111</v>
      </c>
      <c r="Q32" s="39">
        <v>141989</v>
      </c>
      <c r="R32" s="39">
        <v>142903</v>
      </c>
      <c r="S32" s="52">
        <v>143016</v>
      </c>
      <c r="T32" s="52">
        <v>141902</v>
      </c>
      <c r="U32" s="52">
        <v>140738</v>
      </c>
      <c r="V32" s="39">
        <v>139996</v>
      </c>
      <c r="W32" s="52">
        <v>138646</v>
      </c>
      <c r="X32" s="52">
        <v>137411</v>
      </c>
      <c r="Y32" s="52">
        <v>136339</v>
      </c>
      <c r="Z32" s="52">
        <v>135378</v>
      </c>
      <c r="AA32" s="52">
        <v>136572</v>
      </c>
      <c r="AB32" s="52">
        <v>135309</v>
      </c>
      <c r="AC32" s="52">
        <v>134037</v>
      </c>
      <c r="AD32" s="52">
        <v>138023</v>
      </c>
      <c r="AE32" s="52">
        <v>137264</v>
      </c>
      <c r="AF32" s="52">
        <v>139838</v>
      </c>
      <c r="AG32" s="52">
        <v>139180</v>
      </c>
      <c r="AH32" s="52">
        <v>139566</v>
      </c>
      <c r="AI32" s="52">
        <v>138003</v>
      </c>
      <c r="AJ32" s="52">
        <v>136226</v>
      </c>
      <c r="AK32" s="52">
        <v>135417</v>
      </c>
      <c r="AL32" s="52">
        <v>137256</v>
      </c>
      <c r="AM32" s="52">
        <v>137113</v>
      </c>
      <c r="AN32" s="52">
        <v>135689</v>
      </c>
      <c r="AO32" s="52">
        <v>135903</v>
      </c>
    </row>
    <row r="33" spans="1:41" x14ac:dyDescent="0.2">
      <c r="A33" s="135" t="s">
        <v>84</v>
      </c>
      <c r="B33" s="31"/>
      <c r="C33" s="31"/>
      <c r="D33" s="32">
        <f t="shared" si="13"/>
        <v>22425</v>
      </c>
      <c r="E33" s="32">
        <f t="shared" si="13"/>
        <v>21180</v>
      </c>
      <c r="F33" s="32">
        <f t="shared" si="13"/>
        <v>24474</v>
      </c>
      <c r="G33" s="32">
        <f t="shared" si="14"/>
        <v>21988</v>
      </c>
      <c r="H33" s="32">
        <f t="shared" si="14"/>
        <v>24404</v>
      </c>
      <c r="I33" s="32">
        <f t="shared" si="15"/>
        <v>19285</v>
      </c>
      <c r="J33" s="32">
        <f t="shared" si="15"/>
        <v>52206</v>
      </c>
      <c r="K33" s="169"/>
      <c r="L33" s="169"/>
      <c r="M33" s="169"/>
      <c r="N33" s="39">
        <v>24648</v>
      </c>
      <c r="O33" s="52">
        <v>23674</v>
      </c>
      <c r="P33" s="39">
        <v>23338</v>
      </c>
      <c r="Q33" s="39">
        <v>22425</v>
      </c>
      <c r="R33" s="39">
        <v>23778</v>
      </c>
      <c r="S33" s="39">
        <v>22797</v>
      </c>
      <c r="T33" s="39">
        <v>22172</v>
      </c>
      <c r="U33" s="39">
        <v>21180</v>
      </c>
      <c r="V33" s="39">
        <v>24693</v>
      </c>
      <c r="W33" s="39">
        <v>23770</v>
      </c>
      <c r="X33" s="39">
        <v>22680</v>
      </c>
      <c r="Y33" s="39">
        <v>24474</v>
      </c>
      <c r="Z33" s="39">
        <v>30925</v>
      </c>
      <c r="AA33" s="39">
        <v>27649</v>
      </c>
      <c r="AB33" s="39">
        <v>25283</v>
      </c>
      <c r="AC33" s="39">
        <v>21988</v>
      </c>
      <c r="AD33" s="39">
        <v>26442</v>
      </c>
      <c r="AE33" s="39">
        <v>27512</v>
      </c>
      <c r="AF33" s="39">
        <v>25526</v>
      </c>
      <c r="AG33" s="39">
        <v>24404</v>
      </c>
      <c r="AH33" s="39">
        <v>23391</v>
      </c>
      <c r="AI33" s="39">
        <v>21360</v>
      </c>
      <c r="AJ33" s="39">
        <v>19871</v>
      </c>
      <c r="AK33" s="39">
        <v>19285</v>
      </c>
      <c r="AL33" s="39">
        <v>19697</v>
      </c>
      <c r="AM33" s="39">
        <v>50801</v>
      </c>
      <c r="AN33" s="39">
        <v>53894</v>
      </c>
      <c r="AO33" s="39">
        <v>52206</v>
      </c>
    </row>
    <row r="34" spans="1:41" s="1" customFormat="1" x14ac:dyDescent="0.2">
      <c r="A34" s="135" t="s">
        <v>85</v>
      </c>
      <c r="B34" s="15"/>
      <c r="C34" s="15"/>
      <c r="D34" s="32">
        <f t="shared" si="13"/>
        <v>0</v>
      </c>
      <c r="E34" s="32">
        <f t="shared" si="13"/>
        <v>0</v>
      </c>
      <c r="F34" s="32">
        <f t="shared" si="13"/>
        <v>25665</v>
      </c>
      <c r="G34" s="32">
        <f t="shared" ref="G34:H36" si="16">INDEX($N34:$AG34,MATCH(G$5,$N$7:$AG$7,0))</f>
        <v>28843</v>
      </c>
      <c r="H34" s="32">
        <f t="shared" si="16"/>
        <v>32600</v>
      </c>
      <c r="I34" s="32">
        <f t="shared" si="15"/>
        <v>49741</v>
      </c>
      <c r="J34" s="32">
        <f t="shared" si="15"/>
        <v>0</v>
      </c>
      <c r="K34" s="171"/>
      <c r="L34" s="171"/>
      <c r="M34" s="171"/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9">
        <v>25197</v>
      </c>
      <c r="Y34" s="39">
        <v>25665</v>
      </c>
      <c r="Z34" s="39">
        <v>26291</v>
      </c>
      <c r="AA34" s="39">
        <v>27056</v>
      </c>
      <c r="AB34" s="39">
        <v>27950</v>
      </c>
      <c r="AC34" s="39">
        <v>28843</v>
      </c>
      <c r="AD34" s="39">
        <v>29778</v>
      </c>
      <c r="AE34" s="39">
        <v>30714</v>
      </c>
      <c r="AF34" s="39">
        <v>31701</v>
      </c>
      <c r="AG34" s="39">
        <v>32600</v>
      </c>
      <c r="AH34" s="39">
        <v>33455</v>
      </c>
      <c r="AI34" s="39">
        <v>34302</v>
      </c>
      <c r="AJ34" s="39">
        <v>35209</v>
      </c>
      <c r="AK34" s="39">
        <v>49741</v>
      </c>
      <c r="AL34" s="39">
        <v>39460</v>
      </c>
      <c r="AM34" s="39">
        <v>18266</v>
      </c>
      <c r="AN34" s="39">
        <v>0</v>
      </c>
      <c r="AO34" s="39">
        <v>0</v>
      </c>
    </row>
    <row r="35" spans="1:41" s="1" customFormat="1" x14ac:dyDescent="0.25">
      <c r="A35" s="134" t="s">
        <v>76</v>
      </c>
      <c r="B35" s="15"/>
      <c r="C35" s="15"/>
      <c r="D35" s="32">
        <f t="shared" si="13"/>
        <v>0</v>
      </c>
      <c r="E35" s="32">
        <f t="shared" si="13"/>
        <v>0</v>
      </c>
      <c r="F35" s="32">
        <f t="shared" si="13"/>
        <v>0</v>
      </c>
      <c r="G35" s="32">
        <f t="shared" si="16"/>
        <v>916</v>
      </c>
      <c r="H35" s="32">
        <f t="shared" si="16"/>
        <v>6552</v>
      </c>
      <c r="I35" s="32">
        <f t="shared" si="15"/>
        <v>4593</v>
      </c>
      <c r="J35" s="32">
        <f t="shared" si="15"/>
        <v>9732</v>
      </c>
      <c r="K35" s="171"/>
      <c r="L35" s="171"/>
      <c r="M35" s="171"/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9">
        <v>238</v>
      </c>
      <c r="AA35" s="39">
        <v>1371</v>
      </c>
      <c r="AB35" s="39">
        <v>0</v>
      </c>
      <c r="AC35" s="39">
        <v>916</v>
      </c>
      <c r="AD35" s="39">
        <v>1691</v>
      </c>
      <c r="AE35" s="39">
        <v>5492</v>
      </c>
      <c r="AF35" s="39">
        <v>4287</v>
      </c>
      <c r="AG35" s="39">
        <v>6552</v>
      </c>
      <c r="AH35" s="39">
        <v>6129</v>
      </c>
      <c r="AI35" s="39">
        <v>5805</v>
      </c>
      <c r="AJ35" s="39">
        <v>5090</v>
      </c>
      <c r="AK35" s="39">
        <v>4593</v>
      </c>
      <c r="AL35" s="39">
        <v>5063</v>
      </c>
      <c r="AM35" s="39">
        <v>6955</v>
      </c>
      <c r="AN35" s="39">
        <v>6442</v>
      </c>
      <c r="AO35" s="39">
        <v>9732</v>
      </c>
    </row>
    <row r="36" spans="1:41" s="1" customFormat="1" x14ac:dyDescent="0.25">
      <c r="A36" s="317" t="s">
        <v>86</v>
      </c>
      <c r="B36" s="15"/>
      <c r="C36" s="15"/>
      <c r="D36" s="32">
        <f t="shared" si="13"/>
        <v>0</v>
      </c>
      <c r="E36" s="32">
        <f t="shared" si="13"/>
        <v>0</v>
      </c>
      <c r="F36" s="32">
        <f t="shared" si="13"/>
        <v>0</v>
      </c>
      <c r="G36" s="32">
        <f t="shared" si="16"/>
        <v>1500</v>
      </c>
      <c r="H36" s="32">
        <f t="shared" si="16"/>
        <v>4184</v>
      </c>
      <c r="I36" s="32">
        <f t="shared" si="15"/>
        <v>6334</v>
      </c>
      <c r="J36" s="32">
        <f t="shared" si="15"/>
        <v>7327</v>
      </c>
      <c r="K36" s="171"/>
      <c r="L36" s="171"/>
      <c r="M36" s="171"/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1500</v>
      </c>
      <c r="AD36" s="39">
        <v>1500</v>
      </c>
      <c r="AE36" s="39">
        <v>1658</v>
      </c>
      <c r="AF36" s="39">
        <v>4184</v>
      </c>
      <c r="AG36" s="39">
        <v>4184</v>
      </c>
      <c r="AH36" s="39">
        <v>4684</v>
      </c>
      <c r="AI36" s="39">
        <v>4684</v>
      </c>
      <c r="AJ36" s="39">
        <v>4684</v>
      </c>
      <c r="AK36" s="39">
        <v>6334</v>
      </c>
      <c r="AL36" s="39">
        <v>6334</v>
      </c>
      <c r="AM36" s="39">
        <v>6334</v>
      </c>
      <c r="AN36" s="39">
        <v>6334</v>
      </c>
      <c r="AO36" s="39">
        <v>7327</v>
      </c>
    </row>
    <row r="37" spans="1:41" s="1" customFormat="1" x14ac:dyDescent="0.2">
      <c r="A37" s="31"/>
      <c r="B37" s="15"/>
      <c r="C37" s="15"/>
      <c r="D37" s="36"/>
      <c r="E37" s="36"/>
      <c r="F37" s="36"/>
      <c r="G37" s="36"/>
      <c r="H37" s="36"/>
      <c r="I37" s="36"/>
      <c r="J37" s="36"/>
      <c r="K37" s="15"/>
      <c r="L37" s="15"/>
      <c r="M37" s="15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4"/>
    </row>
    <row r="38" spans="1:41" s="1" customFormat="1" x14ac:dyDescent="0.2">
      <c r="A38" s="129" t="s">
        <v>87</v>
      </c>
      <c r="B38" s="24"/>
      <c r="C38" s="24"/>
      <c r="D38" s="130">
        <f t="shared" ref="D38:J38" si="17">D40+D54+D66</f>
        <v>1579546</v>
      </c>
      <c r="E38" s="130">
        <f t="shared" si="17"/>
        <v>1814117</v>
      </c>
      <c r="F38" s="130">
        <f t="shared" si="17"/>
        <v>2365300</v>
      </c>
      <c r="G38" s="130">
        <f t="shared" si="17"/>
        <v>3515338</v>
      </c>
      <c r="H38" s="130">
        <f t="shared" si="17"/>
        <v>3467066</v>
      </c>
      <c r="I38" s="130">
        <f t="shared" si="17"/>
        <v>3620637</v>
      </c>
      <c r="J38" s="130">
        <f t="shared" si="17"/>
        <v>3949686</v>
      </c>
      <c r="K38" s="165"/>
      <c r="L38" s="165"/>
      <c r="M38" s="165"/>
      <c r="N38" s="166">
        <f t="shared" ref="N38:Z38" si="18">N40+N54+N66</f>
        <v>1494506</v>
      </c>
      <c r="O38" s="166">
        <f t="shared" si="18"/>
        <v>1479449</v>
      </c>
      <c r="P38" s="166">
        <f t="shared" si="18"/>
        <v>1614745</v>
      </c>
      <c r="Q38" s="166">
        <f t="shared" si="18"/>
        <v>1579546</v>
      </c>
      <c r="R38" s="166">
        <f t="shared" si="18"/>
        <v>1563835</v>
      </c>
      <c r="S38" s="166">
        <f t="shared" si="18"/>
        <v>1568964</v>
      </c>
      <c r="T38" s="166">
        <f t="shared" si="18"/>
        <v>1824428</v>
      </c>
      <c r="U38" s="166">
        <f t="shared" si="18"/>
        <v>1814117</v>
      </c>
      <c r="V38" s="166">
        <f t="shared" si="18"/>
        <v>1899659</v>
      </c>
      <c r="W38" s="166">
        <f t="shared" si="18"/>
        <v>1974859</v>
      </c>
      <c r="X38" s="166">
        <f t="shared" si="18"/>
        <v>2094356</v>
      </c>
      <c r="Y38" s="166">
        <f t="shared" si="18"/>
        <v>2365300</v>
      </c>
      <c r="Z38" s="166">
        <f t="shared" si="18"/>
        <v>2412537</v>
      </c>
      <c r="AA38" s="166">
        <f t="shared" ref="AA38:AH38" si="19">AA40+AA54+AA66</f>
        <v>2629642</v>
      </c>
      <c r="AB38" s="166">
        <f t="shared" si="19"/>
        <v>2707188</v>
      </c>
      <c r="AC38" s="166">
        <f t="shared" si="19"/>
        <v>3515338</v>
      </c>
      <c r="AD38" s="166">
        <f t="shared" si="19"/>
        <v>3577859</v>
      </c>
      <c r="AE38" s="166">
        <f t="shared" si="19"/>
        <v>3777363</v>
      </c>
      <c r="AF38" s="166">
        <f t="shared" si="19"/>
        <v>3473583</v>
      </c>
      <c r="AG38" s="166">
        <f t="shared" si="19"/>
        <v>3467066</v>
      </c>
      <c r="AH38" s="166">
        <f t="shared" si="19"/>
        <v>3480534</v>
      </c>
      <c r="AI38" s="166">
        <f t="shared" ref="AI38:AO38" si="20">AI40+AI54+AI66</f>
        <v>3505715</v>
      </c>
      <c r="AJ38" s="166">
        <f t="shared" si="20"/>
        <v>3483185</v>
      </c>
      <c r="AK38" s="166">
        <f t="shared" si="20"/>
        <v>3620637</v>
      </c>
      <c r="AL38" s="166">
        <f t="shared" si="20"/>
        <v>3681575</v>
      </c>
      <c r="AM38" s="166">
        <f t="shared" si="20"/>
        <v>3768111</v>
      </c>
      <c r="AN38" s="166">
        <f t="shared" si="20"/>
        <v>3780942</v>
      </c>
      <c r="AO38" s="166">
        <f t="shared" si="20"/>
        <v>3949686</v>
      </c>
    </row>
    <row r="39" spans="1:41" s="1" customFormat="1" ht="10.5" customHeight="1" x14ac:dyDescent="0.2">
      <c r="A39" s="26"/>
      <c r="B39" s="15"/>
      <c r="C39" s="15"/>
      <c r="D39" s="168"/>
      <c r="E39" s="168"/>
      <c r="F39" s="168"/>
      <c r="G39" s="168"/>
      <c r="H39" s="168"/>
      <c r="I39" s="168"/>
      <c r="J39" s="168"/>
      <c r="K39" s="171"/>
      <c r="L39" s="171"/>
      <c r="M39" s="171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</row>
    <row r="40" spans="1:41" s="1" customFormat="1" x14ac:dyDescent="0.2">
      <c r="A40" s="138" t="s">
        <v>88</v>
      </c>
      <c r="B40" s="29"/>
      <c r="C40" s="29"/>
      <c r="D40" s="25">
        <f t="shared" ref="D40:I40" si="21">SUM(D41:D52)</f>
        <v>430506</v>
      </c>
      <c r="E40" s="25">
        <f t="shared" si="21"/>
        <v>277356</v>
      </c>
      <c r="F40" s="25">
        <f t="shared" si="21"/>
        <v>344609</v>
      </c>
      <c r="G40" s="25">
        <f t="shared" si="21"/>
        <v>577460</v>
      </c>
      <c r="H40" s="25">
        <f t="shared" si="21"/>
        <v>302837</v>
      </c>
      <c r="I40" s="25">
        <f t="shared" si="21"/>
        <v>493233</v>
      </c>
      <c r="J40" s="25">
        <f t="shared" ref="J40" si="22">SUM(J41:J52)</f>
        <v>503645</v>
      </c>
      <c r="K40" s="167"/>
      <c r="L40" s="167"/>
      <c r="M40" s="167"/>
      <c r="N40" s="168">
        <f t="shared" ref="N40:Z40" si="23">SUM(N41:N52)</f>
        <v>452499</v>
      </c>
      <c r="O40" s="168">
        <f t="shared" si="23"/>
        <v>502701</v>
      </c>
      <c r="P40" s="168">
        <f t="shared" si="23"/>
        <v>375706</v>
      </c>
      <c r="Q40" s="168">
        <f t="shared" si="23"/>
        <v>430506</v>
      </c>
      <c r="R40" s="168">
        <f t="shared" si="23"/>
        <v>409295</v>
      </c>
      <c r="S40" s="168">
        <f t="shared" si="23"/>
        <v>390924</v>
      </c>
      <c r="T40" s="168">
        <f t="shared" si="23"/>
        <v>281126</v>
      </c>
      <c r="U40" s="168">
        <f t="shared" si="23"/>
        <v>277356</v>
      </c>
      <c r="V40" s="168">
        <f t="shared" si="23"/>
        <v>234147</v>
      </c>
      <c r="W40" s="168">
        <f t="shared" si="23"/>
        <v>277100</v>
      </c>
      <c r="X40" s="168">
        <f t="shared" si="23"/>
        <v>334813</v>
      </c>
      <c r="Y40" s="168">
        <f t="shared" si="23"/>
        <v>344609</v>
      </c>
      <c r="Z40" s="168">
        <f t="shared" si="23"/>
        <v>292674</v>
      </c>
      <c r="AA40" s="225">
        <f t="shared" ref="AA40:AH40" si="24">SUM(AA41:AA52)</f>
        <v>331542</v>
      </c>
      <c r="AB40" s="225">
        <f t="shared" si="24"/>
        <v>519455</v>
      </c>
      <c r="AC40" s="225">
        <f t="shared" si="24"/>
        <v>577460</v>
      </c>
      <c r="AD40" s="225">
        <f t="shared" si="24"/>
        <v>500052</v>
      </c>
      <c r="AE40" s="225">
        <f t="shared" si="24"/>
        <v>520822</v>
      </c>
      <c r="AF40" s="225">
        <f t="shared" si="24"/>
        <v>295258</v>
      </c>
      <c r="AG40" s="225">
        <f t="shared" si="24"/>
        <v>302837</v>
      </c>
      <c r="AH40" s="225">
        <f t="shared" si="24"/>
        <v>310288</v>
      </c>
      <c r="AI40" s="225">
        <f t="shared" ref="AI40:AO40" si="25">SUM(AI41:AI52)</f>
        <v>410055</v>
      </c>
      <c r="AJ40" s="225">
        <f t="shared" si="25"/>
        <v>398737</v>
      </c>
      <c r="AK40" s="225">
        <f t="shared" si="25"/>
        <v>493233</v>
      </c>
      <c r="AL40" s="225">
        <f t="shared" si="25"/>
        <v>372403</v>
      </c>
      <c r="AM40" s="225">
        <f t="shared" si="25"/>
        <v>403811</v>
      </c>
      <c r="AN40" s="225">
        <f t="shared" si="25"/>
        <v>443633</v>
      </c>
      <c r="AO40" s="225">
        <f t="shared" si="25"/>
        <v>503645</v>
      </c>
    </row>
    <row r="41" spans="1:41" x14ac:dyDescent="0.2">
      <c r="A41" s="133" t="s">
        <v>89</v>
      </c>
      <c r="B41" s="31"/>
      <c r="C41" s="31"/>
      <c r="D41" s="32">
        <f t="shared" ref="D41:F52" si="26">INDEX($N41:$AB41,MATCH(D$5,$N$7:$AB$7,0))</f>
        <v>247316</v>
      </c>
      <c r="E41" s="32">
        <f t="shared" si="26"/>
        <v>43498</v>
      </c>
      <c r="F41" s="32">
        <f t="shared" si="26"/>
        <v>69142</v>
      </c>
      <c r="G41" s="32">
        <f t="shared" ref="G41:H52" si="27">INDEX($N41:$AG41,MATCH(G$5,$N$7:$AG$7,0))</f>
        <v>47533</v>
      </c>
      <c r="H41" s="32">
        <f t="shared" si="27"/>
        <v>21571</v>
      </c>
      <c r="I41" s="32">
        <f>INDEX($N41:$AP41,MATCH(I$5,$N$7:$AP$7,0))</f>
        <v>155407</v>
      </c>
      <c r="J41" s="32">
        <f>INDEX($N41:$AP41,MATCH(J$5,$N$7:$AP$7,0))</f>
        <v>172614</v>
      </c>
      <c r="K41" s="169"/>
      <c r="L41" s="169"/>
      <c r="M41" s="169"/>
      <c r="N41" s="39">
        <v>295218</v>
      </c>
      <c r="O41" s="52">
        <v>342791</v>
      </c>
      <c r="P41" s="39">
        <v>193786</v>
      </c>
      <c r="Q41" s="39">
        <v>247316</v>
      </c>
      <c r="R41" s="39">
        <v>251883</v>
      </c>
      <c r="S41" s="52">
        <v>203921</v>
      </c>
      <c r="T41" s="52">
        <v>97092</v>
      </c>
      <c r="U41" s="52">
        <v>43498</v>
      </c>
      <c r="V41" s="39">
        <v>21492</v>
      </c>
      <c r="W41" s="52">
        <v>26877</v>
      </c>
      <c r="X41" s="52">
        <v>65403</v>
      </c>
      <c r="Y41" s="52">
        <v>69142</v>
      </c>
      <c r="Z41" s="52">
        <v>71708</v>
      </c>
      <c r="AA41" s="52">
        <v>86356</v>
      </c>
      <c r="AB41" s="52">
        <v>49827</v>
      </c>
      <c r="AC41" s="52">
        <v>47533</v>
      </c>
      <c r="AD41" s="52">
        <v>49187</v>
      </c>
      <c r="AE41" s="52">
        <v>13822</v>
      </c>
      <c r="AF41" s="52">
        <v>12235</v>
      </c>
      <c r="AG41" s="52">
        <v>21571</v>
      </c>
      <c r="AH41" s="52">
        <v>78215</v>
      </c>
      <c r="AI41" s="52">
        <v>119878</v>
      </c>
      <c r="AJ41" s="52">
        <v>139163</v>
      </c>
      <c r="AK41" s="52">
        <v>155407</v>
      </c>
      <c r="AL41" s="52">
        <v>124319</v>
      </c>
      <c r="AM41" s="52">
        <v>115423</v>
      </c>
      <c r="AN41" s="52">
        <v>165656</v>
      </c>
      <c r="AO41" s="52">
        <v>172614</v>
      </c>
    </row>
    <row r="42" spans="1:41" x14ac:dyDescent="0.2">
      <c r="A42" s="133" t="s">
        <v>90</v>
      </c>
      <c r="B42" s="31"/>
      <c r="C42" s="31"/>
      <c r="D42" s="32">
        <f t="shared" si="26"/>
        <v>2888</v>
      </c>
      <c r="E42" s="32">
        <f t="shared" si="26"/>
        <v>3974</v>
      </c>
      <c r="F42" s="32">
        <f t="shared" si="26"/>
        <v>6950</v>
      </c>
      <c r="G42" s="32">
        <f t="shared" si="27"/>
        <v>7025</v>
      </c>
      <c r="H42" s="32">
        <f t="shared" si="27"/>
        <v>9039</v>
      </c>
      <c r="I42" s="32">
        <f t="shared" ref="I42:J52" si="28">INDEX($N42:$AP42,MATCH(I$5,$N$7:$AP$7,0))</f>
        <v>9978</v>
      </c>
      <c r="J42" s="32">
        <f t="shared" si="28"/>
        <v>5519</v>
      </c>
      <c r="K42" s="169"/>
      <c r="L42" s="169"/>
      <c r="M42" s="169"/>
      <c r="N42" s="39">
        <v>3829</v>
      </c>
      <c r="O42" s="52">
        <v>3830</v>
      </c>
      <c r="P42" s="39">
        <v>3439</v>
      </c>
      <c r="Q42" s="39">
        <v>2888</v>
      </c>
      <c r="R42" s="39">
        <v>2257</v>
      </c>
      <c r="S42" s="52">
        <v>1637</v>
      </c>
      <c r="T42" s="52">
        <v>3974</v>
      </c>
      <c r="U42" s="52">
        <v>3974</v>
      </c>
      <c r="V42" s="39">
        <v>4748</v>
      </c>
      <c r="W42" s="52">
        <v>4767</v>
      </c>
      <c r="X42" s="52">
        <v>4928</v>
      </c>
      <c r="Y42" s="52">
        <v>6950</v>
      </c>
      <c r="Z42" s="52">
        <v>8602</v>
      </c>
      <c r="AA42" s="52">
        <v>8094</v>
      </c>
      <c r="AB42" s="52">
        <v>7394</v>
      </c>
      <c r="AC42" s="52">
        <v>7025</v>
      </c>
      <c r="AD42" s="52">
        <v>7980</v>
      </c>
      <c r="AE42" s="52">
        <v>9160</v>
      </c>
      <c r="AF42" s="52">
        <v>9008</v>
      </c>
      <c r="AG42" s="52">
        <v>9039</v>
      </c>
      <c r="AH42" s="52">
        <v>8757</v>
      </c>
      <c r="AI42" s="52">
        <v>9485</v>
      </c>
      <c r="AJ42" s="52">
        <v>10084</v>
      </c>
      <c r="AK42" s="52">
        <v>9978</v>
      </c>
      <c r="AL42" s="52">
        <v>10027</v>
      </c>
      <c r="AM42" s="52">
        <v>7008</v>
      </c>
      <c r="AN42" s="52">
        <v>6388</v>
      </c>
      <c r="AO42" s="52">
        <v>5519</v>
      </c>
    </row>
    <row r="43" spans="1:41" x14ac:dyDescent="0.2">
      <c r="A43" s="133" t="s">
        <v>91</v>
      </c>
      <c r="B43" s="31"/>
      <c r="C43" s="31"/>
      <c r="D43" s="32">
        <f t="shared" si="26"/>
        <v>89820</v>
      </c>
      <c r="E43" s="32">
        <f t="shared" si="26"/>
        <v>109095</v>
      </c>
      <c r="F43" s="32">
        <f t="shared" si="26"/>
        <v>133718</v>
      </c>
      <c r="G43" s="32">
        <f t="shared" si="27"/>
        <v>175313</v>
      </c>
      <c r="H43" s="32">
        <f t="shared" si="27"/>
        <v>126369</v>
      </c>
      <c r="I43" s="32">
        <f t="shared" si="28"/>
        <v>140848</v>
      </c>
      <c r="J43" s="32">
        <f t="shared" si="28"/>
        <v>150205</v>
      </c>
      <c r="K43" s="169"/>
      <c r="L43" s="169"/>
      <c r="M43" s="169"/>
      <c r="N43" s="39">
        <v>82930</v>
      </c>
      <c r="O43" s="52">
        <v>79315</v>
      </c>
      <c r="P43" s="39">
        <v>79380</v>
      </c>
      <c r="Q43" s="39">
        <v>89820</v>
      </c>
      <c r="R43" s="39">
        <v>76576</v>
      </c>
      <c r="S43" s="52">
        <v>78678</v>
      </c>
      <c r="T43" s="52">
        <v>84115</v>
      </c>
      <c r="U43" s="52">
        <v>109095</v>
      </c>
      <c r="V43" s="39">
        <v>110963</v>
      </c>
      <c r="W43" s="52">
        <v>131471</v>
      </c>
      <c r="X43" s="52">
        <v>132746</v>
      </c>
      <c r="Y43" s="52">
        <v>133718</v>
      </c>
      <c r="Z43" s="52">
        <v>115815</v>
      </c>
      <c r="AA43" s="52">
        <v>116127</v>
      </c>
      <c r="AB43" s="52">
        <v>171893</v>
      </c>
      <c r="AC43" s="52">
        <v>175313</v>
      </c>
      <c r="AD43" s="52">
        <v>157657</v>
      </c>
      <c r="AE43" s="52">
        <v>156572</v>
      </c>
      <c r="AF43" s="52">
        <v>139054</v>
      </c>
      <c r="AG43" s="52">
        <v>126369</v>
      </c>
      <c r="AH43" s="52">
        <v>122029</v>
      </c>
      <c r="AI43" s="52">
        <v>123536</v>
      </c>
      <c r="AJ43" s="52">
        <v>129806</v>
      </c>
      <c r="AK43" s="52">
        <v>140848</v>
      </c>
      <c r="AL43" s="52">
        <v>132737</v>
      </c>
      <c r="AM43" s="52">
        <v>137236</v>
      </c>
      <c r="AN43" s="52">
        <v>137344</v>
      </c>
      <c r="AO43" s="52">
        <v>150205</v>
      </c>
    </row>
    <row r="44" spans="1:41" x14ac:dyDescent="0.2">
      <c r="A44" s="133" t="s">
        <v>92</v>
      </c>
      <c r="B44" s="31"/>
      <c r="C44" s="31"/>
      <c r="D44" s="32">
        <f t="shared" si="26"/>
        <v>1818</v>
      </c>
      <c r="E44" s="32">
        <f t="shared" si="26"/>
        <v>10467</v>
      </c>
      <c r="F44" s="32">
        <f t="shared" si="26"/>
        <v>16345</v>
      </c>
      <c r="G44" s="32">
        <f t="shared" si="27"/>
        <v>22120</v>
      </c>
      <c r="H44" s="32">
        <f t="shared" si="27"/>
        <v>3908</v>
      </c>
      <c r="I44" s="32">
        <f t="shared" si="28"/>
        <v>46550</v>
      </c>
      <c r="J44" s="32">
        <f t="shared" si="28"/>
        <v>11190</v>
      </c>
      <c r="K44" s="169"/>
      <c r="L44" s="169"/>
      <c r="M44" s="169"/>
      <c r="N44" s="39">
        <v>3769</v>
      </c>
      <c r="O44" s="52">
        <v>50</v>
      </c>
      <c r="P44" s="39">
        <v>44</v>
      </c>
      <c r="Q44" s="39">
        <v>1818</v>
      </c>
      <c r="R44" s="39">
        <v>1818</v>
      </c>
      <c r="S44" s="52">
        <v>40</v>
      </c>
      <c r="T44" s="52">
        <v>78</v>
      </c>
      <c r="U44" s="52">
        <v>10467</v>
      </c>
      <c r="V44" s="39">
        <v>153</v>
      </c>
      <c r="W44" s="52">
        <v>295</v>
      </c>
      <c r="X44" s="52">
        <v>358</v>
      </c>
      <c r="Y44" s="52">
        <v>16345</v>
      </c>
      <c r="Z44" s="52">
        <v>519</v>
      </c>
      <c r="AA44" s="52">
        <v>854</v>
      </c>
      <c r="AB44" s="52">
        <v>841</v>
      </c>
      <c r="AC44" s="52">
        <v>22120</v>
      </c>
      <c r="AD44" s="52">
        <v>1000</v>
      </c>
      <c r="AE44" s="52">
        <v>1397</v>
      </c>
      <c r="AF44" s="52">
        <v>1567</v>
      </c>
      <c r="AG44" s="52">
        <v>3908</v>
      </c>
      <c r="AH44" s="52">
        <v>1576</v>
      </c>
      <c r="AI44" s="52">
        <v>1852</v>
      </c>
      <c r="AJ44" s="52">
        <v>1891</v>
      </c>
      <c r="AK44" s="52">
        <v>46550</v>
      </c>
      <c r="AL44" s="52">
        <v>1893</v>
      </c>
      <c r="AM44" s="52">
        <v>1698</v>
      </c>
      <c r="AN44" s="52">
        <v>1640</v>
      </c>
      <c r="AO44" s="52">
        <v>11190</v>
      </c>
    </row>
    <row r="45" spans="1:41" x14ac:dyDescent="0.2">
      <c r="A45" s="135" t="s">
        <v>93</v>
      </c>
      <c r="B45" s="31"/>
      <c r="C45" s="31"/>
      <c r="D45" s="32">
        <f t="shared" si="26"/>
        <v>15004</v>
      </c>
      <c r="E45" s="32">
        <f t="shared" si="26"/>
        <v>21856</v>
      </c>
      <c r="F45" s="32">
        <f t="shared" si="26"/>
        <v>20982</v>
      </c>
      <c r="G45" s="32">
        <f t="shared" si="27"/>
        <v>19447</v>
      </c>
      <c r="H45" s="32">
        <f t="shared" si="27"/>
        <v>15084</v>
      </c>
      <c r="I45" s="32">
        <f t="shared" si="28"/>
        <v>15729</v>
      </c>
      <c r="J45" s="32">
        <f t="shared" si="28"/>
        <v>21443</v>
      </c>
      <c r="K45" s="169"/>
      <c r="L45" s="169"/>
      <c r="M45" s="169"/>
      <c r="N45" s="39">
        <v>18896</v>
      </c>
      <c r="O45" s="52">
        <v>21124</v>
      </c>
      <c r="P45" s="39">
        <v>23124</v>
      </c>
      <c r="Q45" s="39">
        <v>15004</v>
      </c>
      <c r="R45" s="39">
        <v>15559</v>
      </c>
      <c r="S45" s="52">
        <v>25165</v>
      </c>
      <c r="T45" s="52">
        <v>22357</v>
      </c>
      <c r="U45" s="52">
        <v>21856</v>
      </c>
      <c r="V45" s="39">
        <v>25404</v>
      </c>
      <c r="W45" s="52">
        <v>24367</v>
      </c>
      <c r="X45" s="52">
        <f>14363+12724+111</f>
        <v>27198</v>
      </c>
      <c r="Y45" s="52">
        <v>20982</v>
      </c>
      <c r="Z45" s="52">
        <v>18589</v>
      </c>
      <c r="AA45" s="52">
        <v>17966</v>
      </c>
      <c r="AB45" s="52">
        <v>19467</v>
      </c>
      <c r="AC45" s="52">
        <v>19447</v>
      </c>
      <c r="AD45" s="52">
        <v>17982</v>
      </c>
      <c r="AE45" s="52">
        <v>20469</v>
      </c>
      <c r="AF45" s="52">
        <v>18456</v>
      </c>
      <c r="AG45" s="52">
        <v>15084</v>
      </c>
      <c r="AH45" s="52">
        <v>13847</v>
      </c>
      <c r="AI45" s="52">
        <v>22431</v>
      </c>
      <c r="AJ45" s="52">
        <v>19281</v>
      </c>
      <c r="AK45" s="52">
        <v>15729</v>
      </c>
      <c r="AL45" s="52">
        <v>21405</v>
      </c>
      <c r="AM45" s="52">
        <v>17986</v>
      </c>
      <c r="AN45" s="52">
        <v>19638</v>
      </c>
      <c r="AO45" s="52">
        <v>21443</v>
      </c>
    </row>
    <row r="46" spans="1:41" x14ac:dyDescent="0.2">
      <c r="A46" s="135" t="s">
        <v>94</v>
      </c>
      <c r="B46" s="31"/>
      <c r="C46" s="31"/>
      <c r="D46" s="32">
        <f t="shared" si="26"/>
        <v>274</v>
      </c>
      <c r="E46" s="32">
        <f t="shared" si="26"/>
        <v>3114</v>
      </c>
      <c r="F46" s="32">
        <f t="shared" si="26"/>
        <v>3569</v>
      </c>
      <c r="G46" s="32">
        <f t="shared" si="27"/>
        <v>3402</v>
      </c>
      <c r="H46" s="32">
        <f t="shared" si="27"/>
        <v>335</v>
      </c>
      <c r="I46" s="32">
        <f t="shared" si="28"/>
        <v>436</v>
      </c>
      <c r="J46" s="32">
        <f t="shared" si="28"/>
        <v>634</v>
      </c>
      <c r="K46" s="169"/>
      <c r="L46" s="169"/>
      <c r="M46" s="169"/>
      <c r="N46" s="39">
        <v>381</v>
      </c>
      <c r="O46" s="52">
        <v>311</v>
      </c>
      <c r="P46" s="38">
        <v>0</v>
      </c>
      <c r="Q46" s="39">
        <v>274</v>
      </c>
      <c r="R46" s="39">
        <v>217</v>
      </c>
      <c r="S46" s="52">
        <v>2130</v>
      </c>
      <c r="T46" s="52">
        <v>5356</v>
      </c>
      <c r="U46" s="52">
        <v>3114</v>
      </c>
      <c r="V46" s="39">
        <v>7566</v>
      </c>
      <c r="W46" s="52">
        <v>6650</v>
      </c>
      <c r="X46" s="52">
        <v>9174</v>
      </c>
      <c r="Y46" s="52">
        <v>3569</v>
      </c>
      <c r="Z46" s="52">
        <v>7932</v>
      </c>
      <c r="AA46" s="52">
        <v>8084</v>
      </c>
      <c r="AB46" s="52">
        <v>10828</v>
      </c>
      <c r="AC46" s="52">
        <v>3402</v>
      </c>
      <c r="AD46" s="52">
        <v>7482</v>
      </c>
      <c r="AE46" s="52">
        <v>334</v>
      </c>
      <c r="AF46" s="52">
        <v>7886</v>
      </c>
      <c r="AG46" s="52">
        <v>335</v>
      </c>
      <c r="AH46" s="52">
        <v>962</v>
      </c>
      <c r="AI46" s="52">
        <v>11900</v>
      </c>
      <c r="AJ46" s="52">
        <v>3523</v>
      </c>
      <c r="AK46" s="52">
        <v>436</v>
      </c>
      <c r="AL46" s="52">
        <v>1660</v>
      </c>
      <c r="AM46" s="52">
        <v>1520</v>
      </c>
      <c r="AN46" s="52">
        <v>4394</v>
      </c>
      <c r="AO46" s="52">
        <v>634</v>
      </c>
    </row>
    <row r="47" spans="1:41" x14ac:dyDescent="0.2">
      <c r="A47" s="135" t="s">
        <v>95</v>
      </c>
      <c r="B47" s="31"/>
      <c r="C47" s="31"/>
      <c r="D47" s="32">
        <f t="shared" si="26"/>
        <v>29649</v>
      </c>
      <c r="E47" s="32">
        <f t="shared" si="26"/>
        <v>45448</v>
      </c>
      <c r="F47" s="32">
        <f t="shared" si="26"/>
        <v>48898</v>
      </c>
      <c r="G47" s="32">
        <f t="shared" si="27"/>
        <v>56385</v>
      </c>
      <c r="H47" s="32">
        <f t="shared" si="27"/>
        <v>58601</v>
      </c>
      <c r="I47" s="32">
        <f t="shared" si="28"/>
        <v>62530</v>
      </c>
      <c r="J47" s="32">
        <f t="shared" si="28"/>
        <v>61620</v>
      </c>
      <c r="K47" s="169"/>
      <c r="L47" s="169"/>
      <c r="M47" s="169"/>
      <c r="N47" s="39">
        <v>21924</v>
      </c>
      <c r="O47" s="52">
        <v>25351</v>
      </c>
      <c r="P47" s="39">
        <v>32097</v>
      </c>
      <c r="Q47" s="39">
        <v>29649</v>
      </c>
      <c r="R47" s="39">
        <v>22462</v>
      </c>
      <c r="S47" s="52">
        <v>34287</v>
      </c>
      <c r="T47" s="52">
        <v>38324</v>
      </c>
      <c r="U47" s="52">
        <v>45448</v>
      </c>
      <c r="V47" s="39">
        <v>32308</v>
      </c>
      <c r="W47" s="52">
        <v>40949</v>
      </c>
      <c r="X47" s="52">
        <v>53692</v>
      </c>
      <c r="Y47" s="52">
        <v>48898</v>
      </c>
      <c r="Z47" s="52">
        <v>32361</v>
      </c>
      <c r="AA47" s="52">
        <v>38427</v>
      </c>
      <c r="AB47" s="52">
        <v>50583</v>
      </c>
      <c r="AC47" s="52">
        <v>56385</v>
      </c>
      <c r="AD47" s="52">
        <v>43376</v>
      </c>
      <c r="AE47" s="52">
        <v>52260</v>
      </c>
      <c r="AF47" s="52">
        <v>59913</v>
      </c>
      <c r="AG47" s="52">
        <v>58601</v>
      </c>
      <c r="AH47" s="52">
        <v>44989</v>
      </c>
      <c r="AI47" s="52">
        <v>64628</v>
      </c>
      <c r="AJ47" s="52">
        <v>62005</v>
      </c>
      <c r="AK47" s="52">
        <v>62530</v>
      </c>
      <c r="AL47" s="52">
        <v>46577</v>
      </c>
      <c r="AM47" s="52">
        <v>54795</v>
      </c>
      <c r="AN47" s="52">
        <v>63227</v>
      </c>
      <c r="AO47" s="52">
        <v>61620</v>
      </c>
    </row>
    <row r="48" spans="1:41" x14ac:dyDescent="0.2">
      <c r="A48" s="135" t="s">
        <v>96</v>
      </c>
      <c r="B48" s="31"/>
      <c r="C48" s="31"/>
      <c r="D48" s="32">
        <f t="shared" si="26"/>
        <v>6877</v>
      </c>
      <c r="E48" s="32">
        <f t="shared" si="26"/>
        <v>8830</v>
      </c>
      <c r="F48" s="32">
        <f t="shared" si="26"/>
        <v>9081</v>
      </c>
      <c r="G48" s="32">
        <f t="shared" si="27"/>
        <v>5941</v>
      </c>
      <c r="H48" s="32">
        <f t="shared" si="27"/>
        <v>4596</v>
      </c>
      <c r="I48" s="32">
        <f t="shared" si="28"/>
        <v>1747</v>
      </c>
      <c r="J48" s="32">
        <f t="shared" si="28"/>
        <v>1049</v>
      </c>
      <c r="K48" s="169"/>
      <c r="L48" s="169"/>
      <c r="M48" s="169"/>
      <c r="N48" s="39">
        <v>6587</v>
      </c>
      <c r="O48" s="39">
        <v>6683</v>
      </c>
      <c r="P48" s="39">
        <v>6779</v>
      </c>
      <c r="Q48" s="39">
        <v>6877</v>
      </c>
      <c r="R48" s="39">
        <v>7950</v>
      </c>
      <c r="S48" s="52">
        <v>8527</v>
      </c>
      <c r="T48" s="52">
        <v>8878</v>
      </c>
      <c r="U48" s="52">
        <v>8830</v>
      </c>
      <c r="V48" s="39">
        <v>8774</v>
      </c>
      <c r="W48" s="52">
        <v>8822</v>
      </c>
      <c r="X48" s="52">
        <v>8904</v>
      </c>
      <c r="Y48" s="52">
        <v>9081</v>
      </c>
      <c r="Z48" s="52">
        <v>9238</v>
      </c>
      <c r="AA48" s="52">
        <v>9446</v>
      </c>
      <c r="AB48" s="52">
        <v>7740</v>
      </c>
      <c r="AC48" s="52">
        <v>5941</v>
      </c>
      <c r="AD48" s="52">
        <v>4406</v>
      </c>
      <c r="AE48" s="52">
        <v>2633</v>
      </c>
      <c r="AF48" s="52">
        <v>2820</v>
      </c>
      <c r="AG48" s="52">
        <v>4596</v>
      </c>
      <c r="AH48" s="52">
        <v>4329</v>
      </c>
      <c r="AI48" s="52">
        <v>3739</v>
      </c>
      <c r="AJ48" s="52">
        <v>2775</v>
      </c>
      <c r="AK48" s="52">
        <v>1747</v>
      </c>
      <c r="AL48" s="52">
        <v>1311</v>
      </c>
      <c r="AM48" s="52">
        <v>1579</v>
      </c>
      <c r="AN48" s="52">
        <v>1311</v>
      </c>
      <c r="AO48" s="52">
        <v>1049</v>
      </c>
    </row>
    <row r="49" spans="1:41" x14ac:dyDescent="0.2">
      <c r="A49" s="133" t="s">
        <v>97</v>
      </c>
      <c r="B49" s="31"/>
      <c r="C49" s="31"/>
      <c r="D49" s="32">
        <f t="shared" si="26"/>
        <v>18192</v>
      </c>
      <c r="E49" s="32">
        <f t="shared" si="26"/>
        <v>11968</v>
      </c>
      <c r="F49" s="32">
        <f t="shared" si="26"/>
        <v>22190</v>
      </c>
      <c r="G49" s="32">
        <f t="shared" si="27"/>
        <v>226062</v>
      </c>
      <c r="H49" s="32">
        <f t="shared" si="27"/>
        <v>34260</v>
      </c>
      <c r="I49" s="32">
        <f t="shared" si="28"/>
        <v>29874</v>
      </c>
      <c r="J49" s="32">
        <f t="shared" si="28"/>
        <v>60952</v>
      </c>
      <c r="K49" s="169"/>
      <c r="L49" s="169"/>
      <c r="M49" s="169"/>
      <c r="N49" s="38">
        <v>0</v>
      </c>
      <c r="O49" s="38">
        <v>0</v>
      </c>
      <c r="P49" s="39">
        <v>6482</v>
      </c>
      <c r="Q49" s="39">
        <v>18192</v>
      </c>
      <c r="R49" s="39">
        <v>5945</v>
      </c>
      <c r="S49" s="52">
        <v>15220</v>
      </c>
      <c r="T49" s="52">
        <v>3941</v>
      </c>
      <c r="U49" s="52">
        <v>11968</v>
      </c>
      <c r="V49" s="39">
        <v>3610</v>
      </c>
      <c r="W49" s="52">
        <v>14912</v>
      </c>
      <c r="X49" s="52">
        <v>11068</v>
      </c>
      <c r="Y49" s="52">
        <v>22190</v>
      </c>
      <c r="Z49" s="52">
        <v>12291</v>
      </c>
      <c r="AA49" s="52">
        <v>32209</v>
      </c>
      <c r="AB49" s="52">
        <v>184518</v>
      </c>
      <c r="AC49" s="52">
        <v>226062</v>
      </c>
      <c r="AD49" s="52">
        <v>193524</v>
      </c>
      <c r="AE49" s="52">
        <v>240692</v>
      </c>
      <c r="AF49" s="52">
        <v>11839</v>
      </c>
      <c r="AG49" s="52">
        <v>34260</v>
      </c>
      <c r="AH49" s="52">
        <v>9038</v>
      </c>
      <c r="AI49" s="52">
        <v>29274</v>
      </c>
      <c r="AJ49" s="52">
        <v>8701</v>
      </c>
      <c r="AK49" s="52">
        <v>29874</v>
      </c>
      <c r="AL49" s="52">
        <v>9335</v>
      </c>
      <c r="AM49" s="52">
        <v>44956</v>
      </c>
      <c r="AN49" s="52">
        <v>21821</v>
      </c>
      <c r="AO49" s="52">
        <v>60952</v>
      </c>
    </row>
    <row r="50" spans="1:41" x14ac:dyDescent="0.2">
      <c r="A50" s="135" t="s">
        <v>98</v>
      </c>
      <c r="B50" s="31"/>
      <c r="C50" s="31"/>
      <c r="D50" s="32">
        <f t="shared" si="26"/>
        <v>0</v>
      </c>
      <c r="E50" s="32">
        <f t="shared" si="26"/>
        <v>0</v>
      </c>
      <c r="F50" s="32">
        <f t="shared" si="26"/>
        <v>52</v>
      </c>
      <c r="G50" s="32">
        <f t="shared" si="27"/>
        <v>0</v>
      </c>
      <c r="H50" s="32">
        <f t="shared" si="27"/>
        <v>0</v>
      </c>
      <c r="I50" s="32">
        <f t="shared" si="28"/>
        <v>0</v>
      </c>
      <c r="J50" s="32">
        <f t="shared" si="28"/>
        <v>0</v>
      </c>
      <c r="K50" s="169"/>
      <c r="L50" s="169"/>
      <c r="M50" s="169"/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52">
        <v>52</v>
      </c>
      <c r="Z50" s="38">
        <v>0</v>
      </c>
      <c r="AA50" s="38">
        <v>0</v>
      </c>
      <c r="AB50" s="38">
        <v>16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8">
        <v>0</v>
      </c>
      <c r="AK50" s="38">
        <v>0</v>
      </c>
      <c r="AL50" s="38">
        <v>0</v>
      </c>
      <c r="AM50" s="38">
        <v>0</v>
      </c>
      <c r="AN50" s="38">
        <v>0</v>
      </c>
      <c r="AO50" s="38">
        <v>0</v>
      </c>
    </row>
    <row r="51" spans="1:41" x14ac:dyDescent="0.2">
      <c r="A51" s="133" t="s">
        <v>99</v>
      </c>
      <c r="B51" s="31"/>
      <c r="C51" s="31"/>
      <c r="D51" s="32">
        <f t="shared" si="26"/>
        <v>4860</v>
      </c>
      <c r="E51" s="32">
        <f t="shared" si="26"/>
        <v>6407</v>
      </c>
      <c r="F51" s="32">
        <f t="shared" si="26"/>
        <v>3118</v>
      </c>
      <c r="G51" s="32">
        <f t="shared" si="27"/>
        <v>2599</v>
      </c>
      <c r="H51" s="32">
        <f t="shared" si="27"/>
        <v>2564</v>
      </c>
      <c r="I51" s="32">
        <f t="shared" si="28"/>
        <v>4340</v>
      </c>
      <c r="J51" s="32">
        <f t="shared" si="28"/>
        <v>2053</v>
      </c>
      <c r="K51" s="169"/>
      <c r="L51" s="169"/>
      <c r="M51" s="169"/>
      <c r="N51" s="39">
        <v>7287</v>
      </c>
      <c r="O51" s="52">
        <v>9437</v>
      </c>
      <c r="P51" s="39">
        <v>7302</v>
      </c>
      <c r="Q51" s="39">
        <v>4860</v>
      </c>
      <c r="R51" s="39">
        <v>10886</v>
      </c>
      <c r="S51" s="52">
        <v>6359</v>
      </c>
      <c r="T51" s="52">
        <v>3536</v>
      </c>
      <c r="U51" s="52">
        <v>6407</v>
      </c>
      <c r="V51" s="39">
        <v>5700</v>
      </c>
      <c r="W51" s="52">
        <v>5254</v>
      </c>
      <c r="X51" s="52">
        <v>3721</v>
      </c>
      <c r="Y51" s="52">
        <v>3118</v>
      </c>
      <c r="Z51" s="52">
        <v>1743</v>
      </c>
      <c r="AA51" s="52">
        <v>1184</v>
      </c>
      <c r="AB51" s="52">
        <v>2197</v>
      </c>
      <c r="AC51" s="52">
        <v>2599</v>
      </c>
      <c r="AD51" s="52">
        <v>2519</v>
      </c>
      <c r="AE51" s="52">
        <v>2172</v>
      </c>
      <c r="AF51" s="52">
        <v>2654</v>
      </c>
      <c r="AG51" s="52">
        <v>2564</v>
      </c>
      <c r="AH51" s="52">
        <v>2779</v>
      </c>
      <c r="AI51" s="52">
        <v>5000</v>
      </c>
      <c r="AJ51" s="52">
        <v>3855</v>
      </c>
      <c r="AK51" s="52">
        <v>4340</v>
      </c>
      <c r="AL51" s="52">
        <v>3160</v>
      </c>
      <c r="AM51" s="52">
        <v>4952</v>
      </c>
      <c r="AN51" s="52">
        <v>2043</v>
      </c>
      <c r="AO51" s="52">
        <v>2053</v>
      </c>
    </row>
    <row r="52" spans="1:41" x14ac:dyDescent="0.2">
      <c r="A52" s="133" t="s">
        <v>100</v>
      </c>
      <c r="B52" s="31"/>
      <c r="C52" s="31"/>
      <c r="D52" s="32">
        <f t="shared" si="26"/>
        <v>13808</v>
      </c>
      <c r="E52" s="32">
        <f t="shared" si="26"/>
        <v>12699</v>
      </c>
      <c r="F52" s="32">
        <f t="shared" si="26"/>
        <v>10564</v>
      </c>
      <c r="G52" s="32">
        <f t="shared" si="27"/>
        <v>11633</v>
      </c>
      <c r="H52" s="32">
        <f t="shared" si="27"/>
        <v>26510</v>
      </c>
      <c r="I52" s="32">
        <f t="shared" si="28"/>
        <v>25794</v>
      </c>
      <c r="J52" s="32">
        <f t="shared" si="28"/>
        <v>16366</v>
      </c>
      <c r="K52" s="169"/>
      <c r="L52" s="169"/>
      <c r="M52" s="169"/>
      <c r="N52" s="39">
        <v>11678</v>
      </c>
      <c r="O52" s="52">
        <v>13809</v>
      </c>
      <c r="P52" s="39">
        <v>23273</v>
      </c>
      <c r="Q52" s="39">
        <v>13808</v>
      </c>
      <c r="R52" s="39">
        <v>13742</v>
      </c>
      <c r="S52" s="52">
        <v>14960</v>
      </c>
      <c r="T52" s="52">
        <v>13475</v>
      </c>
      <c r="U52" s="52">
        <v>12699</v>
      </c>
      <c r="V52" s="39">
        <v>13429</v>
      </c>
      <c r="W52" s="52">
        <v>12736</v>
      </c>
      <c r="X52" s="52">
        <v>17621</v>
      </c>
      <c r="Y52" s="52">
        <v>10564</v>
      </c>
      <c r="Z52" s="52">
        <v>13876</v>
      </c>
      <c r="AA52" s="52">
        <v>12795</v>
      </c>
      <c r="AB52" s="52">
        <v>14151</v>
      </c>
      <c r="AC52" s="52">
        <v>11633</v>
      </c>
      <c r="AD52" s="52">
        <v>14939</v>
      </c>
      <c r="AE52" s="52">
        <v>21311</v>
      </c>
      <c r="AF52" s="52">
        <v>29826</v>
      </c>
      <c r="AG52" s="52">
        <v>26510</v>
      </c>
      <c r="AH52" s="52">
        <v>23767</v>
      </c>
      <c r="AI52" s="52">
        <v>18332</v>
      </c>
      <c r="AJ52" s="52">
        <v>17653</v>
      </c>
      <c r="AK52" s="52">
        <v>25794</v>
      </c>
      <c r="AL52" s="52">
        <v>19979</v>
      </c>
      <c r="AM52" s="52">
        <v>16658</v>
      </c>
      <c r="AN52" s="52">
        <v>20171</v>
      </c>
      <c r="AO52" s="52">
        <v>16366</v>
      </c>
    </row>
    <row r="53" spans="1:41" ht="16.5" customHeight="1" x14ac:dyDescent="0.2">
      <c r="A53" s="31"/>
      <c r="B53" s="30"/>
      <c r="C53" s="30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</row>
    <row r="54" spans="1:41" s="1" customFormat="1" x14ac:dyDescent="0.2">
      <c r="A54" s="138" t="s">
        <v>101</v>
      </c>
      <c r="B54" s="29"/>
      <c r="C54" s="29"/>
      <c r="D54" s="25">
        <f t="shared" ref="D54:F54" si="29">SUM(D55:D64)</f>
        <v>812549</v>
      </c>
      <c r="E54" s="25">
        <f t="shared" ref="E54" si="30">SUM(E55:E64)</f>
        <v>750601</v>
      </c>
      <c r="F54" s="25">
        <f t="shared" si="29"/>
        <v>1063253</v>
      </c>
      <c r="G54" s="25">
        <f t="shared" ref="G54:I54" si="31">SUM(G55:G64)</f>
        <v>1812793</v>
      </c>
      <c r="H54" s="25">
        <f t="shared" si="31"/>
        <v>1884525</v>
      </c>
      <c r="I54" s="25">
        <f t="shared" si="31"/>
        <v>1760866</v>
      </c>
      <c r="J54" s="25">
        <f t="shared" ref="J54" si="32">SUM(J55:J64)</f>
        <v>1994107</v>
      </c>
      <c r="K54" s="167"/>
      <c r="L54" s="167"/>
      <c r="M54" s="167"/>
      <c r="N54" s="168">
        <f t="shared" ref="N54:Z54" si="33">SUM(N55:N64)</f>
        <v>732313</v>
      </c>
      <c r="O54" s="168">
        <f t="shared" si="33"/>
        <v>671741</v>
      </c>
      <c r="P54" s="168">
        <f t="shared" si="33"/>
        <v>939840</v>
      </c>
      <c r="Q54" s="168">
        <f t="shared" si="33"/>
        <v>812549</v>
      </c>
      <c r="R54" s="168">
        <f t="shared" si="33"/>
        <v>800061</v>
      </c>
      <c r="S54" s="168">
        <f t="shared" si="33"/>
        <v>808263</v>
      </c>
      <c r="T54" s="168">
        <f t="shared" si="33"/>
        <v>774822</v>
      </c>
      <c r="U54" s="168">
        <f t="shared" si="33"/>
        <v>750601</v>
      </c>
      <c r="V54" s="168">
        <f t="shared" si="33"/>
        <v>822657</v>
      </c>
      <c r="W54" s="168">
        <f t="shared" si="33"/>
        <v>824673</v>
      </c>
      <c r="X54" s="168">
        <f t="shared" si="33"/>
        <v>805302</v>
      </c>
      <c r="Y54" s="168">
        <f t="shared" si="33"/>
        <v>1063253</v>
      </c>
      <c r="Z54" s="168">
        <f t="shared" si="33"/>
        <v>1062501</v>
      </c>
      <c r="AA54" s="168">
        <f t="shared" ref="AA54:AO54" si="34">SUM(AA55:AA64)</f>
        <v>1265611</v>
      </c>
      <c r="AB54" s="168">
        <f t="shared" si="34"/>
        <v>1099323</v>
      </c>
      <c r="AC54" s="168">
        <f t="shared" si="34"/>
        <v>1812793</v>
      </c>
      <c r="AD54" s="168">
        <f t="shared" si="34"/>
        <v>1893589</v>
      </c>
      <c r="AE54" s="168">
        <f t="shared" si="34"/>
        <v>1975305</v>
      </c>
      <c r="AF54" s="168">
        <f t="shared" si="34"/>
        <v>1887389</v>
      </c>
      <c r="AG54" s="168">
        <f t="shared" si="34"/>
        <v>1884525</v>
      </c>
      <c r="AH54" s="168">
        <f t="shared" si="34"/>
        <v>1849903</v>
      </c>
      <c r="AI54" s="168">
        <f t="shared" si="34"/>
        <v>1844340</v>
      </c>
      <c r="AJ54" s="168">
        <f t="shared" si="34"/>
        <v>1832106</v>
      </c>
      <c r="AK54" s="168">
        <f t="shared" si="34"/>
        <v>1760866</v>
      </c>
      <c r="AL54" s="168">
        <f t="shared" si="34"/>
        <v>1896925</v>
      </c>
      <c r="AM54" s="168">
        <f t="shared" si="34"/>
        <v>1942166</v>
      </c>
      <c r="AN54" s="168">
        <f t="shared" si="34"/>
        <v>1903466</v>
      </c>
      <c r="AO54" s="168">
        <f t="shared" si="34"/>
        <v>1994107</v>
      </c>
    </row>
    <row r="55" spans="1:41" x14ac:dyDescent="0.2">
      <c r="A55" s="133" t="s">
        <v>89</v>
      </c>
      <c r="B55" s="31"/>
      <c r="C55" s="31"/>
      <c r="D55" s="32">
        <f t="shared" ref="D55:F64" si="35">INDEX($N55:$AB55,MATCH(D$5,$N$7:$AB$7,0))</f>
        <v>78467</v>
      </c>
      <c r="E55" s="32">
        <f t="shared" si="35"/>
        <v>35912</v>
      </c>
      <c r="F55" s="32">
        <f t="shared" si="35"/>
        <v>236862</v>
      </c>
      <c r="G55" s="32">
        <f t="shared" ref="G55:H64" si="36">INDEX($N55:$AG55,MATCH(G$5,$N$7:$AG$7,0))</f>
        <v>412672</v>
      </c>
      <c r="H55" s="32">
        <f t="shared" si="36"/>
        <v>792126</v>
      </c>
      <c r="I55" s="32">
        <f>INDEX($N55:$AP55,MATCH(I$5,$N$7:$AP$7,0))</f>
        <v>715299</v>
      </c>
      <c r="J55" s="32">
        <f>INDEX($N55:$AP55,MATCH(J$5,$N$7:$AP$7,0))</f>
        <v>787967</v>
      </c>
      <c r="K55" s="169"/>
      <c r="L55" s="169"/>
      <c r="M55" s="169"/>
      <c r="N55" s="39">
        <v>480945</v>
      </c>
      <c r="O55" s="52">
        <v>418053</v>
      </c>
      <c r="P55" s="39">
        <v>156561</v>
      </c>
      <c r="Q55" s="39">
        <v>78467</v>
      </c>
      <c r="R55" s="39">
        <v>65077</v>
      </c>
      <c r="S55" s="52">
        <v>72154</v>
      </c>
      <c r="T55" s="52">
        <v>43203</v>
      </c>
      <c r="U55" s="52">
        <v>35912</v>
      </c>
      <c r="V55" s="39">
        <v>34559</v>
      </c>
      <c r="W55" s="52">
        <v>34574</v>
      </c>
      <c r="X55" s="52">
        <v>659</v>
      </c>
      <c r="Y55" s="52">
        <v>236862</v>
      </c>
      <c r="Z55" s="52">
        <v>236781</v>
      </c>
      <c r="AA55" s="52">
        <v>412803</v>
      </c>
      <c r="AB55" s="52">
        <v>412732</v>
      </c>
      <c r="AC55" s="52">
        <v>412672</v>
      </c>
      <c r="AD55" s="52">
        <v>484001</v>
      </c>
      <c r="AE55" s="52">
        <v>484000</v>
      </c>
      <c r="AF55" s="52">
        <v>786517</v>
      </c>
      <c r="AG55" s="52">
        <v>792126</v>
      </c>
      <c r="AH55" s="52">
        <v>752854</v>
      </c>
      <c r="AI55" s="52">
        <v>741577</v>
      </c>
      <c r="AJ55" s="52">
        <v>726577</v>
      </c>
      <c r="AK55" s="52">
        <v>715299</v>
      </c>
      <c r="AL55" s="52">
        <v>844435</v>
      </c>
      <c r="AM55" s="52">
        <v>841410</v>
      </c>
      <c r="AN55" s="52">
        <v>791036</v>
      </c>
      <c r="AO55" s="52">
        <v>787967</v>
      </c>
    </row>
    <row r="56" spans="1:41" x14ac:dyDescent="0.2">
      <c r="A56" s="133" t="s">
        <v>97</v>
      </c>
      <c r="B56" s="31"/>
      <c r="C56" s="31"/>
      <c r="D56" s="32">
        <f t="shared" si="35"/>
        <v>494335</v>
      </c>
      <c r="E56" s="32">
        <f t="shared" si="35"/>
        <v>496869</v>
      </c>
      <c r="F56" s="32">
        <f t="shared" si="35"/>
        <v>564127</v>
      </c>
      <c r="G56" s="32">
        <f t="shared" si="36"/>
        <v>1105908</v>
      </c>
      <c r="H56" s="32">
        <f t="shared" si="36"/>
        <v>778196</v>
      </c>
      <c r="I56" s="32">
        <f t="shared" ref="I56:J64" si="37">INDEX($N56:$AP56,MATCH(I$5,$N$7:$AP$7,0))</f>
        <v>785534</v>
      </c>
      <c r="J56" s="32">
        <f t="shared" si="37"/>
        <v>888178</v>
      </c>
      <c r="K56" s="169"/>
      <c r="L56" s="169"/>
      <c r="M56" s="169"/>
      <c r="N56" s="39">
        <v>0</v>
      </c>
      <c r="O56" s="39">
        <v>0</v>
      </c>
      <c r="P56" s="39">
        <v>495492</v>
      </c>
      <c r="Q56" s="39">
        <v>494335</v>
      </c>
      <c r="R56" s="39">
        <v>494932</v>
      </c>
      <c r="S56" s="52">
        <v>495585</v>
      </c>
      <c r="T56" s="52">
        <v>496163</v>
      </c>
      <c r="U56" s="52">
        <v>496869</v>
      </c>
      <c r="V56" s="39">
        <v>557111</v>
      </c>
      <c r="W56" s="52">
        <v>557846</v>
      </c>
      <c r="X56" s="52">
        <v>558609</v>
      </c>
      <c r="Y56" s="52">
        <v>564127</v>
      </c>
      <c r="Z56" s="52">
        <v>566631</v>
      </c>
      <c r="AA56" s="52">
        <v>569361</v>
      </c>
      <c r="AB56" s="52">
        <v>401033</v>
      </c>
      <c r="AC56" s="52">
        <v>1105908</v>
      </c>
      <c r="AD56" s="52">
        <v>1108734</v>
      </c>
      <c r="AE56" s="52">
        <v>1110881</v>
      </c>
      <c r="AF56" s="52">
        <v>776700</v>
      </c>
      <c r="AG56" s="52">
        <v>778196</v>
      </c>
      <c r="AH56" s="52">
        <v>780287</v>
      </c>
      <c r="AI56" s="52">
        <v>781977</v>
      </c>
      <c r="AJ56" s="52">
        <v>783436</v>
      </c>
      <c r="AK56" s="52">
        <v>785534</v>
      </c>
      <c r="AL56" s="52">
        <v>788072</v>
      </c>
      <c r="AM56" s="52">
        <v>780298</v>
      </c>
      <c r="AN56" s="52">
        <v>781818</v>
      </c>
      <c r="AO56" s="52">
        <v>888178</v>
      </c>
    </row>
    <row r="57" spans="1:41" x14ac:dyDescent="0.25">
      <c r="A57" s="134" t="s">
        <v>102</v>
      </c>
      <c r="B57" s="31"/>
      <c r="C57" s="31"/>
      <c r="D57" s="32">
        <f t="shared" si="35"/>
        <v>0</v>
      </c>
      <c r="E57" s="32">
        <f t="shared" si="35"/>
        <v>0</v>
      </c>
      <c r="F57" s="32">
        <f t="shared" si="35"/>
        <v>367</v>
      </c>
      <c r="G57" s="32">
        <f t="shared" si="36"/>
        <v>0</v>
      </c>
      <c r="H57" s="32">
        <f t="shared" si="36"/>
        <v>0</v>
      </c>
      <c r="I57" s="32">
        <f t="shared" si="37"/>
        <v>0</v>
      </c>
      <c r="J57" s="32">
        <f t="shared" si="37"/>
        <v>0</v>
      </c>
      <c r="K57" s="169"/>
      <c r="L57" s="169"/>
      <c r="M57" s="169"/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367</v>
      </c>
      <c r="Z57" s="39">
        <v>0</v>
      </c>
      <c r="AA57" s="39">
        <v>0</v>
      </c>
      <c r="AB57" s="39">
        <v>110</v>
      </c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</row>
    <row r="58" spans="1:41" x14ac:dyDescent="0.2">
      <c r="A58" s="133" t="s">
        <v>90</v>
      </c>
      <c r="B58" s="31"/>
      <c r="C58" s="31"/>
      <c r="D58" s="32">
        <f t="shared" si="35"/>
        <v>19509</v>
      </c>
      <c r="E58" s="32">
        <f t="shared" si="35"/>
        <v>17129</v>
      </c>
      <c r="F58" s="32">
        <f t="shared" si="35"/>
        <v>16116</v>
      </c>
      <c r="G58" s="32">
        <f t="shared" si="36"/>
        <v>13662</v>
      </c>
      <c r="H58" s="32">
        <f t="shared" si="36"/>
        <v>15187</v>
      </c>
      <c r="I58" s="32">
        <f t="shared" si="37"/>
        <v>9471</v>
      </c>
      <c r="J58" s="32">
        <f t="shared" si="37"/>
        <v>46687</v>
      </c>
      <c r="K58" s="169"/>
      <c r="L58" s="169"/>
      <c r="M58" s="169"/>
      <c r="N58" s="39">
        <v>21181</v>
      </c>
      <c r="O58" s="39">
        <v>20568</v>
      </c>
      <c r="P58" s="39">
        <v>20961</v>
      </c>
      <c r="Q58" s="39">
        <v>19509</v>
      </c>
      <c r="R58" s="39">
        <v>21884</v>
      </c>
      <c r="S58" s="52">
        <v>21884</v>
      </c>
      <c r="T58" s="52">
        <v>19285</v>
      </c>
      <c r="U58" s="52">
        <v>17129</v>
      </c>
      <c r="V58" s="39">
        <v>20248</v>
      </c>
      <c r="W58" s="52">
        <v>19689</v>
      </c>
      <c r="X58" s="52">
        <v>18820</v>
      </c>
      <c r="Y58" s="52">
        <v>16116</v>
      </c>
      <c r="Z58" s="52">
        <v>21403</v>
      </c>
      <c r="AA58" s="52">
        <v>19078</v>
      </c>
      <c r="AB58" s="52">
        <v>17857</v>
      </c>
      <c r="AC58" s="52">
        <v>13662</v>
      </c>
      <c r="AD58" s="52">
        <v>17709</v>
      </c>
      <c r="AE58" s="52">
        <v>18643</v>
      </c>
      <c r="AF58" s="52">
        <v>17415</v>
      </c>
      <c r="AG58" s="52">
        <v>15187</v>
      </c>
      <c r="AH58" s="52">
        <v>15258</v>
      </c>
      <c r="AI58" s="52">
        <v>12968</v>
      </c>
      <c r="AJ58" s="52">
        <v>11347</v>
      </c>
      <c r="AK58" s="52">
        <v>9471</v>
      </c>
      <c r="AL58" s="52">
        <v>10325</v>
      </c>
      <c r="AM58" s="52">
        <v>44939</v>
      </c>
      <c r="AN58" s="52">
        <v>49143</v>
      </c>
      <c r="AO58" s="52">
        <v>46687</v>
      </c>
    </row>
    <row r="59" spans="1:41" x14ac:dyDescent="0.2">
      <c r="A59" s="133" t="s">
        <v>103</v>
      </c>
      <c r="B59" s="31"/>
      <c r="C59" s="31"/>
      <c r="D59" s="32">
        <f t="shared" si="35"/>
        <v>0</v>
      </c>
      <c r="E59" s="32">
        <f t="shared" si="35"/>
        <v>0</v>
      </c>
      <c r="F59" s="32">
        <f t="shared" si="35"/>
        <v>12509</v>
      </c>
      <c r="G59" s="32">
        <f t="shared" si="36"/>
        <v>14549</v>
      </c>
      <c r="H59" s="32">
        <f t="shared" si="36"/>
        <v>19902</v>
      </c>
      <c r="I59" s="32">
        <f t="shared" si="37"/>
        <v>28311</v>
      </c>
      <c r="J59" s="32">
        <f t="shared" si="37"/>
        <v>19991</v>
      </c>
      <c r="K59" s="169"/>
      <c r="L59" s="169"/>
      <c r="M59" s="169"/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12509</v>
      </c>
      <c r="Z59" s="39">
        <v>9262</v>
      </c>
      <c r="AA59" s="39">
        <v>20476</v>
      </c>
      <c r="AB59" s="39">
        <v>14289</v>
      </c>
      <c r="AC59" s="39">
        <v>14549</v>
      </c>
      <c r="AD59" s="39">
        <v>7891</v>
      </c>
      <c r="AE59" s="39">
        <v>12009</v>
      </c>
      <c r="AF59" s="39">
        <v>16127</v>
      </c>
      <c r="AG59" s="39">
        <v>19902</v>
      </c>
      <c r="AH59" s="39">
        <v>13075</v>
      </c>
      <c r="AI59" s="39">
        <v>17362</v>
      </c>
      <c r="AJ59" s="39">
        <v>21649</v>
      </c>
      <c r="AK59" s="39">
        <v>28311</v>
      </c>
      <c r="AL59" s="39">
        <v>21329</v>
      </c>
      <c r="AM59" s="39">
        <v>25948</v>
      </c>
      <c r="AN59" s="39">
        <v>30567</v>
      </c>
      <c r="AO59" s="39">
        <v>19991</v>
      </c>
    </row>
    <row r="60" spans="1:41" x14ac:dyDescent="0.2">
      <c r="A60" s="136" t="s">
        <v>104</v>
      </c>
      <c r="B60" s="37"/>
      <c r="C60" s="37"/>
      <c r="D60" s="32">
        <f t="shared" si="35"/>
        <v>24680</v>
      </c>
      <c r="E60" s="32">
        <f t="shared" si="35"/>
        <v>18040</v>
      </c>
      <c r="F60" s="32">
        <f t="shared" si="35"/>
        <v>19813</v>
      </c>
      <c r="G60" s="32">
        <f t="shared" si="36"/>
        <v>28095</v>
      </c>
      <c r="H60" s="32">
        <f t="shared" si="36"/>
        <v>24689</v>
      </c>
      <c r="I60" s="32">
        <f t="shared" si="37"/>
        <v>25562</v>
      </c>
      <c r="J60" s="32">
        <f t="shared" si="37"/>
        <v>28431</v>
      </c>
      <c r="K60" s="174"/>
      <c r="L60" s="174"/>
      <c r="M60" s="174"/>
      <c r="N60" s="175">
        <v>22267</v>
      </c>
      <c r="O60" s="39">
        <v>22183</v>
      </c>
      <c r="P60" s="175">
        <v>27334</v>
      </c>
      <c r="Q60" s="175">
        <v>24680</v>
      </c>
      <c r="R60" s="175">
        <v>19913</v>
      </c>
      <c r="S60" s="176">
        <v>20701</v>
      </c>
      <c r="T60" s="176">
        <v>21152</v>
      </c>
      <c r="U60" s="176">
        <v>18040</v>
      </c>
      <c r="V60" s="175">
        <v>18947</v>
      </c>
      <c r="W60" s="176">
        <v>18679</v>
      </c>
      <c r="X60" s="176">
        <v>19589</v>
      </c>
      <c r="Y60" s="176">
        <v>19813</v>
      </c>
      <c r="Z60" s="176">
        <v>20771</v>
      </c>
      <c r="AA60" s="176">
        <v>20982</v>
      </c>
      <c r="AB60" s="176">
        <v>21463</v>
      </c>
      <c r="AC60" s="176">
        <v>28095</v>
      </c>
      <c r="AD60" s="176">
        <v>21974</v>
      </c>
      <c r="AE60" s="176">
        <v>23053</v>
      </c>
      <c r="AF60" s="176">
        <v>22552</v>
      </c>
      <c r="AG60" s="176">
        <v>24689</v>
      </c>
      <c r="AH60" s="176">
        <v>24929</v>
      </c>
      <c r="AI60" s="176">
        <v>24295</v>
      </c>
      <c r="AJ60" s="176">
        <v>24353</v>
      </c>
      <c r="AK60" s="176">
        <v>25562</v>
      </c>
      <c r="AL60" s="176">
        <v>25686</v>
      </c>
      <c r="AM60" s="176">
        <v>28984</v>
      </c>
      <c r="AN60" s="176">
        <v>28536</v>
      </c>
      <c r="AO60" s="176">
        <v>28431</v>
      </c>
    </row>
    <row r="61" spans="1:41" x14ac:dyDescent="0.2">
      <c r="A61" s="133" t="s">
        <v>96</v>
      </c>
      <c r="B61" s="31"/>
      <c r="C61" s="31"/>
      <c r="D61" s="32">
        <f t="shared" si="35"/>
        <v>17159</v>
      </c>
      <c r="E61" s="32">
        <f t="shared" si="35"/>
        <v>16039</v>
      </c>
      <c r="F61" s="32">
        <f t="shared" si="35"/>
        <v>7662</v>
      </c>
      <c r="G61" s="32">
        <f t="shared" si="36"/>
        <v>2511</v>
      </c>
      <c r="H61" s="32">
        <f t="shared" si="36"/>
        <v>3316</v>
      </c>
      <c r="I61" s="32">
        <f t="shared" si="37"/>
        <v>543</v>
      </c>
      <c r="J61" s="32">
        <f t="shared" si="37"/>
        <v>1524</v>
      </c>
      <c r="K61" s="169"/>
      <c r="L61" s="169"/>
      <c r="M61" s="169"/>
      <c r="N61" s="175">
        <v>21408</v>
      </c>
      <c r="O61" s="39">
        <v>20049</v>
      </c>
      <c r="P61" s="39">
        <v>18642</v>
      </c>
      <c r="Q61" s="39">
        <v>17159</v>
      </c>
      <c r="R61" s="175">
        <v>19539</v>
      </c>
      <c r="S61" s="176">
        <v>20209</v>
      </c>
      <c r="T61" s="176">
        <v>19391</v>
      </c>
      <c r="U61" s="176">
        <v>16039</v>
      </c>
      <c r="V61" s="175">
        <v>14001</v>
      </c>
      <c r="W61" s="176">
        <v>11886</v>
      </c>
      <c r="X61" s="176">
        <v>9781</v>
      </c>
      <c r="Y61" s="176">
        <v>7662</v>
      </c>
      <c r="Z61" s="176">
        <v>5523</v>
      </c>
      <c r="AA61" s="176">
        <v>3302</v>
      </c>
      <c r="AB61" s="176">
        <v>2921</v>
      </c>
      <c r="AC61" s="176">
        <v>2511</v>
      </c>
      <c r="AD61" s="176">
        <v>4195</v>
      </c>
      <c r="AE61" s="176">
        <v>3432</v>
      </c>
      <c r="AF61" s="176">
        <v>2718</v>
      </c>
      <c r="AG61" s="176">
        <v>3316</v>
      </c>
      <c r="AH61" s="176">
        <v>1454</v>
      </c>
      <c r="AI61" s="176">
        <v>1059</v>
      </c>
      <c r="AJ61" s="176">
        <v>797</v>
      </c>
      <c r="AK61" s="176">
        <v>543</v>
      </c>
      <c r="AL61" s="176">
        <v>278</v>
      </c>
      <c r="AM61" s="176">
        <v>1633</v>
      </c>
      <c r="AN61" s="176">
        <v>1582</v>
      </c>
      <c r="AO61" s="176">
        <v>1524</v>
      </c>
    </row>
    <row r="62" spans="1:41" x14ac:dyDescent="0.2">
      <c r="A62" s="135" t="s">
        <v>93</v>
      </c>
      <c r="B62" s="31"/>
      <c r="C62" s="31"/>
      <c r="D62" s="32">
        <f t="shared" si="35"/>
        <v>8087</v>
      </c>
      <c r="E62" s="32">
        <f t="shared" si="35"/>
        <v>3442</v>
      </c>
      <c r="F62" s="32">
        <f t="shared" si="35"/>
        <v>205</v>
      </c>
      <c r="G62" s="32">
        <f t="shared" si="36"/>
        <v>0</v>
      </c>
      <c r="H62" s="32">
        <f t="shared" si="36"/>
        <v>229</v>
      </c>
      <c r="I62" s="32">
        <f t="shared" si="37"/>
        <v>256</v>
      </c>
      <c r="J62" s="32">
        <f t="shared" si="37"/>
        <v>282</v>
      </c>
      <c r="K62" s="169"/>
      <c r="L62" s="169"/>
      <c r="M62" s="169"/>
      <c r="N62" s="39">
        <v>10109</v>
      </c>
      <c r="O62" s="52">
        <v>9291</v>
      </c>
      <c r="P62" s="39">
        <v>8633</v>
      </c>
      <c r="Q62" s="39">
        <v>8087</v>
      </c>
      <c r="R62" s="39">
        <v>7325</v>
      </c>
      <c r="S62" s="52">
        <v>5885</v>
      </c>
      <c r="T62" s="52">
        <v>4529</v>
      </c>
      <c r="U62" s="52">
        <v>3442</v>
      </c>
      <c r="V62" s="39">
        <v>2060</v>
      </c>
      <c r="W62" s="52">
        <v>1875</v>
      </c>
      <c r="X62" s="52">
        <v>835</v>
      </c>
      <c r="Y62" s="52">
        <v>205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366</v>
      </c>
      <c r="AG62" s="38">
        <v>229</v>
      </c>
      <c r="AH62" s="38">
        <v>244</v>
      </c>
      <c r="AI62" s="38">
        <v>253</v>
      </c>
      <c r="AJ62" s="38">
        <v>256</v>
      </c>
      <c r="AK62" s="38">
        <v>256</v>
      </c>
      <c r="AL62" s="38">
        <v>255</v>
      </c>
      <c r="AM62" s="38">
        <v>260</v>
      </c>
      <c r="AN62" s="38">
        <v>271</v>
      </c>
      <c r="AO62" s="38">
        <v>282</v>
      </c>
    </row>
    <row r="63" spans="1:41" x14ac:dyDescent="0.2">
      <c r="A63" s="135" t="s">
        <v>100</v>
      </c>
      <c r="B63" s="31"/>
      <c r="C63" s="31"/>
      <c r="D63" s="32">
        <f t="shared" si="35"/>
        <v>59</v>
      </c>
      <c r="E63" s="32">
        <f t="shared" si="35"/>
        <v>59</v>
      </c>
      <c r="F63" s="32">
        <f t="shared" si="35"/>
        <v>59</v>
      </c>
      <c r="G63" s="32">
        <f t="shared" si="36"/>
        <v>59</v>
      </c>
      <c r="H63" s="32">
        <f t="shared" si="36"/>
        <v>4643</v>
      </c>
      <c r="I63" s="32">
        <f t="shared" si="37"/>
        <v>5206</v>
      </c>
      <c r="J63" s="32">
        <f t="shared" si="37"/>
        <v>1022</v>
      </c>
      <c r="K63" s="169"/>
      <c r="L63" s="169"/>
      <c r="M63" s="169"/>
      <c r="N63" s="39">
        <v>515</v>
      </c>
      <c r="O63" s="52">
        <v>591</v>
      </c>
      <c r="P63" s="39">
        <v>673</v>
      </c>
      <c r="Q63" s="38">
        <v>59</v>
      </c>
      <c r="R63" s="39">
        <v>59</v>
      </c>
      <c r="S63" s="52">
        <v>59</v>
      </c>
      <c r="T63" s="52">
        <v>59</v>
      </c>
      <c r="U63" s="52">
        <v>59</v>
      </c>
      <c r="V63" s="39">
        <v>59</v>
      </c>
      <c r="W63" s="52">
        <v>59</v>
      </c>
      <c r="X63" s="52">
        <v>59</v>
      </c>
      <c r="Y63" s="52">
        <v>59</v>
      </c>
      <c r="Z63" s="52">
        <v>492</v>
      </c>
      <c r="AA63" s="52">
        <v>492</v>
      </c>
      <c r="AB63" s="52">
        <v>492</v>
      </c>
      <c r="AC63" s="52">
        <v>59</v>
      </c>
      <c r="AD63" s="52">
        <v>59</v>
      </c>
      <c r="AE63" s="52">
        <v>9331</v>
      </c>
      <c r="AF63" s="52">
        <v>2613</v>
      </c>
      <c r="AG63" s="52">
        <v>4643</v>
      </c>
      <c r="AH63" s="52">
        <v>3061</v>
      </c>
      <c r="AI63" s="52">
        <v>1589</v>
      </c>
      <c r="AJ63" s="52">
        <v>0</v>
      </c>
      <c r="AK63" s="52">
        <v>5206</v>
      </c>
      <c r="AL63" s="52">
        <v>5385</v>
      </c>
      <c r="AM63" s="52">
        <v>5429</v>
      </c>
      <c r="AN63" s="52">
        <v>1972</v>
      </c>
      <c r="AO63" s="52">
        <v>1022</v>
      </c>
    </row>
    <row r="64" spans="1:41" x14ac:dyDescent="0.2">
      <c r="A64" s="135" t="s">
        <v>105</v>
      </c>
      <c r="B64" s="31"/>
      <c r="C64" s="31"/>
      <c r="D64" s="32">
        <f t="shared" si="35"/>
        <v>170253</v>
      </c>
      <c r="E64" s="32">
        <f t="shared" si="35"/>
        <v>163111</v>
      </c>
      <c r="F64" s="32">
        <f t="shared" si="35"/>
        <v>205533</v>
      </c>
      <c r="G64" s="32">
        <f t="shared" si="36"/>
        <v>235337</v>
      </c>
      <c r="H64" s="32">
        <f t="shared" si="36"/>
        <v>246237</v>
      </c>
      <c r="I64" s="32">
        <f t="shared" si="37"/>
        <v>190684</v>
      </c>
      <c r="J64" s="32">
        <f t="shared" si="37"/>
        <v>220025</v>
      </c>
      <c r="K64" s="169"/>
      <c r="L64" s="169"/>
      <c r="M64" s="169"/>
      <c r="N64" s="39">
        <v>175888</v>
      </c>
      <c r="O64" s="52">
        <v>181006</v>
      </c>
      <c r="P64" s="39">
        <v>211544</v>
      </c>
      <c r="Q64" s="39">
        <v>170253</v>
      </c>
      <c r="R64" s="39">
        <v>171332</v>
      </c>
      <c r="S64" s="52">
        <v>171786</v>
      </c>
      <c r="T64" s="52">
        <v>171040</v>
      </c>
      <c r="U64" s="52">
        <v>163111</v>
      </c>
      <c r="V64" s="39">
        <v>175672</v>
      </c>
      <c r="W64" s="52">
        <v>180065</v>
      </c>
      <c r="X64" s="52">
        <v>196950</v>
      </c>
      <c r="Y64" s="52">
        <v>205533</v>
      </c>
      <c r="Z64" s="52">
        <v>201638</v>
      </c>
      <c r="AA64" s="52">
        <v>219117</v>
      </c>
      <c r="AB64" s="52">
        <v>228426</v>
      </c>
      <c r="AC64" s="52">
        <v>235337</v>
      </c>
      <c r="AD64" s="52">
        <v>249026</v>
      </c>
      <c r="AE64" s="52">
        <v>313956</v>
      </c>
      <c r="AF64" s="52">
        <v>262381</v>
      </c>
      <c r="AG64" s="52">
        <v>246237</v>
      </c>
      <c r="AH64" s="52">
        <v>258741</v>
      </c>
      <c r="AI64" s="52">
        <v>263260</v>
      </c>
      <c r="AJ64" s="52">
        <v>263691</v>
      </c>
      <c r="AK64" s="52">
        <v>190684</v>
      </c>
      <c r="AL64" s="52">
        <v>201160</v>
      </c>
      <c r="AM64" s="52">
        <v>213265</v>
      </c>
      <c r="AN64" s="52">
        <v>218541</v>
      </c>
      <c r="AO64" s="52">
        <v>220025</v>
      </c>
    </row>
    <row r="65" spans="1:41" ht="9.75" customHeight="1" x14ac:dyDescent="0.2">
      <c r="A65" s="31"/>
      <c r="B65" s="30"/>
      <c r="C65" s="30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69"/>
      <c r="P65" s="173"/>
      <c r="Q65" s="173"/>
      <c r="R65" s="173"/>
      <c r="S65" s="64"/>
      <c r="T65" s="64"/>
      <c r="U65" s="64"/>
      <c r="V65" s="173"/>
      <c r="W65" s="64"/>
      <c r="X65" s="64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</row>
    <row r="66" spans="1:41" s="1" customFormat="1" x14ac:dyDescent="0.2">
      <c r="A66" s="138" t="s">
        <v>106</v>
      </c>
      <c r="B66" s="35"/>
      <c r="C66" s="35"/>
      <c r="D66" s="168">
        <f t="shared" ref="D66:G66" si="38">SUM(D67:D73)</f>
        <v>336491</v>
      </c>
      <c r="E66" s="168">
        <f>SUM(E67:E73)</f>
        <v>786160</v>
      </c>
      <c r="F66" s="168">
        <f t="shared" si="38"/>
        <v>957438</v>
      </c>
      <c r="G66" s="168">
        <f t="shared" si="38"/>
        <v>1125085</v>
      </c>
      <c r="H66" s="168">
        <f t="shared" ref="H66:I66" si="39">SUM(H67:H73)</f>
        <v>1279704</v>
      </c>
      <c r="I66" s="168">
        <f t="shared" si="39"/>
        <v>1366538</v>
      </c>
      <c r="J66" s="168">
        <f t="shared" ref="J66" si="40">SUM(J67:J73)</f>
        <v>1451934</v>
      </c>
      <c r="K66" s="170"/>
      <c r="L66" s="170"/>
      <c r="M66" s="170"/>
      <c r="N66" s="168">
        <f>SUM(N67:N73)</f>
        <v>309694</v>
      </c>
      <c r="O66" s="168">
        <f t="shared" ref="O66:AO66" si="41">SUM(O67:O73)</f>
        <v>305007</v>
      </c>
      <c r="P66" s="168">
        <f t="shared" si="41"/>
        <v>299199</v>
      </c>
      <c r="Q66" s="168">
        <f t="shared" si="41"/>
        <v>336491</v>
      </c>
      <c r="R66" s="168">
        <f t="shared" si="41"/>
        <v>354479</v>
      </c>
      <c r="S66" s="168">
        <f t="shared" si="41"/>
        <v>369777</v>
      </c>
      <c r="T66" s="168">
        <f t="shared" si="41"/>
        <v>768480</v>
      </c>
      <c r="U66" s="168">
        <f t="shared" si="41"/>
        <v>786160</v>
      </c>
      <c r="V66" s="168">
        <f t="shared" si="41"/>
        <v>842855</v>
      </c>
      <c r="W66" s="168">
        <f t="shared" si="41"/>
        <v>873086</v>
      </c>
      <c r="X66" s="168">
        <f t="shared" si="41"/>
        <v>954241</v>
      </c>
      <c r="Y66" s="168">
        <f t="shared" si="41"/>
        <v>957438</v>
      </c>
      <c r="Z66" s="168">
        <f t="shared" si="41"/>
        <v>1057362</v>
      </c>
      <c r="AA66" s="168">
        <f t="shared" si="41"/>
        <v>1032489</v>
      </c>
      <c r="AB66" s="168">
        <f t="shared" si="41"/>
        <v>1088410</v>
      </c>
      <c r="AC66" s="168">
        <f t="shared" si="41"/>
        <v>1125085</v>
      </c>
      <c r="AD66" s="168">
        <f t="shared" si="41"/>
        <v>1184218</v>
      </c>
      <c r="AE66" s="168">
        <f t="shared" si="41"/>
        <v>1281236</v>
      </c>
      <c r="AF66" s="168">
        <f t="shared" si="41"/>
        <v>1290936</v>
      </c>
      <c r="AG66" s="168">
        <f t="shared" si="41"/>
        <v>1279704</v>
      </c>
      <c r="AH66" s="168">
        <f t="shared" si="41"/>
        <v>1320343</v>
      </c>
      <c r="AI66" s="168">
        <f t="shared" si="41"/>
        <v>1251320</v>
      </c>
      <c r="AJ66" s="168">
        <f t="shared" si="41"/>
        <v>1252342</v>
      </c>
      <c r="AK66" s="168">
        <f t="shared" si="41"/>
        <v>1366538</v>
      </c>
      <c r="AL66" s="168">
        <f t="shared" si="41"/>
        <v>1412247</v>
      </c>
      <c r="AM66" s="168">
        <f t="shared" si="41"/>
        <v>1422134</v>
      </c>
      <c r="AN66" s="168">
        <f t="shared" si="41"/>
        <v>1433843</v>
      </c>
      <c r="AO66" s="168">
        <f t="shared" si="41"/>
        <v>1451934</v>
      </c>
    </row>
    <row r="67" spans="1:41" x14ac:dyDescent="0.2">
      <c r="A67" s="133" t="s">
        <v>107</v>
      </c>
      <c r="B67" s="31"/>
      <c r="C67" s="31"/>
      <c r="D67" s="32">
        <f t="shared" ref="D67:F73" si="42">INDEX($N67:$AB67,MATCH(D$5,$N$7:$AB$7,0))</f>
        <v>161895</v>
      </c>
      <c r="E67" s="32">
        <f t="shared" si="42"/>
        <v>543934</v>
      </c>
      <c r="F67" s="32">
        <f t="shared" si="42"/>
        <v>543934</v>
      </c>
      <c r="G67" s="32">
        <f t="shared" ref="G67:H73" si="43">INDEX($N67:$AG67,MATCH(G$5,$N$7:$AG$7,0))</f>
        <v>543934</v>
      </c>
      <c r="H67" s="32">
        <f t="shared" si="43"/>
        <v>543934</v>
      </c>
      <c r="I67" s="32">
        <f>INDEX($N67:$AP67,MATCH(I$5,$N$7:$AP$7,0))</f>
        <v>543934</v>
      </c>
      <c r="J67" s="32">
        <f>INDEX($N67:$AP67,MATCH(J$5,$N$7:$AP$7,0))</f>
        <v>623934</v>
      </c>
      <c r="K67" s="169"/>
      <c r="L67" s="169"/>
      <c r="M67" s="169"/>
      <c r="N67" s="39">
        <v>161895</v>
      </c>
      <c r="O67" s="52">
        <v>161895</v>
      </c>
      <c r="P67" s="39">
        <v>161895</v>
      </c>
      <c r="Q67" s="39">
        <v>161895</v>
      </c>
      <c r="R67" s="39">
        <v>161895</v>
      </c>
      <c r="S67" s="52">
        <v>161895</v>
      </c>
      <c r="T67" s="52">
        <v>543934</v>
      </c>
      <c r="U67" s="52">
        <v>543934</v>
      </c>
      <c r="V67" s="39">
        <v>543934</v>
      </c>
      <c r="W67" s="52">
        <v>543934</v>
      </c>
      <c r="X67" s="52">
        <v>543934</v>
      </c>
      <c r="Y67" s="52">
        <v>543934</v>
      </c>
      <c r="Z67" s="52">
        <v>543934</v>
      </c>
      <c r="AA67" s="52">
        <v>543934</v>
      </c>
      <c r="AB67" s="52">
        <v>543934</v>
      </c>
      <c r="AC67" s="52">
        <v>543934</v>
      </c>
      <c r="AD67" s="52">
        <v>543934</v>
      </c>
      <c r="AE67" s="52">
        <v>543934</v>
      </c>
      <c r="AF67" s="52">
        <v>543934</v>
      </c>
      <c r="AG67" s="52">
        <v>543934</v>
      </c>
      <c r="AH67" s="52">
        <v>543934</v>
      </c>
      <c r="AI67" s="52">
        <v>543934</v>
      </c>
      <c r="AJ67" s="52">
        <v>543934</v>
      </c>
      <c r="AK67" s="52">
        <v>543934</v>
      </c>
      <c r="AL67" s="52">
        <v>543934</v>
      </c>
      <c r="AM67" s="52">
        <v>623934</v>
      </c>
      <c r="AN67" s="52">
        <v>623934</v>
      </c>
      <c r="AO67" s="52">
        <v>623934</v>
      </c>
    </row>
    <row r="68" spans="1:41" x14ac:dyDescent="0.2">
      <c r="A68" s="133" t="s">
        <v>108</v>
      </c>
      <c r="B68" s="34"/>
      <c r="C68" s="34"/>
      <c r="D68" s="32">
        <f t="shared" si="42"/>
        <v>11918</v>
      </c>
      <c r="E68" s="32">
        <f t="shared" si="42"/>
        <v>86501</v>
      </c>
      <c r="F68" s="32">
        <f t="shared" si="42"/>
        <v>292131</v>
      </c>
      <c r="G68" s="32">
        <f t="shared" si="43"/>
        <v>454968</v>
      </c>
      <c r="H68" s="32">
        <f t="shared" si="43"/>
        <v>660614</v>
      </c>
      <c r="I68" s="32">
        <f t="shared" ref="I68:J73" si="44">INDEX($N68:$AP68,MATCH(I$5,$N$7:$AP$7,0))</f>
        <v>751945</v>
      </c>
      <c r="J68" s="32">
        <f t="shared" si="44"/>
        <v>717121</v>
      </c>
      <c r="K68" s="169"/>
      <c r="L68" s="169"/>
      <c r="M68" s="169"/>
      <c r="N68" s="39">
        <v>63272</v>
      </c>
      <c r="O68" s="52">
        <v>52738</v>
      </c>
      <c r="P68" s="38">
        <v>-3867</v>
      </c>
      <c r="Q68" s="38">
        <v>11918</v>
      </c>
      <c r="R68" s="39">
        <v>32141</v>
      </c>
      <c r="S68" s="52">
        <v>49676</v>
      </c>
      <c r="T68" s="52">
        <v>68577</v>
      </c>
      <c r="U68" s="52">
        <v>86501</v>
      </c>
      <c r="V68" s="39">
        <v>145439</v>
      </c>
      <c r="W68" s="52">
        <v>177906</v>
      </c>
      <c r="X68" s="52">
        <v>59540</v>
      </c>
      <c r="Y68" s="52">
        <v>292131</v>
      </c>
      <c r="Z68" s="52">
        <v>406516</v>
      </c>
      <c r="AA68" s="52">
        <v>218884</v>
      </c>
      <c r="AB68" s="52">
        <v>157375</v>
      </c>
      <c r="AC68" s="52">
        <v>454968</v>
      </c>
      <c r="AD68" s="52">
        <v>454510</v>
      </c>
      <c r="AE68" s="52">
        <v>361112</v>
      </c>
      <c r="AF68" s="52">
        <v>360768</v>
      </c>
      <c r="AG68" s="52">
        <v>660614</v>
      </c>
      <c r="AH68" s="52">
        <v>606556</v>
      </c>
      <c r="AI68" s="52">
        <v>512431</v>
      </c>
      <c r="AJ68" s="52">
        <v>512085</v>
      </c>
      <c r="AK68" s="52">
        <v>751945</v>
      </c>
      <c r="AL68" s="52">
        <v>751945</v>
      </c>
      <c r="AM68" s="52">
        <v>597067</v>
      </c>
      <c r="AN68" s="52">
        <v>525848</v>
      </c>
      <c r="AO68" s="52">
        <v>717121</v>
      </c>
    </row>
    <row r="69" spans="1:41" x14ac:dyDescent="0.2">
      <c r="A69" s="137" t="s">
        <v>109</v>
      </c>
      <c r="B69" s="34"/>
      <c r="C69" s="34"/>
      <c r="D69" s="32">
        <f t="shared" si="42"/>
        <v>960</v>
      </c>
      <c r="E69" s="32">
        <f t="shared" si="42"/>
        <v>960</v>
      </c>
      <c r="F69" s="32">
        <f t="shared" si="42"/>
        <v>960</v>
      </c>
      <c r="G69" s="32">
        <f t="shared" si="43"/>
        <v>960</v>
      </c>
      <c r="H69" s="32">
        <f t="shared" si="43"/>
        <v>960</v>
      </c>
      <c r="I69" s="32">
        <f t="shared" si="44"/>
        <v>960</v>
      </c>
      <c r="J69" s="32">
        <f t="shared" si="44"/>
        <v>960</v>
      </c>
      <c r="K69" s="169"/>
      <c r="L69" s="169"/>
      <c r="M69" s="169"/>
      <c r="N69" s="39">
        <v>960</v>
      </c>
      <c r="O69" s="52">
        <v>960</v>
      </c>
      <c r="P69" s="38">
        <v>960</v>
      </c>
      <c r="Q69" s="38">
        <v>960</v>
      </c>
      <c r="R69" s="39">
        <v>960</v>
      </c>
      <c r="S69" s="52">
        <v>960</v>
      </c>
      <c r="T69" s="52">
        <v>960</v>
      </c>
      <c r="U69" s="52">
        <v>960</v>
      </c>
      <c r="V69" s="39">
        <v>960</v>
      </c>
      <c r="W69" s="52">
        <v>960</v>
      </c>
      <c r="X69" s="52">
        <v>960</v>
      </c>
      <c r="Y69" s="39">
        <v>960</v>
      </c>
      <c r="Z69" s="39">
        <v>960</v>
      </c>
      <c r="AA69" s="39">
        <v>960</v>
      </c>
      <c r="AB69" s="39">
        <v>960</v>
      </c>
      <c r="AC69" s="39">
        <v>960</v>
      </c>
      <c r="AD69" s="39">
        <v>960</v>
      </c>
      <c r="AE69" s="39">
        <v>960</v>
      </c>
      <c r="AF69" s="39">
        <v>960</v>
      </c>
      <c r="AG69" s="39">
        <v>960</v>
      </c>
      <c r="AH69" s="39">
        <v>960</v>
      </c>
      <c r="AI69" s="39">
        <v>960</v>
      </c>
      <c r="AJ69" s="39">
        <v>960</v>
      </c>
      <c r="AK69" s="39">
        <v>960</v>
      </c>
      <c r="AL69" s="39">
        <v>960</v>
      </c>
      <c r="AM69" s="39">
        <v>960</v>
      </c>
      <c r="AN69" s="39">
        <v>960</v>
      </c>
      <c r="AO69" s="39">
        <v>960</v>
      </c>
    </row>
    <row r="70" spans="1:41" x14ac:dyDescent="0.2">
      <c r="A70" s="137" t="s">
        <v>110</v>
      </c>
      <c r="B70" s="34"/>
      <c r="C70" s="34"/>
      <c r="D70" s="32">
        <f t="shared" si="42"/>
        <v>0</v>
      </c>
      <c r="E70" s="32">
        <f t="shared" si="42"/>
        <v>0</v>
      </c>
      <c r="F70" s="32">
        <f t="shared" si="42"/>
        <v>-25399</v>
      </c>
      <c r="G70" s="32">
        <f t="shared" si="43"/>
        <v>-11642</v>
      </c>
      <c r="H70" s="32">
        <f t="shared" si="43"/>
        <v>-53616</v>
      </c>
      <c r="I70" s="32">
        <f t="shared" si="44"/>
        <v>-49169</v>
      </c>
      <c r="J70" s="32">
        <f t="shared" si="44"/>
        <v>0</v>
      </c>
      <c r="K70" s="169"/>
      <c r="L70" s="169"/>
      <c r="M70" s="169"/>
      <c r="N70" s="265">
        <v>0</v>
      </c>
      <c r="O70" s="265">
        <v>0</v>
      </c>
      <c r="P70" s="265">
        <v>0</v>
      </c>
      <c r="Q70" s="265">
        <v>0</v>
      </c>
      <c r="R70" s="265">
        <v>0</v>
      </c>
      <c r="S70" s="265">
        <v>0</v>
      </c>
      <c r="T70" s="265">
        <v>0</v>
      </c>
      <c r="U70" s="265">
        <v>0</v>
      </c>
      <c r="V70" s="265">
        <v>0</v>
      </c>
      <c r="W70" s="265">
        <v>0</v>
      </c>
      <c r="X70" s="265">
        <v>0</v>
      </c>
      <c r="Y70" s="39">
        <v>-25399</v>
      </c>
      <c r="Z70" s="265">
        <v>-37623</v>
      </c>
      <c r="AA70" s="265">
        <v>-51408</v>
      </c>
      <c r="AB70" s="265">
        <v>-7163</v>
      </c>
      <c r="AC70" s="265">
        <v>-11642</v>
      </c>
      <c r="AD70" s="265">
        <v>-35467</v>
      </c>
      <c r="AE70" s="265">
        <v>-53616</v>
      </c>
      <c r="AF70" s="265">
        <v>-53616</v>
      </c>
      <c r="AG70" s="265">
        <v>-53616</v>
      </c>
      <c r="AH70" s="265">
        <v>0</v>
      </c>
      <c r="AI70" s="265">
        <v>-5129</v>
      </c>
      <c r="AJ70" s="265">
        <v>-31542</v>
      </c>
      <c r="AK70" s="265">
        <v>-49169</v>
      </c>
      <c r="AL70" s="265">
        <v>-62155</v>
      </c>
      <c r="AM70" s="265">
        <v>-67138</v>
      </c>
      <c r="AN70" s="265">
        <v>0</v>
      </c>
      <c r="AO70" s="265">
        <v>0</v>
      </c>
    </row>
    <row r="71" spans="1:41" x14ac:dyDescent="0.2">
      <c r="A71" s="133" t="s">
        <v>111</v>
      </c>
      <c r="B71" s="31"/>
      <c r="C71" s="31"/>
      <c r="D71" s="32">
        <f t="shared" si="42"/>
        <v>163704</v>
      </c>
      <c r="E71" s="32">
        <f t="shared" si="42"/>
        <v>154759</v>
      </c>
      <c r="F71" s="32">
        <f t="shared" si="42"/>
        <v>145812</v>
      </c>
      <c r="G71" s="32">
        <f t="shared" si="43"/>
        <v>136865</v>
      </c>
      <c r="H71" s="32">
        <f t="shared" si="43"/>
        <v>127812</v>
      </c>
      <c r="I71" s="32">
        <f t="shared" si="44"/>
        <v>118868</v>
      </c>
      <c r="J71" s="32">
        <f t="shared" si="44"/>
        <v>109919</v>
      </c>
      <c r="K71" s="169"/>
      <c r="L71" s="169"/>
      <c r="M71" s="169"/>
      <c r="N71" s="39">
        <v>83561</v>
      </c>
      <c r="O71" s="52">
        <v>89408</v>
      </c>
      <c r="P71" s="38">
        <v>140205</v>
      </c>
      <c r="Q71" s="38">
        <v>163704</v>
      </c>
      <c r="R71" s="39">
        <v>161469</v>
      </c>
      <c r="S71" s="52">
        <v>159232</v>
      </c>
      <c r="T71" s="52">
        <v>156995</v>
      </c>
      <c r="U71" s="52">
        <v>154759</v>
      </c>
      <c r="V71" s="39">
        <v>152522</v>
      </c>
      <c r="W71" s="52">
        <v>150286</v>
      </c>
      <c r="X71" s="52">
        <v>148049</v>
      </c>
      <c r="Y71" s="52">
        <v>145812</v>
      </c>
      <c r="Z71" s="52">
        <v>143575</v>
      </c>
      <c r="AA71" s="52">
        <v>141339</v>
      </c>
      <c r="AB71" s="52">
        <v>139102</v>
      </c>
      <c r="AC71" s="52">
        <v>136865</v>
      </c>
      <c r="AD71" s="52">
        <v>134628</v>
      </c>
      <c r="AE71" s="52">
        <v>132392</v>
      </c>
      <c r="AF71" s="52">
        <v>130049</v>
      </c>
      <c r="AG71" s="52">
        <v>127812</v>
      </c>
      <c r="AH71" s="52">
        <v>125576</v>
      </c>
      <c r="AI71" s="52">
        <v>123339</v>
      </c>
      <c r="AJ71" s="52">
        <v>121102</v>
      </c>
      <c r="AK71" s="52">
        <v>118868</v>
      </c>
      <c r="AL71" s="52">
        <v>116631</v>
      </c>
      <c r="AM71" s="52">
        <v>114393</v>
      </c>
      <c r="AN71" s="52">
        <v>112155</v>
      </c>
      <c r="AO71" s="52">
        <v>109919</v>
      </c>
    </row>
    <row r="72" spans="1:41" x14ac:dyDescent="0.2">
      <c r="A72" s="133" t="s">
        <v>112</v>
      </c>
      <c r="B72" s="31"/>
      <c r="C72" s="31"/>
      <c r="D72" s="32">
        <f t="shared" si="42"/>
        <v>-1992</v>
      </c>
      <c r="E72" s="32">
        <f t="shared" si="42"/>
        <v>0</v>
      </c>
      <c r="F72" s="32">
        <f t="shared" si="42"/>
        <v>0</v>
      </c>
      <c r="G72" s="32">
        <f t="shared" si="43"/>
        <v>0</v>
      </c>
      <c r="H72" s="32">
        <f t="shared" si="43"/>
        <v>0</v>
      </c>
      <c r="I72" s="32">
        <f t="shared" si="44"/>
        <v>0</v>
      </c>
      <c r="J72" s="32">
        <f t="shared" si="44"/>
        <v>0</v>
      </c>
      <c r="K72" s="169"/>
      <c r="L72" s="169"/>
      <c r="M72" s="169"/>
      <c r="N72" s="38">
        <v>0</v>
      </c>
      <c r="O72" s="38">
        <v>0</v>
      </c>
      <c r="P72" s="38">
        <v>0</v>
      </c>
      <c r="Q72" s="38">
        <v>-1992</v>
      </c>
      <c r="R72" s="39">
        <v>-1992</v>
      </c>
      <c r="S72" s="39">
        <v>-1992</v>
      </c>
      <c r="T72" s="39">
        <v>-1992</v>
      </c>
      <c r="U72" s="39">
        <v>0</v>
      </c>
      <c r="V72" s="39">
        <v>0</v>
      </c>
      <c r="W72" s="39">
        <v>0</v>
      </c>
      <c r="X72" s="52">
        <v>201758</v>
      </c>
      <c r="Y72" s="39">
        <v>0</v>
      </c>
      <c r="Z72" s="39">
        <v>0</v>
      </c>
      <c r="AA72" s="39">
        <v>178780</v>
      </c>
      <c r="AB72" s="39">
        <v>254202</v>
      </c>
      <c r="AC72" s="39">
        <v>0</v>
      </c>
      <c r="AD72" s="39">
        <v>85653</v>
      </c>
      <c r="AE72" s="39">
        <v>296454</v>
      </c>
      <c r="AF72" s="39">
        <v>308841</v>
      </c>
      <c r="AG72" s="39">
        <v>0</v>
      </c>
      <c r="AH72" s="39">
        <v>43317</v>
      </c>
      <c r="AI72" s="39">
        <v>75785</v>
      </c>
      <c r="AJ72" s="39">
        <v>105803</v>
      </c>
      <c r="AK72" s="39">
        <v>0</v>
      </c>
      <c r="AL72" s="39">
        <v>60932</v>
      </c>
      <c r="AM72" s="39">
        <v>152918</v>
      </c>
      <c r="AN72" s="39">
        <v>170946</v>
      </c>
      <c r="AO72" s="39">
        <v>0</v>
      </c>
    </row>
    <row r="73" spans="1:41" x14ac:dyDescent="0.2">
      <c r="A73" s="133" t="s">
        <v>113</v>
      </c>
      <c r="B73" s="31"/>
      <c r="C73" s="31"/>
      <c r="D73" s="32">
        <f t="shared" si="42"/>
        <v>6</v>
      </c>
      <c r="E73" s="32">
        <f t="shared" si="42"/>
        <v>6</v>
      </c>
      <c r="F73" s="32">
        <f t="shared" si="42"/>
        <v>0</v>
      </c>
      <c r="G73" s="32">
        <f t="shared" si="43"/>
        <v>0</v>
      </c>
      <c r="H73" s="32">
        <f t="shared" si="43"/>
        <v>0</v>
      </c>
      <c r="I73" s="32">
        <f t="shared" si="44"/>
        <v>0</v>
      </c>
      <c r="J73" s="32">
        <f t="shared" si="44"/>
        <v>0</v>
      </c>
      <c r="K73" s="169"/>
      <c r="L73" s="169"/>
      <c r="M73" s="169"/>
      <c r="N73" s="38">
        <v>6</v>
      </c>
      <c r="O73" s="38">
        <v>6</v>
      </c>
      <c r="P73" s="38">
        <v>6</v>
      </c>
      <c r="Q73" s="38">
        <v>6</v>
      </c>
      <c r="R73" s="39">
        <v>6</v>
      </c>
      <c r="S73" s="39">
        <v>6</v>
      </c>
      <c r="T73" s="39">
        <v>6</v>
      </c>
      <c r="U73" s="39">
        <v>6</v>
      </c>
      <c r="V73" s="39">
        <v>0</v>
      </c>
      <c r="W73" s="39">
        <v>0</v>
      </c>
      <c r="X73" s="52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39">
        <v>0</v>
      </c>
      <c r="AH73" s="39">
        <v>0</v>
      </c>
      <c r="AI73" s="39">
        <v>0</v>
      </c>
      <c r="AJ73" s="39">
        <v>0</v>
      </c>
      <c r="AK73" s="39">
        <v>0</v>
      </c>
      <c r="AL73" s="39">
        <v>0</v>
      </c>
      <c r="AM73" s="39">
        <v>0</v>
      </c>
      <c r="AN73" s="39">
        <v>0</v>
      </c>
      <c r="AO73" s="39">
        <v>0</v>
      </c>
    </row>
    <row r="74" spans="1:41" ht="9" customHeight="1" x14ac:dyDescent="0.2">
      <c r="A74" s="31"/>
      <c r="B74" s="31"/>
      <c r="C74" s="31"/>
      <c r="D74" s="34"/>
      <c r="E74" s="34"/>
      <c r="F74" s="34"/>
      <c r="G74" s="32"/>
      <c r="H74" s="32"/>
      <c r="I74" s="32"/>
      <c r="J74" s="32"/>
      <c r="K74" s="31"/>
      <c r="L74" s="31"/>
      <c r="M74" s="31"/>
      <c r="N74" s="34"/>
      <c r="O74" s="40"/>
      <c r="P74" s="34"/>
      <c r="Q74" s="34"/>
      <c r="R74" s="34"/>
      <c r="S74" s="40"/>
      <c r="T74" s="40"/>
      <c r="U74" s="40"/>
      <c r="V74" s="34"/>
      <c r="W74" s="40"/>
      <c r="X74" s="40"/>
    </row>
    <row r="75" spans="1:41" x14ac:dyDescent="0.2">
      <c r="A75" s="41"/>
    </row>
    <row r="77" spans="1:41" x14ac:dyDescent="0.2">
      <c r="B77" s="40"/>
      <c r="C77" s="40"/>
      <c r="K77" s="40"/>
      <c r="L77" s="40"/>
      <c r="M77" s="40"/>
    </row>
  </sheetData>
  <sheetProtection selectLockedCells="1" selectUnlockedCells="1"/>
  <phoneticPr fontId="9" type="noConversion"/>
  <conditionalFormatting sqref="D4:J4">
    <cfRule type="cellIs" dxfId="5" priority="1" operator="not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9ACB-D9FB-4B81-BF9C-7147875B15F2}">
  <sheetPr>
    <tabColor theme="6" tint="-0.499984740745262"/>
  </sheetPr>
  <dimension ref="A1:WWF105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 activeCell="J39" sqref="J39"/>
    </sheetView>
  </sheetViews>
  <sheetFormatPr defaultColWidth="0" defaultRowHeight="14.25" x14ac:dyDescent="0.2"/>
  <cols>
    <col min="1" max="1" width="94" style="71" customWidth="1"/>
    <col min="2" max="3" width="2.140625" style="71" customWidth="1"/>
    <col min="4" max="4" width="12.28515625" style="71" bestFit="1" customWidth="1"/>
    <col min="5" max="10" width="13" style="71" bestFit="1" customWidth="1"/>
    <col min="11" max="11" width="5" style="71" customWidth="1"/>
    <col min="12" max="12" width="12.42578125" style="71" bestFit="1" customWidth="1"/>
    <col min="13" max="13" width="5" style="71" customWidth="1"/>
    <col min="14" max="19" width="13.42578125" style="71" bestFit="1" customWidth="1"/>
    <col min="20" max="21" width="13.42578125" style="71" customWidth="1"/>
    <col min="22" max="28" width="13.42578125" style="71" bestFit="1" customWidth="1"/>
    <col min="29" max="41" width="13.42578125" style="71" customWidth="1"/>
    <col min="42" max="42" width="10.140625" style="71" bestFit="1" customWidth="1"/>
    <col min="43" max="44" width="9.140625" style="71" customWidth="1"/>
    <col min="45" max="47" width="9.140625" style="71" hidden="1" customWidth="1"/>
    <col min="48" max="270" width="9.140625" style="71" hidden="1"/>
    <col min="271" max="271" width="34.42578125" style="71" hidden="1"/>
    <col min="272" max="272" width="8.42578125" style="71" hidden="1"/>
    <col min="273" max="273" width="4.85546875" style="71" hidden="1"/>
    <col min="274" max="274" width="11.28515625" style="71" hidden="1"/>
    <col min="275" max="275" width="4.85546875" style="71" hidden="1"/>
    <col min="276" max="276" width="8.42578125" style="71" hidden="1"/>
    <col min="277" max="277" width="4.85546875" style="71" hidden="1"/>
    <col min="278" max="278" width="11.5703125" style="71" hidden="1"/>
    <col min="279" max="279" width="0" style="71" hidden="1"/>
    <col min="280" max="280" width="5" style="71" hidden="1"/>
    <col min="281" max="526" width="9.140625" style="71" hidden="1"/>
    <col min="527" max="527" width="34.42578125" style="71" hidden="1"/>
    <col min="528" max="528" width="8.42578125" style="71" hidden="1"/>
    <col min="529" max="529" width="4.85546875" style="71" hidden="1"/>
    <col min="530" max="530" width="11.28515625" style="71" hidden="1"/>
    <col min="531" max="531" width="4.85546875" style="71" hidden="1"/>
    <col min="532" max="532" width="8.42578125" style="71" hidden="1"/>
    <col min="533" max="533" width="4.85546875" style="71" hidden="1"/>
    <col min="534" max="534" width="11.5703125" style="71" hidden="1"/>
    <col min="535" max="535" width="0" style="71" hidden="1"/>
    <col min="536" max="536" width="5" style="71" hidden="1"/>
    <col min="537" max="782" width="9.140625" style="71" hidden="1"/>
    <col min="783" max="783" width="34.42578125" style="71" hidden="1"/>
    <col min="784" max="784" width="8.42578125" style="71" hidden="1"/>
    <col min="785" max="785" width="4.85546875" style="71" hidden="1"/>
    <col min="786" max="786" width="11.28515625" style="71" hidden="1"/>
    <col min="787" max="787" width="4.85546875" style="71" hidden="1"/>
    <col min="788" max="788" width="8.42578125" style="71" hidden="1"/>
    <col min="789" max="789" width="4.85546875" style="71" hidden="1"/>
    <col min="790" max="790" width="11.5703125" style="71" hidden="1"/>
    <col min="791" max="791" width="0" style="71" hidden="1"/>
    <col min="792" max="792" width="5" style="71" hidden="1"/>
    <col min="793" max="1038" width="9.140625" style="71" hidden="1"/>
    <col min="1039" max="1039" width="34.42578125" style="71" hidden="1"/>
    <col min="1040" max="1040" width="8.42578125" style="71" hidden="1"/>
    <col min="1041" max="1041" width="4.85546875" style="71" hidden="1"/>
    <col min="1042" max="1042" width="11.28515625" style="71" hidden="1"/>
    <col min="1043" max="1043" width="4.85546875" style="71" hidden="1"/>
    <col min="1044" max="1044" width="8.42578125" style="71" hidden="1"/>
    <col min="1045" max="1045" width="4.85546875" style="71" hidden="1"/>
    <col min="1046" max="1046" width="11.5703125" style="71" hidden="1"/>
    <col min="1047" max="1047" width="0" style="71" hidden="1"/>
    <col min="1048" max="1048" width="5" style="71" hidden="1"/>
    <col min="1049" max="1294" width="9.140625" style="71" hidden="1"/>
    <col min="1295" max="1295" width="34.42578125" style="71" hidden="1"/>
    <col min="1296" max="1296" width="8.42578125" style="71" hidden="1"/>
    <col min="1297" max="1297" width="4.85546875" style="71" hidden="1"/>
    <col min="1298" max="1298" width="11.28515625" style="71" hidden="1"/>
    <col min="1299" max="1299" width="4.85546875" style="71" hidden="1"/>
    <col min="1300" max="1300" width="8.42578125" style="71" hidden="1"/>
    <col min="1301" max="1301" width="4.85546875" style="71" hidden="1"/>
    <col min="1302" max="1302" width="11.5703125" style="71" hidden="1"/>
    <col min="1303" max="1303" width="0" style="71" hidden="1"/>
    <col min="1304" max="1304" width="5" style="71" hidden="1"/>
    <col min="1305" max="1550" width="9.140625" style="71" hidden="1"/>
    <col min="1551" max="1551" width="34.42578125" style="71" hidden="1"/>
    <col min="1552" max="1552" width="8.42578125" style="71" hidden="1"/>
    <col min="1553" max="1553" width="4.85546875" style="71" hidden="1"/>
    <col min="1554" max="1554" width="11.28515625" style="71" hidden="1"/>
    <col min="1555" max="1555" width="4.85546875" style="71" hidden="1"/>
    <col min="1556" max="1556" width="8.42578125" style="71" hidden="1"/>
    <col min="1557" max="1557" width="4.85546875" style="71" hidden="1"/>
    <col min="1558" max="1558" width="11.5703125" style="71" hidden="1"/>
    <col min="1559" max="1559" width="0" style="71" hidden="1"/>
    <col min="1560" max="1560" width="5" style="71" hidden="1"/>
    <col min="1561" max="1806" width="9.140625" style="71" hidden="1"/>
    <col min="1807" max="1807" width="34.42578125" style="71" hidden="1"/>
    <col min="1808" max="1808" width="8.42578125" style="71" hidden="1"/>
    <col min="1809" max="1809" width="4.85546875" style="71" hidden="1"/>
    <col min="1810" max="1810" width="11.28515625" style="71" hidden="1"/>
    <col min="1811" max="1811" width="4.85546875" style="71" hidden="1"/>
    <col min="1812" max="1812" width="8.42578125" style="71" hidden="1"/>
    <col min="1813" max="1813" width="4.85546875" style="71" hidden="1"/>
    <col min="1814" max="1814" width="11.5703125" style="71" hidden="1"/>
    <col min="1815" max="1815" width="0" style="71" hidden="1"/>
    <col min="1816" max="1816" width="5" style="71" hidden="1"/>
    <col min="1817" max="2062" width="9.140625" style="71" hidden="1"/>
    <col min="2063" max="2063" width="34.42578125" style="71" hidden="1"/>
    <col min="2064" max="2064" width="8.42578125" style="71" hidden="1"/>
    <col min="2065" max="2065" width="4.85546875" style="71" hidden="1"/>
    <col min="2066" max="2066" width="11.28515625" style="71" hidden="1"/>
    <col min="2067" max="2067" width="4.85546875" style="71" hidden="1"/>
    <col min="2068" max="2068" width="8.42578125" style="71" hidden="1"/>
    <col min="2069" max="2069" width="4.85546875" style="71" hidden="1"/>
    <col min="2070" max="2070" width="11.5703125" style="71" hidden="1"/>
    <col min="2071" max="2071" width="0" style="71" hidden="1"/>
    <col min="2072" max="2072" width="5" style="71" hidden="1"/>
    <col min="2073" max="2318" width="9.140625" style="71" hidden="1"/>
    <col min="2319" max="2319" width="34.42578125" style="71" hidden="1"/>
    <col min="2320" max="2320" width="8.42578125" style="71" hidden="1"/>
    <col min="2321" max="2321" width="4.85546875" style="71" hidden="1"/>
    <col min="2322" max="2322" width="11.28515625" style="71" hidden="1"/>
    <col min="2323" max="2323" width="4.85546875" style="71" hidden="1"/>
    <col min="2324" max="2324" width="8.42578125" style="71" hidden="1"/>
    <col min="2325" max="2325" width="4.85546875" style="71" hidden="1"/>
    <col min="2326" max="2326" width="11.5703125" style="71" hidden="1"/>
    <col min="2327" max="2327" width="0" style="71" hidden="1"/>
    <col min="2328" max="2328" width="5" style="71" hidden="1"/>
    <col min="2329" max="2574" width="9.140625" style="71" hidden="1"/>
    <col min="2575" max="2575" width="34.42578125" style="71" hidden="1"/>
    <col min="2576" max="2576" width="8.42578125" style="71" hidden="1"/>
    <col min="2577" max="2577" width="4.85546875" style="71" hidden="1"/>
    <col min="2578" max="2578" width="11.28515625" style="71" hidden="1"/>
    <col min="2579" max="2579" width="4.85546875" style="71" hidden="1"/>
    <col min="2580" max="2580" width="8.42578125" style="71" hidden="1"/>
    <col min="2581" max="2581" width="4.85546875" style="71" hidden="1"/>
    <col min="2582" max="2582" width="11.5703125" style="71" hidden="1"/>
    <col min="2583" max="2583" width="0" style="71" hidden="1"/>
    <col min="2584" max="2584" width="5" style="71" hidden="1"/>
    <col min="2585" max="2830" width="9.140625" style="71" hidden="1"/>
    <col min="2831" max="2831" width="34.42578125" style="71" hidden="1"/>
    <col min="2832" max="2832" width="8.42578125" style="71" hidden="1"/>
    <col min="2833" max="2833" width="4.85546875" style="71" hidden="1"/>
    <col min="2834" max="2834" width="11.28515625" style="71" hidden="1"/>
    <col min="2835" max="2835" width="4.85546875" style="71" hidden="1"/>
    <col min="2836" max="2836" width="8.42578125" style="71" hidden="1"/>
    <col min="2837" max="2837" width="4.85546875" style="71" hidden="1"/>
    <col min="2838" max="2838" width="11.5703125" style="71" hidden="1"/>
    <col min="2839" max="2839" width="0" style="71" hidden="1"/>
    <col min="2840" max="2840" width="5" style="71" hidden="1"/>
    <col min="2841" max="3086" width="9.140625" style="71" hidden="1"/>
    <col min="3087" max="3087" width="34.42578125" style="71" hidden="1"/>
    <col min="3088" max="3088" width="8.42578125" style="71" hidden="1"/>
    <col min="3089" max="3089" width="4.85546875" style="71" hidden="1"/>
    <col min="3090" max="3090" width="11.28515625" style="71" hidden="1"/>
    <col min="3091" max="3091" width="4.85546875" style="71" hidden="1"/>
    <col min="3092" max="3092" width="8.42578125" style="71" hidden="1"/>
    <col min="3093" max="3093" width="4.85546875" style="71" hidden="1"/>
    <col min="3094" max="3094" width="11.5703125" style="71" hidden="1"/>
    <col min="3095" max="3095" width="0" style="71" hidden="1"/>
    <col min="3096" max="3096" width="5" style="71" hidden="1"/>
    <col min="3097" max="3342" width="9.140625" style="71" hidden="1"/>
    <col min="3343" max="3343" width="34.42578125" style="71" hidden="1"/>
    <col min="3344" max="3344" width="8.42578125" style="71" hidden="1"/>
    <col min="3345" max="3345" width="4.85546875" style="71" hidden="1"/>
    <col min="3346" max="3346" width="11.28515625" style="71" hidden="1"/>
    <col min="3347" max="3347" width="4.85546875" style="71" hidden="1"/>
    <col min="3348" max="3348" width="8.42578125" style="71" hidden="1"/>
    <col min="3349" max="3349" width="4.85546875" style="71" hidden="1"/>
    <col min="3350" max="3350" width="11.5703125" style="71" hidden="1"/>
    <col min="3351" max="3351" width="0" style="71" hidden="1"/>
    <col min="3352" max="3352" width="5" style="71" hidden="1"/>
    <col min="3353" max="3598" width="9.140625" style="71" hidden="1"/>
    <col min="3599" max="3599" width="34.42578125" style="71" hidden="1"/>
    <col min="3600" max="3600" width="8.42578125" style="71" hidden="1"/>
    <col min="3601" max="3601" width="4.85546875" style="71" hidden="1"/>
    <col min="3602" max="3602" width="11.28515625" style="71" hidden="1"/>
    <col min="3603" max="3603" width="4.85546875" style="71" hidden="1"/>
    <col min="3604" max="3604" width="8.42578125" style="71" hidden="1"/>
    <col min="3605" max="3605" width="4.85546875" style="71" hidden="1"/>
    <col min="3606" max="3606" width="11.5703125" style="71" hidden="1"/>
    <col min="3607" max="3607" width="0" style="71" hidden="1"/>
    <col min="3608" max="3608" width="5" style="71" hidden="1"/>
    <col min="3609" max="3854" width="9.140625" style="71" hidden="1"/>
    <col min="3855" max="3855" width="34.42578125" style="71" hidden="1"/>
    <col min="3856" max="3856" width="8.42578125" style="71" hidden="1"/>
    <col min="3857" max="3857" width="4.85546875" style="71" hidden="1"/>
    <col min="3858" max="3858" width="11.28515625" style="71" hidden="1"/>
    <col min="3859" max="3859" width="4.85546875" style="71" hidden="1"/>
    <col min="3860" max="3860" width="8.42578125" style="71" hidden="1"/>
    <col min="3861" max="3861" width="4.85546875" style="71" hidden="1"/>
    <col min="3862" max="3862" width="11.5703125" style="71" hidden="1"/>
    <col min="3863" max="3863" width="0" style="71" hidden="1"/>
    <col min="3864" max="3864" width="5" style="71" hidden="1"/>
    <col min="3865" max="4110" width="9.140625" style="71" hidden="1"/>
    <col min="4111" max="4111" width="34.42578125" style="71" hidden="1"/>
    <col min="4112" max="4112" width="8.42578125" style="71" hidden="1"/>
    <col min="4113" max="4113" width="4.85546875" style="71" hidden="1"/>
    <col min="4114" max="4114" width="11.28515625" style="71" hidden="1"/>
    <col min="4115" max="4115" width="4.85546875" style="71" hidden="1"/>
    <col min="4116" max="4116" width="8.42578125" style="71" hidden="1"/>
    <col min="4117" max="4117" width="4.85546875" style="71" hidden="1"/>
    <col min="4118" max="4118" width="11.5703125" style="71" hidden="1"/>
    <col min="4119" max="4119" width="0" style="71" hidden="1"/>
    <col min="4120" max="4120" width="5" style="71" hidden="1"/>
    <col min="4121" max="4366" width="9.140625" style="71" hidden="1"/>
    <col min="4367" max="4367" width="34.42578125" style="71" hidden="1"/>
    <col min="4368" max="4368" width="8.42578125" style="71" hidden="1"/>
    <col min="4369" max="4369" width="4.85546875" style="71" hidden="1"/>
    <col min="4370" max="4370" width="11.28515625" style="71" hidden="1"/>
    <col min="4371" max="4371" width="4.85546875" style="71" hidden="1"/>
    <col min="4372" max="4372" width="8.42578125" style="71" hidden="1"/>
    <col min="4373" max="4373" width="4.85546875" style="71" hidden="1"/>
    <col min="4374" max="4374" width="11.5703125" style="71" hidden="1"/>
    <col min="4375" max="4375" width="0" style="71" hidden="1"/>
    <col min="4376" max="4376" width="5" style="71" hidden="1"/>
    <col min="4377" max="4622" width="9.140625" style="71" hidden="1"/>
    <col min="4623" max="4623" width="34.42578125" style="71" hidden="1"/>
    <col min="4624" max="4624" width="8.42578125" style="71" hidden="1"/>
    <col min="4625" max="4625" width="4.85546875" style="71" hidden="1"/>
    <col min="4626" max="4626" width="11.28515625" style="71" hidden="1"/>
    <col min="4627" max="4627" width="4.85546875" style="71" hidden="1"/>
    <col min="4628" max="4628" width="8.42578125" style="71" hidden="1"/>
    <col min="4629" max="4629" width="4.85546875" style="71" hidden="1"/>
    <col min="4630" max="4630" width="11.5703125" style="71" hidden="1"/>
    <col min="4631" max="4631" width="0" style="71" hidden="1"/>
    <col min="4632" max="4632" width="5" style="71" hidden="1"/>
    <col min="4633" max="4878" width="9.140625" style="71" hidden="1"/>
    <col min="4879" max="4879" width="34.42578125" style="71" hidden="1"/>
    <col min="4880" max="4880" width="8.42578125" style="71" hidden="1"/>
    <col min="4881" max="4881" width="4.85546875" style="71" hidden="1"/>
    <col min="4882" max="4882" width="11.28515625" style="71" hidden="1"/>
    <col min="4883" max="4883" width="4.85546875" style="71" hidden="1"/>
    <col min="4884" max="4884" width="8.42578125" style="71" hidden="1"/>
    <col min="4885" max="4885" width="4.85546875" style="71" hidden="1"/>
    <col min="4886" max="4886" width="11.5703125" style="71" hidden="1"/>
    <col min="4887" max="4887" width="0" style="71" hidden="1"/>
    <col min="4888" max="4888" width="5" style="71" hidden="1"/>
    <col min="4889" max="5134" width="9.140625" style="71" hidden="1"/>
    <col min="5135" max="5135" width="34.42578125" style="71" hidden="1"/>
    <col min="5136" max="5136" width="8.42578125" style="71" hidden="1"/>
    <col min="5137" max="5137" width="4.85546875" style="71" hidden="1"/>
    <col min="5138" max="5138" width="11.28515625" style="71" hidden="1"/>
    <col min="5139" max="5139" width="4.85546875" style="71" hidden="1"/>
    <col min="5140" max="5140" width="8.42578125" style="71" hidden="1"/>
    <col min="5141" max="5141" width="4.85546875" style="71" hidden="1"/>
    <col min="5142" max="5142" width="11.5703125" style="71" hidden="1"/>
    <col min="5143" max="5143" width="0" style="71" hidden="1"/>
    <col min="5144" max="5144" width="5" style="71" hidden="1"/>
    <col min="5145" max="5390" width="9.140625" style="71" hidden="1"/>
    <col min="5391" max="5391" width="34.42578125" style="71" hidden="1"/>
    <col min="5392" max="5392" width="8.42578125" style="71" hidden="1"/>
    <col min="5393" max="5393" width="4.85546875" style="71" hidden="1"/>
    <col min="5394" max="5394" width="11.28515625" style="71" hidden="1"/>
    <col min="5395" max="5395" width="4.85546875" style="71" hidden="1"/>
    <col min="5396" max="5396" width="8.42578125" style="71" hidden="1"/>
    <col min="5397" max="5397" width="4.85546875" style="71" hidden="1"/>
    <col min="5398" max="5398" width="11.5703125" style="71" hidden="1"/>
    <col min="5399" max="5399" width="0" style="71" hidden="1"/>
    <col min="5400" max="5400" width="5" style="71" hidden="1"/>
    <col min="5401" max="5646" width="9.140625" style="71" hidden="1"/>
    <col min="5647" max="5647" width="34.42578125" style="71" hidden="1"/>
    <col min="5648" max="5648" width="8.42578125" style="71" hidden="1"/>
    <col min="5649" max="5649" width="4.85546875" style="71" hidden="1"/>
    <col min="5650" max="5650" width="11.28515625" style="71" hidden="1"/>
    <col min="5651" max="5651" width="4.85546875" style="71" hidden="1"/>
    <col min="5652" max="5652" width="8.42578125" style="71" hidden="1"/>
    <col min="5653" max="5653" width="4.85546875" style="71" hidden="1"/>
    <col min="5654" max="5654" width="11.5703125" style="71" hidden="1"/>
    <col min="5655" max="5655" width="0" style="71" hidden="1"/>
    <col min="5656" max="5656" width="5" style="71" hidden="1"/>
    <col min="5657" max="5902" width="9.140625" style="71" hidden="1"/>
    <col min="5903" max="5903" width="34.42578125" style="71" hidden="1"/>
    <col min="5904" max="5904" width="8.42578125" style="71" hidden="1"/>
    <col min="5905" max="5905" width="4.85546875" style="71" hidden="1"/>
    <col min="5906" max="5906" width="11.28515625" style="71" hidden="1"/>
    <col min="5907" max="5907" width="4.85546875" style="71" hidden="1"/>
    <col min="5908" max="5908" width="8.42578125" style="71" hidden="1"/>
    <col min="5909" max="5909" width="4.85546875" style="71" hidden="1"/>
    <col min="5910" max="5910" width="11.5703125" style="71" hidden="1"/>
    <col min="5911" max="5911" width="0" style="71" hidden="1"/>
    <col min="5912" max="5912" width="5" style="71" hidden="1"/>
    <col min="5913" max="6158" width="9.140625" style="71" hidden="1"/>
    <col min="6159" max="6159" width="34.42578125" style="71" hidden="1"/>
    <col min="6160" max="6160" width="8.42578125" style="71" hidden="1"/>
    <col min="6161" max="6161" width="4.85546875" style="71" hidden="1"/>
    <col min="6162" max="6162" width="11.28515625" style="71" hidden="1"/>
    <col min="6163" max="6163" width="4.85546875" style="71" hidden="1"/>
    <col min="6164" max="6164" width="8.42578125" style="71" hidden="1"/>
    <col min="6165" max="6165" width="4.85546875" style="71" hidden="1"/>
    <col min="6166" max="6166" width="11.5703125" style="71" hidden="1"/>
    <col min="6167" max="6167" width="0" style="71" hidden="1"/>
    <col min="6168" max="6168" width="5" style="71" hidden="1"/>
    <col min="6169" max="6414" width="9.140625" style="71" hidden="1"/>
    <col min="6415" max="6415" width="34.42578125" style="71" hidden="1"/>
    <col min="6416" max="6416" width="8.42578125" style="71" hidden="1"/>
    <col min="6417" max="6417" width="4.85546875" style="71" hidden="1"/>
    <col min="6418" max="6418" width="11.28515625" style="71" hidden="1"/>
    <col min="6419" max="6419" width="4.85546875" style="71" hidden="1"/>
    <col min="6420" max="6420" width="8.42578125" style="71" hidden="1"/>
    <col min="6421" max="6421" width="4.85546875" style="71" hidden="1"/>
    <col min="6422" max="6422" width="11.5703125" style="71" hidden="1"/>
    <col min="6423" max="6423" width="0" style="71" hidden="1"/>
    <col min="6424" max="6424" width="5" style="71" hidden="1"/>
    <col min="6425" max="6670" width="9.140625" style="71" hidden="1"/>
    <col min="6671" max="6671" width="34.42578125" style="71" hidden="1"/>
    <col min="6672" max="6672" width="8.42578125" style="71" hidden="1"/>
    <col min="6673" max="6673" width="4.85546875" style="71" hidden="1"/>
    <col min="6674" max="6674" width="11.28515625" style="71" hidden="1"/>
    <col min="6675" max="6675" width="4.85546875" style="71" hidden="1"/>
    <col min="6676" max="6676" width="8.42578125" style="71" hidden="1"/>
    <col min="6677" max="6677" width="4.85546875" style="71" hidden="1"/>
    <col min="6678" max="6678" width="11.5703125" style="71" hidden="1"/>
    <col min="6679" max="6679" width="0" style="71" hidden="1"/>
    <col min="6680" max="6680" width="5" style="71" hidden="1"/>
    <col min="6681" max="6926" width="9.140625" style="71" hidden="1"/>
    <col min="6927" max="6927" width="34.42578125" style="71" hidden="1"/>
    <col min="6928" max="6928" width="8.42578125" style="71" hidden="1"/>
    <col min="6929" max="6929" width="4.85546875" style="71" hidden="1"/>
    <col min="6930" max="6930" width="11.28515625" style="71" hidden="1"/>
    <col min="6931" max="6931" width="4.85546875" style="71" hidden="1"/>
    <col min="6932" max="6932" width="8.42578125" style="71" hidden="1"/>
    <col min="6933" max="6933" width="4.85546875" style="71" hidden="1"/>
    <col min="6934" max="6934" width="11.5703125" style="71" hidden="1"/>
    <col min="6935" max="6935" width="0" style="71" hidden="1"/>
    <col min="6936" max="6936" width="5" style="71" hidden="1"/>
    <col min="6937" max="7182" width="9.140625" style="71" hidden="1"/>
    <col min="7183" max="7183" width="34.42578125" style="71" hidden="1"/>
    <col min="7184" max="7184" width="8.42578125" style="71" hidden="1"/>
    <col min="7185" max="7185" width="4.85546875" style="71" hidden="1"/>
    <col min="7186" max="7186" width="11.28515625" style="71" hidden="1"/>
    <col min="7187" max="7187" width="4.85546875" style="71" hidden="1"/>
    <col min="7188" max="7188" width="8.42578125" style="71" hidden="1"/>
    <col min="7189" max="7189" width="4.85546875" style="71" hidden="1"/>
    <col min="7190" max="7190" width="11.5703125" style="71" hidden="1"/>
    <col min="7191" max="7191" width="0" style="71" hidden="1"/>
    <col min="7192" max="7192" width="5" style="71" hidden="1"/>
    <col min="7193" max="7438" width="9.140625" style="71" hidden="1"/>
    <col min="7439" max="7439" width="34.42578125" style="71" hidden="1"/>
    <col min="7440" max="7440" width="8.42578125" style="71" hidden="1"/>
    <col min="7441" max="7441" width="4.85546875" style="71" hidden="1"/>
    <col min="7442" max="7442" width="11.28515625" style="71" hidden="1"/>
    <col min="7443" max="7443" width="4.85546875" style="71" hidden="1"/>
    <col min="7444" max="7444" width="8.42578125" style="71" hidden="1"/>
    <col min="7445" max="7445" width="4.85546875" style="71" hidden="1"/>
    <col min="7446" max="7446" width="11.5703125" style="71" hidden="1"/>
    <col min="7447" max="7447" width="0" style="71" hidden="1"/>
    <col min="7448" max="7448" width="5" style="71" hidden="1"/>
    <col min="7449" max="7694" width="9.140625" style="71" hidden="1"/>
    <col min="7695" max="7695" width="34.42578125" style="71" hidden="1"/>
    <col min="7696" max="7696" width="8.42578125" style="71" hidden="1"/>
    <col min="7697" max="7697" width="4.85546875" style="71" hidden="1"/>
    <col min="7698" max="7698" width="11.28515625" style="71" hidden="1"/>
    <col min="7699" max="7699" width="4.85546875" style="71" hidden="1"/>
    <col min="7700" max="7700" width="8.42578125" style="71" hidden="1"/>
    <col min="7701" max="7701" width="4.85546875" style="71" hidden="1"/>
    <col min="7702" max="7702" width="11.5703125" style="71" hidden="1"/>
    <col min="7703" max="7703" width="0" style="71" hidden="1"/>
    <col min="7704" max="7704" width="5" style="71" hidden="1"/>
    <col min="7705" max="7950" width="9.140625" style="71" hidden="1"/>
    <col min="7951" max="7951" width="34.42578125" style="71" hidden="1"/>
    <col min="7952" max="7952" width="8.42578125" style="71" hidden="1"/>
    <col min="7953" max="7953" width="4.85546875" style="71" hidden="1"/>
    <col min="7954" max="7954" width="11.28515625" style="71" hidden="1"/>
    <col min="7955" max="7955" width="4.85546875" style="71" hidden="1"/>
    <col min="7956" max="7956" width="8.42578125" style="71" hidden="1"/>
    <col min="7957" max="7957" width="4.85546875" style="71" hidden="1"/>
    <col min="7958" max="7958" width="11.5703125" style="71" hidden="1"/>
    <col min="7959" max="7959" width="0" style="71" hidden="1"/>
    <col min="7960" max="7960" width="5" style="71" hidden="1"/>
    <col min="7961" max="8206" width="9.140625" style="71" hidden="1"/>
    <col min="8207" max="8207" width="34.42578125" style="71" hidden="1"/>
    <col min="8208" max="8208" width="8.42578125" style="71" hidden="1"/>
    <col min="8209" max="8209" width="4.85546875" style="71" hidden="1"/>
    <col min="8210" max="8210" width="11.28515625" style="71" hidden="1"/>
    <col min="8211" max="8211" width="4.85546875" style="71" hidden="1"/>
    <col min="8212" max="8212" width="8.42578125" style="71" hidden="1"/>
    <col min="8213" max="8213" width="4.85546875" style="71" hidden="1"/>
    <col min="8214" max="8214" width="11.5703125" style="71" hidden="1"/>
    <col min="8215" max="8215" width="0" style="71" hidden="1"/>
    <col min="8216" max="8216" width="5" style="71" hidden="1"/>
    <col min="8217" max="8462" width="9.140625" style="71" hidden="1"/>
    <col min="8463" max="8463" width="34.42578125" style="71" hidden="1"/>
    <col min="8464" max="8464" width="8.42578125" style="71" hidden="1"/>
    <col min="8465" max="8465" width="4.85546875" style="71" hidden="1"/>
    <col min="8466" max="8466" width="11.28515625" style="71" hidden="1"/>
    <col min="8467" max="8467" width="4.85546875" style="71" hidden="1"/>
    <col min="8468" max="8468" width="8.42578125" style="71" hidden="1"/>
    <col min="8469" max="8469" width="4.85546875" style="71" hidden="1"/>
    <col min="8470" max="8470" width="11.5703125" style="71" hidden="1"/>
    <col min="8471" max="8471" width="0" style="71" hidden="1"/>
    <col min="8472" max="8472" width="5" style="71" hidden="1"/>
    <col min="8473" max="8718" width="9.140625" style="71" hidden="1"/>
    <col min="8719" max="8719" width="34.42578125" style="71" hidden="1"/>
    <col min="8720" max="8720" width="8.42578125" style="71" hidden="1"/>
    <col min="8721" max="8721" width="4.85546875" style="71" hidden="1"/>
    <col min="8722" max="8722" width="11.28515625" style="71" hidden="1"/>
    <col min="8723" max="8723" width="4.85546875" style="71" hidden="1"/>
    <col min="8724" max="8724" width="8.42578125" style="71" hidden="1"/>
    <col min="8725" max="8725" width="4.85546875" style="71" hidden="1"/>
    <col min="8726" max="8726" width="11.5703125" style="71" hidden="1"/>
    <col min="8727" max="8727" width="0" style="71" hidden="1"/>
    <col min="8728" max="8728" width="5" style="71" hidden="1"/>
    <col min="8729" max="8974" width="9.140625" style="71" hidden="1"/>
    <col min="8975" max="8975" width="34.42578125" style="71" hidden="1"/>
    <col min="8976" max="8976" width="8.42578125" style="71" hidden="1"/>
    <col min="8977" max="8977" width="4.85546875" style="71" hidden="1"/>
    <col min="8978" max="8978" width="11.28515625" style="71" hidden="1"/>
    <col min="8979" max="8979" width="4.85546875" style="71" hidden="1"/>
    <col min="8980" max="8980" width="8.42578125" style="71" hidden="1"/>
    <col min="8981" max="8981" width="4.85546875" style="71" hidden="1"/>
    <col min="8982" max="8982" width="11.5703125" style="71" hidden="1"/>
    <col min="8983" max="8983" width="0" style="71" hidden="1"/>
    <col min="8984" max="8984" width="5" style="71" hidden="1"/>
    <col min="8985" max="9230" width="9.140625" style="71" hidden="1"/>
    <col min="9231" max="9231" width="34.42578125" style="71" hidden="1"/>
    <col min="9232" max="9232" width="8.42578125" style="71" hidden="1"/>
    <col min="9233" max="9233" width="4.85546875" style="71" hidden="1"/>
    <col min="9234" max="9234" width="11.28515625" style="71" hidden="1"/>
    <col min="9235" max="9235" width="4.85546875" style="71" hidden="1"/>
    <col min="9236" max="9236" width="8.42578125" style="71" hidden="1"/>
    <col min="9237" max="9237" width="4.85546875" style="71" hidden="1"/>
    <col min="9238" max="9238" width="11.5703125" style="71" hidden="1"/>
    <col min="9239" max="9239" width="0" style="71" hidden="1"/>
    <col min="9240" max="9240" width="5" style="71" hidden="1"/>
    <col min="9241" max="9486" width="9.140625" style="71" hidden="1"/>
    <col min="9487" max="9487" width="34.42578125" style="71" hidden="1"/>
    <col min="9488" max="9488" width="8.42578125" style="71" hidden="1"/>
    <col min="9489" max="9489" width="4.85546875" style="71" hidden="1"/>
    <col min="9490" max="9490" width="11.28515625" style="71" hidden="1"/>
    <col min="9491" max="9491" width="4.85546875" style="71" hidden="1"/>
    <col min="9492" max="9492" width="8.42578125" style="71" hidden="1"/>
    <col min="9493" max="9493" width="4.85546875" style="71" hidden="1"/>
    <col min="9494" max="9494" width="11.5703125" style="71" hidden="1"/>
    <col min="9495" max="9495" width="0" style="71" hidden="1"/>
    <col min="9496" max="9496" width="5" style="71" hidden="1"/>
    <col min="9497" max="9742" width="9.140625" style="71" hidden="1"/>
    <col min="9743" max="9743" width="34.42578125" style="71" hidden="1"/>
    <col min="9744" max="9744" width="8.42578125" style="71" hidden="1"/>
    <col min="9745" max="9745" width="4.85546875" style="71" hidden="1"/>
    <col min="9746" max="9746" width="11.28515625" style="71" hidden="1"/>
    <col min="9747" max="9747" width="4.85546875" style="71" hidden="1"/>
    <col min="9748" max="9748" width="8.42578125" style="71" hidden="1"/>
    <col min="9749" max="9749" width="4.85546875" style="71" hidden="1"/>
    <col min="9750" max="9750" width="11.5703125" style="71" hidden="1"/>
    <col min="9751" max="9751" width="0" style="71" hidden="1"/>
    <col min="9752" max="9752" width="5" style="71" hidden="1"/>
    <col min="9753" max="9998" width="9.140625" style="71" hidden="1"/>
    <col min="9999" max="9999" width="34.42578125" style="71" hidden="1"/>
    <col min="10000" max="10000" width="8.42578125" style="71" hidden="1"/>
    <col min="10001" max="10001" width="4.85546875" style="71" hidden="1"/>
    <col min="10002" max="10002" width="11.28515625" style="71" hidden="1"/>
    <col min="10003" max="10003" width="4.85546875" style="71" hidden="1"/>
    <col min="10004" max="10004" width="8.42578125" style="71" hidden="1"/>
    <col min="10005" max="10005" width="4.85546875" style="71" hidden="1"/>
    <col min="10006" max="10006" width="11.5703125" style="71" hidden="1"/>
    <col min="10007" max="10007" width="0" style="71" hidden="1"/>
    <col min="10008" max="10008" width="5" style="71" hidden="1"/>
    <col min="10009" max="10254" width="9.140625" style="71" hidden="1"/>
    <col min="10255" max="10255" width="34.42578125" style="71" hidden="1"/>
    <col min="10256" max="10256" width="8.42578125" style="71" hidden="1"/>
    <col min="10257" max="10257" width="4.85546875" style="71" hidden="1"/>
    <col min="10258" max="10258" width="11.28515625" style="71" hidden="1"/>
    <col min="10259" max="10259" width="4.85546875" style="71" hidden="1"/>
    <col min="10260" max="10260" width="8.42578125" style="71" hidden="1"/>
    <col min="10261" max="10261" width="4.85546875" style="71" hidden="1"/>
    <col min="10262" max="10262" width="11.5703125" style="71" hidden="1"/>
    <col min="10263" max="10263" width="0" style="71" hidden="1"/>
    <col min="10264" max="10264" width="5" style="71" hidden="1"/>
    <col min="10265" max="10510" width="9.140625" style="71" hidden="1"/>
    <col min="10511" max="10511" width="34.42578125" style="71" hidden="1"/>
    <col min="10512" max="10512" width="8.42578125" style="71" hidden="1"/>
    <col min="10513" max="10513" width="4.85546875" style="71" hidden="1"/>
    <col min="10514" max="10514" width="11.28515625" style="71" hidden="1"/>
    <col min="10515" max="10515" width="4.85546875" style="71" hidden="1"/>
    <col min="10516" max="10516" width="8.42578125" style="71" hidden="1"/>
    <col min="10517" max="10517" width="4.85546875" style="71" hidden="1"/>
    <col min="10518" max="10518" width="11.5703125" style="71" hidden="1"/>
    <col min="10519" max="10519" width="0" style="71" hidden="1"/>
    <col min="10520" max="10520" width="5" style="71" hidden="1"/>
    <col min="10521" max="10766" width="9.140625" style="71" hidden="1"/>
    <col min="10767" max="10767" width="34.42578125" style="71" hidden="1"/>
    <col min="10768" max="10768" width="8.42578125" style="71" hidden="1"/>
    <col min="10769" max="10769" width="4.85546875" style="71" hidden="1"/>
    <col min="10770" max="10770" width="11.28515625" style="71" hidden="1"/>
    <col min="10771" max="10771" width="4.85546875" style="71" hidden="1"/>
    <col min="10772" max="10772" width="8.42578125" style="71" hidden="1"/>
    <col min="10773" max="10773" width="4.85546875" style="71" hidden="1"/>
    <col min="10774" max="10774" width="11.5703125" style="71" hidden="1"/>
    <col min="10775" max="10775" width="0" style="71" hidden="1"/>
    <col min="10776" max="10776" width="5" style="71" hidden="1"/>
    <col min="10777" max="11022" width="9.140625" style="71" hidden="1"/>
    <col min="11023" max="11023" width="34.42578125" style="71" hidden="1"/>
    <col min="11024" max="11024" width="8.42578125" style="71" hidden="1"/>
    <col min="11025" max="11025" width="4.85546875" style="71" hidden="1"/>
    <col min="11026" max="11026" width="11.28515625" style="71" hidden="1"/>
    <col min="11027" max="11027" width="4.85546875" style="71" hidden="1"/>
    <col min="11028" max="11028" width="8.42578125" style="71" hidden="1"/>
    <col min="11029" max="11029" width="4.85546875" style="71" hidden="1"/>
    <col min="11030" max="11030" width="11.5703125" style="71" hidden="1"/>
    <col min="11031" max="11031" width="0" style="71" hidden="1"/>
    <col min="11032" max="11032" width="5" style="71" hidden="1"/>
    <col min="11033" max="11278" width="9.140625" style="71" hidden="1"/>
    <col min="11279" max="11279" width="34.42578125" style="71" hidden="1"/>
    <col min="11280" max="11280" width="8.42578125" style="71" hidden="1"/>
    <col min="11281" max="11281" width="4.85546875" style="71" hidden="1"/>
    <col min="11282" max="11282" width="11.28515625" style="71" hidden="1"/>
    <col min="11283" max="11283" width="4.85546875" style="71" hidden="1"/>
    <col min="11284" max="11284" width="8.42578125" style="71" hidden="1"/>
    <col min="11285" max="11285" width="4.85546875" style="71" hidden="1"/>
    <col min="11286" max="11286" width="11.5703125" style="71" hidden="1"/>
    <col min="11287" max="11287" width="0" style="71" hidden="1"/>
    <col min="11288" max="11288" width="5" style="71" hidden="1"/>
    <col min="11289" max="11534" width="9.140625" style="71" hidden="1"/>
    <col min="11535" max="11535" width="34.42578125" style="71" hidden="1"/>
    <col min="11536" max="11536" width="8.42578125" style="71" hidden="1"/>
    <col min="11537" max="11537" width="4.85546875" style="71" hidden="1"/>
    <col min="11538" max="11538" width="11.28515625" style="71" hidden="1"/>
    <col min="11539" max="11539" width="4.85546875" style="71" hidden="1"/>
    <col min="11540" max="11540" width="8.42578125" style="71" hidden="1"/>
    <col min="11541" max="11541" width="4.85546875" style="71" hidden="1"/>
    <col min="11542" max="11542" width="11.5703125" style="71" hidden="1"/>
    <col min="11543" max="11543" width="0" style="71" hidden="1"/>
    <col min="11544" max="11544" width="5" style="71" hidden="1"/>
    <col min="11545" max="11790" width="9.140625" style="71" hidden="1"/>
    <col min="11791" max="11791" width="34.42578125" style="71" hidden="1"/>
    <col min="11792" max="11792" width="8.42578125" style="71" hidden="1"/>
    <col min="11793" max="11793" width="4.85546875" style="71" hidden="1"/>
    <col min="11794" max="11794" width="11.28515625" style="71" hidden="1"/>
    <col min="11795" max="11795" width="4.85546875" style="71" hidden="1"/>
    <col min="11796" max="11796" width="8.42578125" style="71" hidden="1"/>
    <col min="11797" max="11797" width="4.85546875" style="71" hidden="1"/>
    <col min="11798" max="11798" width="11.5703125" style="71" hidden="1"/>
    <col min="11799" max="11799" width="0" style="71" hidden="1"/>
    <col min="11800" max="11800" width="5" style="71" hidden="1"/>
    <col min="11801" max="12046" width="9.140625" style="71" hidden="1"/>
    <col min="12047" max="12047" width="34.42578125" style="71" hidden="1"/>
    <col min="12048" max="12048" width="8.42578125" style="71" hidden="1"/>
    <col min="12049" max="12049" width="4.85546875" style="71" hidden="1"/>
    <col min="12050" max="12050" width="11.28515625" style="71" hidden="1"/>
    <col min="12051" max="12051" width="4.85546875" style="71" hidden="1"/>
    <col min="12052" max="12052" width="8.42578125" style="71" hidden="1"/>
    <col min="12053" max="12053" width="4.85546875" style="71" hidden="1"/>
    <col min="12054" max="12054" width="11.5703125" style="71" hidden="1"/>
    <col min="12055" max="12055" width="0" style="71" hidden="1"/>
    <col min="12056" max="12056" width="5" style="71" hidden="1"/>
    <col min="12057" max="12302" width="9.140625" style="71" hidden="1"/>
    <col min="12303" max="12303" width="34.42578125" style="71" hidden="1"/>
    <col min="12304" max="12304" width="8.42578125" style="71" hidden="1"/>
    <col min="12305" max="12305" width="4.85546875" style="71" hidden="1"/>
    <col min="12306" max="12306" width="11.28515625" style="71" hidden="1"/>
    <col min="12307" max="12307" width="4.85546875" style="71" hidden="1"/>
    <col min="12308" max="12308" width="8.42578125" style="71" hidden="1"/>
    <col min="12309" max="12309" width="4.85546875" style="71" hidden="1"/>
    <col min="12310" max="12310" width="11.5703125" style="71" hidden="1"/>
    <col min="12311" max="12311" width="0" style="71" hidden="1"/>
    <col min="12312" max="12312" width="5" style="71" hidden="1"/>
    <col min="12313" max="12558" width="9.140625" style="71" hidden="1"/>
    <col min="12559" max="12559" width="34.42578125" style="71" hidden="1"/>
    <col min="12560" max="12560" width="8.42578125" style="71" hidden="1"/>
    <col min="12561" max="12561" width="4.85546875" style="71" hidden="1"/>
    <col min="12562" max="12562" width="11.28515625" style="71" hidden="1"/>
    <col min="12563" max="12563" width="4.85546875" style="71" hidden="1"/>
    <col min="12564" max="12564" width="8.42578125" style="71" hidden="1"/>
    <col min="12565" max="12565" width="4.85546875" style="71" hidden="1"/>
    <col min="12566" max="12566" width="11.5703125" style="71" hidden="1"/>
    <col min="12567" max="12567" width="0" style="71" hidden="1"/>
    <col min="12568" max="12568" width="5" style="71" hidden="1"/>
    <col min="12569" max="12814" width="9.140625" style="71" hidden="1"/>
    <col min="12815" max="12815" width="34.42578125" style="71" hidden="1"/>
    <col min="12816" max="12816" width="8.42578125" style="71" hidden="1"/>
    <col min="12817" max="12817" width="4.85546875" style="71" hidden="1"/>
    <col min="12818" max="12818" width="11.28515625" style="71" hidden="1"/>
    <col min="12819" max="12819" width="4.85546875" style="71" hidden="1"/>
    <col min="12820" max="12820" width="8.42578125" style="71" hidden="1"/>
    <col min="12821" max="12821" width="4.85546875" style="71" hidden="1"/>
    <col min="12822" max="12822" width="11.5703125" style="71" hidden="1"/>
    <col min="12823" max="12823" width="0" style="71" hidden="1"/>
    <col min="12824" max="12824" width="5" style="71" hidden="1"/>
    <col min="12825" max="13070" width="9.140625" style="71" hidden="1"/>
    <col min="13071" max="13071" width="34.42578125" style="71" hidden="1"/>
    <col min="13072" max="13072" width="8.42578125" style="71" hidden="1"/>
    <col min="13073" max="13073" width="4.85546875" style="71" hidden="1"/>
    <col min="13074" max="13074" width="11.28515625" style="71" hidden="1"/>
    <col min="13075" max="13075" width="4.85546875" style="71" hidden="1"/>
    <col min="13076" max="13076" width="8.42578125" style="71" hidden="1"/>
    <col min="13077" max="13077" width="4.85546875" style="71" hidden="1"/>
    <col min="13078" max="13078" width="11.5703125" style="71" hidden="1"/>
    <col min="13079" max="13079" width="0" style="71" hidden="1"/>
    <col min="13080" max="13080" width="5" style="71" hidden="1"/>
    <col min="13081" max="13326" width="9.140625" style="71" hidden="1"/>
    <col min="13327" max="13327" width="34.42578125" style="71" hidden="1"/>
    <col min="13328" max="13328" width="8.42578125" style="71" hidden="1"/>
    <col min="13329" max="13329" width="4.85546875" style="71" hidden="1"/>
    <col min="13330" max="13330" width="11.28515625" style="71" hidden="1"/>
    <col min="13331" max="13331" width="4.85546875" style="71" hidden="1"/>
    <col min="13332" max="13332" width="8.42578125" style="71" hidden="1"/>
    <col min="13333" max="13333" width="4.85546875" style="71" hidden="1"/>
    <col min="13334" max="13334" width="11.5703125" style="71" hidden="1"/>
    <col min="13335" max="13335" width="0" style="71" hidden="1"/>
    <col min="13336" max="13336" width="5" style="71" hidden="1"/>
    <col min="13337" max="13582" width="9.140625" style="71" hidden="1"/>
    <col min="13583" max="13583" width="34.42578125" style="71" hidden="1"/>
    <col min="13584" max="13584" width="8.42578125" style="71" hidden="1"/>
    <col min="13585" max="13585" width="4.85546875" style="71" hidden="1"/>
    <col min="13586" max="13586" width="11.28515625" style="71" hidden="1"/>
    <col min="13587" max="13587" width="4.85546875" style="71" hidden="1"/>
    <col min="13588" max="13588" width="8.42578125" style="71" hidden="1"/>
    <col min="13589" max="13589" width="4.85546875" style="71" hidden="1"/>
    <col min="13590" max="13590" width="11.5703125" style="71" hidden="1"/>
    <col min="13591" max="13591" width="0" style="71" hidden="1"/>
    <col min="13592" max="13592" width="5" style="71" hidden="1"/>
    <col min="13593" max="13838" width="9.140625" style="71" hidden="1"/>
    <col min="13839" max="13839" width="34.42578125" style="71" hidden="1"/>
    <col min="13840" max="13840" width="8.42578125" style="71" hidden="1"/>
    <col min="13841" max="13841" width="4.85546875" style="71" hidden="1"/>
    <col min="13842" max="13842" width="11.28515625" style="71" hidden="1"/>
    <col min="13843" max="13843" width="4.85546875" style="71" hidden="1"/>
    <col min="13844" max="13844" width="8.42578125" style="71" hidden="1"/>
    <col min="13845" max="13845" width="4.85546875" style="71" hidden="1"/>
    <col min="13846" max="13846" width="11.5703125" style="71" hidden="1"/>
    <col min="13847" max="13847" width="0" style="71" hidden="1"/>
    <col min="13848" max="13848" width="5" style="71" hidden="1"/>
    <col min="13849" max="14094" width="9.140625" style="71" hidden="1"/>
    <col min="14095" max="14095" width="34.42578125" style="71" hidden="1"/>
    <col min="14096" max="14096" width="8.42578125" style="71" hidden="1"/>
    <col min="14097" max="14097" width="4.85546875" style="71" hidden="1"/>
    <col min="14098" max="14098" width="11.28515625" style="71" hidden="1"/>
    <col min="14099" max="14099" width="4.85546875" style="71" hidden="1"/>
    <col min="14100" max="14100" width="8.42578125" style="71" hidden="1"/>
    <col min="14101" max="14101" width="4.85546875" style="71" hidden="1"/>
    <col min="14102" max="14102" width="11.5703125" style="71" hidden="1"/>
    <col min="14103" max="14103" width="0" style="71" hidden="1"/>
    <col min="14104" max="14104" width="5" style="71" hidden="1"/>
    <col min="14105" max="14350" width="9.140625" style="71" hidden="1"/>
    <col min="14351" max="14351" width="34.42578125" style="71" hidden="1"/>
    <col min="14352" max="14352" width="8.42578125" style="71" hidden="1"/>
    <col min="14353" max="14353" width="4.85546875" style="71" hidden="1"/>
    <col min="14354" max="14354" width="11.28515625" style="71" hidden="1"/>
    <col min="14355" max="14355" width="4.85546875" style="71" hidden="1"/>
    <col min="14356" max="14356" width="8.42578125" style="71" hidden="1"/>
    <col min="14357" max="14357" width="4.85546875" style="71" hidden="1"/>
    <col min="14358" max="14358" width="11.5703125" style="71" hidden="1"/>
    <col min="14359" max="14359" width="0" style="71" hidden="1"/>
    <col min="14360" max="14360" width="5" style="71" hidden="1"/>
    <col min="14361" max="14606" width="9.140625" style="71" hidden="1"/>
    <col min="14607" max="14607" width="34.42578125" style="71" hidden="1"/>
    <col min="14608" max="14608" width="8.42578125" style="71" hidden="1"/>
    <col min="14609" max="14609" width="4.85546875" style="71" hidden="1"/>
    <col min="14610" max="14610" width="11.28515625" style="71" hidden="1"/>
    <col min="14611" max="14611" width="4.85546875" style="71" hidden="1"/>
    <col min="14612" max="14612" width="8.42578125" style="71" hidden="1"/>
    <col min="14613" max="14613" width="4.85546875" style="71" hidden="1"/>
    <col min="14614" max="14614" width="11.5703125" style="71" hidden="1"/>
    <col min="14615" max="14615" width="0" style="71" hidden="1"/>
    <col min="14616" max="14616" width="5" style="71" hidden="1"/>
    <col min="14617" max="14862" width="9.140625" style="71" hidden="1"/>
    <col min="14863" max="14863" width="34.42578125" style="71" hidden="1"/>
    <col min="14864" max="14864" width="8.42578125" style="71" hidden="1"/>
    <col min="14865" max="14865" width="4.85546875" style="71" hidden="1"/>
    <col min="14866" max="14866" width="11.28515625" style="71" hidden="1"/>
    <col min="14867" max="14867" width="4.85546875" style="71" hidden="1"/>
    <col min="14868" max="14868" width="8.42578125" style="71" hidden="1"/>
    <col min="14869" max="14869" width="4.85546875" style="71" hidden="1"/>
    <col min="14870" max="14870" width="11.5703125" style="71" hidden="1"/>
    <col min="14871" max="14871" width="0" style="71" hidden="1"/>
    <col min="14872" max="14872" width="5" style="71" hidden="1"/>
    <col min="14873" max="15118" width="9.140625" style="71" hidden="1"/>
    <col min="15119" max="15119" width="34.42578125" style="71" hidden="1"/>
    <col min="15120" max="15120" width="8.42578125" style="71" hidden="1"/>
    <col min="15121" max="15121" width="4.85546875" style="71" hidden="1"/>
    <col min="15122" max="15122" width="11.28515625" style="71" hidden="1"/>
    <col min="15123" max="15123" width="4.85546875" style="71" hidden="1"/>
    <col min="15124" max="15124" width="8.42578125" style="71" hidden="1"/>
    <col min="15125" max="15125" width="4.85546875" style="71" hidden="1"/>
    <col min="15126" max="15126" width="11.5703125" style="71" hidden="1"/>
    <col min="15127" max="15127" width="0" style="71" hidden="1"/>
    <col min="15128" max="15128" width="5" style="71" hidden="1"/>
    <col min="15129" max="15374" width="9.140625" style="71" hidden="1"/>
    <col min="15375" max="15375" width="34.42578125" style="71" hidden="1"/>
    <col min="15376" max="15376" width="8.42578125" style="71" hidden="1"/>
    <col min="15377" max="15377" width="4.85546875" style="71" hidden="1"/>
    <col min="15378" max="15378" width="11.28515625" style="71" hidden="1"/>
    <col min="15379" max="15379" width="4.85546875" style="71" hidden="1"/>
    <col min="15380" max="15380" width="8.42578125" style="71" hidden="1"/>
    <col min="15381" max="15381" width="4.85546875" style="71" hidden="1"/>
    <col min="15382" max="15382" width="11.5703125" style="71" hidden="1"/>
    <col min="15383" max="15383" width="0" style="71" hidden="1"/>
    <col min="15384" max="15384" width="5" style="71" hidden="1"/>
    <col min="15385" max="15630" width="9.140625" style="71" hidden="1"/>
    <col min="15631" max="15631" width="34.42578125" style="71" hidden="1"/>
    <col min="15632" max="15632" width="8.42578125" style="71" hidden="1"/>
    <col min="15633" max="15633" width="4.85546875" style="71" hidden="1"/>
    <col min="15634" max="15634" width="11.28515625" style="71" hidden="1"/>
    <col min="15635" max="15635" width="4.85546875" style="71" hidden="1"/>
    <col min="15636" max="15636" width="8.42578125" style="71" hidden="1"/>
    <col min="15637" max="15637" width="4.85546875" style="71" hidden="1"/>
    <col min="15638" max="15638" width="11.5703125" style="71" hidden="1"/>
    <col min="15639" max="15639" width="0" style="71" hidden="1"/>
    <col min="15640" max="15640" width="5" style="71" hidden="1"/>
    <col min="15641" max="15886" width="9.140625" style="71" hidden="1"/>
    <col min="15887" max="15887" width="34.42578125" style="71" hidden="1"/>
    <col min="15888" max="15888" width="8.42578125" style="71" hidden="1"/>
    <col min="15889" max="15889" width="4.85546875" style="71" hidden="1"/>
    <col min="15890" max="15890" width="11.28515625" style="71" hidden="1"/>
    <col min="15891" max="15891" width="4.85546875" style="71" hidden="1"/>
    <col min="15892" max="15892" width="8.42578125" style="71" hidden="1"/>
    <col min="15893" max="15893" width="4.85546875" style="71" hidden="1"/>
    <col min="15894" max="15894" width="11.5703125" style="71" hidden="1"/>
    <col min="15895" max="15895" width="0" style="71" hidden="1"/>
    <col min="15896" max="15896" width="5" style="71" hidden="1"/>
    <col min="15897" max="16142" width="9.140625" style="71" hidden="1"/>
    <col min="16143" max="16143" width="34.42578125" style="71" hidden="1"/>
    <col min="16144" max="16144" width="8.42578125" style="71" hidden="1"/>
    <col min="16145" max="16145" width="4.85546875" style="71" hidden="1"/>
    <col min="16146" max="16146" width="11.28515625" style="71" hidden="1"/>
    <col min="16147" max="16147" width="4.85546875" style="71" hidden="1"/>
    <col min="16148" max="16148" width="8.42578125" style="71" hidden="1"/>
    <col min="16149" max="16149" width="4.85546875" style="71" hidden="1"/>
    <col min="16150" max="16150" width="11.5703125" style="71" hidden="1"/>
    <col min="16151" max="16151" width="0" style="71" hidden="1"/>
    <col min="16152" max="16152" width="5" style="71" hidden="1"/>
    <col min="16153" max="16384" width="9.140625" style="71" hidden="1"/>
  </cols>
  <sheetData>
    <row r="1" spans="1:42" s="16" customFormat="1" ht="15.75" x14ac:dyDescent="0.2">
      <c r="B1" s="47"/>
      <c r="C1" s="47"/>
      <c r="K1" s="47"/>
      <c r="L1" s="47"/>
      <c r="M1" s="47"/>
    </row>
    <row r="2" spans="1:42" s="16" customFormat="1" ht="26.25" x14ac:dyDescent="0.2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spans="1:42" s="16" customFormat="1" ht="18.75" x14ac:dyDescent="0.2">
      <c r="A3" s="16" t="s">
        <v>114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spans="1:42" ht="26.25" x14ac:dyDescent="0.2">
      <c r="A4" s="42" t="s">
        <v>4</v>
      </c>
      <c r="Q4" s="74"/>
      <c r="U4" s="74"/>
    </row>
    <row r="5" spans="1:42" ht="18.75" x14ac:dyDescent="0.2">
      <c r="A5" s="44" t="s">
        <v>115</v>
      </c>
      <c r="D5" s="21" t="str">
        <f>"4T "&amp;D7</f>
        <v>4T 2019</v>
      </c>
      <c r="E5" s="21" t="str">
        <f>"4T "&amp;E7</f>
        <v>4T 2020</v>
      </c>
      <c r="F5" s="21" t="str">
        <f>"4T "&amp;F7</f>
        <v>4T 2021</v>
      </c>
      <c r="G5" s="21" t="str">
        <f>"4T "&amp;G7</f>
        <v>4T 2022</v>
      </c>
      <c r="H5" s="21" t="s">
        <v>283</v>
      </c>
      <c r="I5" s="21" t="s">
        <v>300</v>
      </c>
      <c r="J5" s="21" t="s">
        <v>320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</row>
    <row r="6" spans="1:42" s="1" customFormat="1" ht="5.25" customHeight="1" x14ac:dyDescent="0.2">
      <c r="B6" s="15"/>
      <c r="C6" s="15"/>
      <c r="D6" s="22"/>
      <c r="E6" s="22"/>
      <c r="F6" s="22"/>
      <c r="G6" s="22"/>
      <c r="H6" s="22"/>
      <c r="I6" s="22"/>
      <c r="J6" s="22"/>
      <c r="K6" s="15"/>
      <c r="L6" s="15"/>
      <c r="M6" s="15"/>
      <c r="N6" s="22"/>
      <c r="O6" s="22"/>
      <c r="P6" s="22"/>
      <c r="Q6" s="22"/>
      <c r="R6" s="15"/>
      <c r="S6" s="22"/>
      <c r="T6" s="22"/>
      <c r="U6" s="22"/>
      <c r="V6" s="15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2" ht="15.75" x14ac:dyDescent="0.2">
      <c r="A7" s="22" t="s">
        <v>7</v>
      </c>
      <c r="B7" s="75"/>
      <c r="C7" s="75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75"/>
      <c r="L7" s="75"/>
      <c r="M7" s="75"/>
      <c r="N7" s="9" t="s">
        <v>8</v>
      </c>
      <c r="O7" s="9" t="s">
        <v>9</v>
      </c>
      <c r="P7" s="9" t="s">
        <v>10</v>
      </c>
      <c r="Q7" s="9" t="s">
        <v>11</v>
      </c>
      <c r="R7" s="9" t="s">
        <v>12</v>
      </c>
      <c r="S7" s="9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18</v>
      </c>
      <c r="Y7" s="9" t="s">
        <v>19</v>
      </c>
      <c r="Z7" s="9" t="s">
        <v>20</v>
      </c>
      <c r="AA7" s="9" t="s">
        <v>21</v>
      </c>
      <c r="AB7" s="9" t="s">
        <v>22</v>
      </c>
      <c r="AC7" s="9" t="s">
        <v>23</v>
      </c>
      <c r="AD7" s="9" t="s">
        <v>251</v>
      </c>
      <c r="AE7" s="9" t="s">
        <v>254</v>
      </c>
      <c r="AF7" s="9" t="s">
        <v>263</v>
      </c>
      <c r="AG7" s="9" t="s">
        <v>283</v>
      </c>
      <c r="AH7" s="9" t="s">
        <v>288</v>
      </c>
      <c r="AI7" s="9" t="s">
        <v>296</v>
      </c>
      <c r="AJ7" s="9" t="s">
        <v>298</v>
      </c>
      <c r="AK7" s="9" t="s">
        <v>300</v>
      </c>
      <c r="AL7" s="9" t="s">
        <v>304</v>
      </c>
      <c r="AM7" s="9" t="s">
        <v>312</v>
      </c>
      <c r="AN7" s="9" t="s">
        <v>318</v>
      </c>
      <c r="AO7" s="9" t="s">
        <v>320</v>
      </c>
    </row>
    <row r="8" spans="1:42" s="1" customFormat="1" ht="5.25" customHeight="1" x14ac:dyDescent="0.2">
      <c r="B8" s="15"/>
      <c r="C8" s="15"/>
      <c r="D8" s="22"/>
      <c r="E8" s="22"/>
      <c r="F8" s="22"/>
      <c r="G8" s="22"/>
      <c r="H8" s="22"/>
      <c r="I8" s="22"/>
      <c r="J8" s="22"/>
      <c r="K8" s="15"/>
      <c r="L8" s="15"/>
      <c r="M8" s="15"/>
      <c r="N8" s="22"/>
      <c r="O8" s="22"/>
      <c r="P8" s="22"/>
      <c r="Q8" s="22"/>
      <c r="R8" s="15"/>
      <c r="S8" s="22"/>
      <c r="T8" s="22"/>
      <c r="U8" s="22"/>
      <c r="V8" s="15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42" s="1" customFormat="1" ht="5.25" customHeight="1" x14ac:dyDescent="0.2">
      <c r="B9" s="15"/>
      <c r="C9" s="15"/>
      <c r="D9" s="22"/>
      <c r="E9" s="22"/>
      <c r="F9" s="22"/>
      <c r="G9" s="22"/>
      <c r="H9" s="22"/>
      <c r="I9" s="22"/>
      <c r="J9" s="22"/>
      <c r="K9" s="15"/>
      <c r="L9" s="15"/>
      <c r="M9" s="15"/>
      <c r="N9" s="22"/>
      <c r="O9" s="22"/>
      <c r="P9" s="22"/>
      <c r="Q9" s="22"/>
      <c r="R9" s="15"/>
      <c r="S9" s="22"/>
      <c r="T9" s="22"/>
      <c r="U9" s="22"/>
      <c r="V9" s="1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42" ht="15.75" x14ac:dyDescent="0.2">
      <c r="A10" s="145" t="s">
        <v>116</v>
      </c>
      <c r="B10" s="76"/>
      <c r="C10" s="76"/>
      <c r="D10" s="177">
        <f>SUM(D11:D28)</f>
        <v>161239</v>
      </c>
      <c r="E10" s="177">
        <f t="shared" ref="E10:G10" si="0">SUM(E11:E28)</f>
        <v>220186</v>
      </c>
      <c r="F10" s="177">
        <f t="shared" si="0"/>
        <v>512914</v>
      </c>
      <c r="G10" s="177">
        <f t="shared" si="0"/>
        <v>571169</v>
      </c>
      <c r="H10" s="177">
        <f>SUM(H11:H30)</f>
        <v>501660</v>
      </c>
      <c r="I10" s="177">
        <f>SUM(I11:I30)</f>
        <v>518093</v>
      </c>
      <c r="J10" s="177">
        <f>SUM(J11:J30)</f>
        <v>598722</v>
      </c>
      <c r="K10" s="76"/>
      <c r="L10" s="76"/>
      <c r="M10" s="76"/>
      <c r="N10" s="177">
        <f t="shared" ref="N10:AF10" si="1">SUM(N11:N28)</f>
        <v>49097</v>
      </c>
      <c r="O10" s="177">
        <f t="shared" si="1"/>
        <v>88999</v>
      </c>
      <c r="P10" s="177">
        <f t="shared" si="1"/>
        <v>92646</v>
      </c>
      <c r="Q10" s="177">
        <f t="shared" si="1"/>
        <v>161239</v>
      </c>
      <c r="R10" s="177">
        <f t="shared" si="1"/>
        <v>52200</v>
      </c>
      <c r="S10" s="177">
        <f t="shared" si="1"/>
        <v>110328</v>
      </c>
      <c r="T10" s="177">
        <f t="shared" si="1"/>
        <v>165276</v>
      </c>
      <c r="U10" s="177">
        <f t="shared" si="1"/>
        <v>220186</v>
      </c>
      <c r="V10" s="177">
        <f t="shared" si="1"/>
        <v>105333</v>
      </c>
      <c r="W10" s="177">
        <f t="shared" si="1"/>
        <v>220438</v>
      </c>
      <c r="X10" s="177">
        <f t="shared" si="1"/>
        <v>370064</v>
      </c>
      <c r="Y10" s="177">
        <f t="shared" si="1"/>
        <v>512914</v>
      </c>
      <c r="Z10" s="177">
        <f t="shared" si="1"/>
        <v>140897</v>
      </c>
      <c r="AA10" s="177">
        <f t="shared" si="1"/>
        <v>296448</v>
      </c>
      <c r="AB10" s="177">
        <f t="shared" si="1"/>
        <v>439448</v>
      </c>
      <c r="AC10" s="177">
        <f t="shared" si="1"/>
        <v>571169</v>
      </c>
      <c r="AD10" s="177">
        <f t="shared" si="1"/>
        <v>135123</v>
      </c>
      <c r="AE10" s="177">
        <f t="shared" si="1"/>
        <v>241106</v>
      </c>
      <c r="AF10" s="177">
        <f t="shared" si="1"/>
        <v>385823</v>
      </c>
      <c r="AG10" s="177">
        <f t="shared" ref="AG10:AO10" si="2">SUM(AG11:AG30)</f>
        <v>501660</v>
      </c>
      <c r="AH10" s="177">
        <f t="shared" si="2"/>
        <v>113366</v>
      </c>
      <c r="AI10" s="177">
        <f t="shared" si="2"/>
        <v>248855</v>
      </c>
      <c r="AJ10" s="177">
        <f t="shared" si="2"/>
        <v>388201</v>
      </c>
      <c r="AK10" s="177">
        <f t="shared" si="2"/>
        <v>518093</v>
      </c>
      <c r="AL10" s="177">
        <f t="shared" si="2"/>
        <v>141752</v>
      </c>
      <c r="AM10" s="177">
        <f t="shared" si="2"/>
        <v>279379</v>
      </c>
      <c r="AN10" s="177">
        <f t="shared" si="2"/>
        <v>451753</v>
      </c>
      <c r="AO10" s="177">
        <f t="shared" si="2"/>
        <v>586950</v>
      </c>
      <c r="AP10" s="77"/>
    </row>
    <row r="11" spans="1:42" ht="15.75" x14ac:dyDescent="0.2">
      <c r="A11" s="142" t="s">
        <v>117</v>
      </c>
      <c r="B11" s="76"/>
      <c r="C11" s="76"/>
      <c r="D11" s="178">
        <f t="shared" ref="D11:F30" si="3">INDEX($N11:$AB11,MATCH(D$5,$N$7:$AB$7,0))</f>
        <v>-135573</v>
      </c>
      <c r="E11" s="178">
        <f t="shared" si="3"/>
        <v>109914</v>
      </c>
      <c r="F11" s="178">
        <f t="shared" si="3"/>
        <v>390213</v>
      </c>
      <c r="G11" s="178">
        <f>INDEX($N11:$AG11,MATCH(G$5,$N$7:$AG$7,0))</f>
        <v>518360</v>
      </c>
      <c r="H11" s="178">
        <f t="shared" ref="H11:J30" si="4">INDEX($N11:$AP11,MATCH(H$5,$N$7:$AP$7,0))</f>
        <v>505839</v>
      </c>
      <c r="I11" s="178">
        <f t="shared" si="4"/>
        <v>207527</v>
      </c>
      <c r="J11" s="178">
        <f t="shared" si="4"/>
        <v>305034</v>
      </c>
      <c r="K11" s="76"/>
      <c r="L11" s="76"/>
      <c r="M11" s="76"/>
      <c r="N11" s="176">
        <v>-4484</v>
      </c>
      <c r="O11" s="176">
        <v>-16226</v>
      </c>
      <c r="P11" s="176">
        <v>-71775</v>
      </c>
      <c r="Q11" s="176">
        <v>-135573</v>
      </c>
      <c r="R11" s="176">
        <v>19600</v>
      </c>
      <c r="S11" s="176">
        <v>42571</v>
      </c>
      <c r="T11" s="176">
        <v>74904</v>
      </c>
      <c r="U11" s="176">
        <v>109914</v>
      </c>
      <c r="V11" s="176">
        <v>83169</v>
      </c>
      <c r="W11" s="176">
        <v>175012</v>
      </c>
      <c r="X11" s="176">
        <v>292805</v>
      </c>
      <c r="Y11" s="176">
        <v>390213</v>
      </c>
      <c r="Z11" s="176">
        <v>139588</v>
      </c>
      <c r="AA11" s="176">
        <v>265719</v>
      </c>
      <c r="AB11" s="176">
        <v>403986</v>
      </c>
      <c r="AC11" s="176">
        <v>518360</v>
      </c>
      <c r="AD11" s="176">
        <v>117367</v>
      </c>
      <c r="AE11" s="176">
        <v>421281</v>
      </c>
      <c r="AF11" s="176">
        <v>512269</v>
      </c>
      <c r="AG11" s="176">
        <v>505839</v>
      </c>
      <c r="AH11" s="176">
        <v>54887</v>
      </c>
      <c r="AI11" s="176">
        <v>116039</v>
      </c>
      <c r="AJ11" s="176">
        <v>172373</v>
      </c>
      <c r="AK11" s="176">
        <v>207527</v>
      </c>
      <c r="AL11" s="176">
        <v>73498</v>
      </c>
      <c r="AM11" s="176">
        <v>198029</v>
      </c>
      <c r="AN11" s="176">
        <v>258449</v>
      </c>
      <c r="AO11" s="176">
        <v>305034</v>
      </c>
      <c r="AP11" s="77"/>
    </row>
    <row r="12" spans="1:42" ht="15.75" x14ac:dyDescent="0.2">
      <c r="A12" s="142" t="s">
        <v>28</v>
      </c>
      <c r="B12" s="76"/>
      <c r="C12" s="76"/>
      <c r="D12" s="178">
        <f t="shared" si="3"/>
        <v>-7970</v>
      </c>
      <c r="E12" s="178">
        <f t="shared" si="3"/>
        <v>-18374</v>
      </c>
      <c r="F12" s="178">
        <f t="shared" si="3"/>
        <v>-43849</v>
      </c>
      <c r="G12" s="178">
        <f t="shared" ref="G12:G30" si="5">INDEX($N12:$AG12,MATCH(G$5,$N$7:$AG$7,0))</f>
        <v>-139003</v>
      </c>
      <c r="H12" s="178">
        <f t="shared" si="4"/>
        <v>-71620</v>
      </c>
      <c r="I12" s="178">
        <f t="shared" si="4"/>
        <v>-83736</v>
      </c>
      <c r="J12" s="178">
        <f t="shared" si="4"/>
        <v>-116800</v>
      </c>
      <c r="K12" s="76"/>
      <c r="L12" s="76"/>
      <c r="M12" s="76"/>
      <c r="N12" s="176">
        <v>-2607</v>
      </c>
      <c r="O12" s="176">
        <v>-1337</v>
      </c>
      <c r="P12" s="176">
        <v>-7294</v>
      </c>
      <c r="Q12" s="176">
        <v>-7970</v>
      </c>
      <c r="R12" s="176">
        <v>-4469</v>
      </c>
      <c r="S12" s="176">
        <v>-8086</v>
      </c>
      <c r="T12" s="176">
        <v>-8819</v>
      </c>
      <c r="U12" s="176">
        <v>-18374</v>
      </c>
      <c r="V12" s="176">
        <v>-11811</v>
      </c>
      <c r="W12" s="176">
        <v>-25880</v>
      </c>
      <c r="X12" s="176">
        <v>-40735</v>
      </c>
      <c r="Y12" s="176">
        <v>-43849</v>
      </c>
      <c r="Z12" s="176">
        <v>-26086</v>
      </c>
      <c r="AA12" s="176">
        <v>-61224</v>
      </c>
      <c r="AB12" s="176">
        <v>-98795</v>
      </c>
      <c r="AC12" s="176">
        <v>-139003</v>
      </c>
      <c r="AD12" s="176">
        <v>-33923</v>
      </c>
      <c r="AE12" s="176">
        <v>-67406</v>
      </c>
      <c r="AF12" s="176">
        <v>-97755</v>
      </c>
      <c r="AG12" s="176">
        <v>-71620</v>
      </c>
      <c r="AH12" s="176">
        <v>-20772</v>
      </c>
      <c r="AI12" s="176">
        <v>-44921</v>
      </c>
      <c r="AJ12" s="176">
        <v>-59771</v>
      </c>
      <c r="AK12" s="176">
        <v>-83736</v>
      </c>
      <c r="AL12" s="176">
        <v>-25715</v>
      </c>
      <c r="AM12" s="176">
        <v>-102017</v>
      </c>
      <c r="AN12" s="176">
        <v>-107403</v>
      </c>
      <c r="AO12" s="176">
        <v>-116800</v>
      </c>
    </row>
    <row r="13" spans="1:42" ht="15.75" customHeight="1" x14ac:dyDescent="0.2">
      <c r="A13" s="142" t="s">
        <v>118</v>
      </c>
      <c r="B13" s="76"/>
      <c r="C13" s="76"/>
      <c r="D13" s="178">
        <f t="shared" si="3"/>
        <v>122184</v>
      </c>
      <c r="E13" s="178">
        <f t="shared" si="3"/>
        <v>77236</v>
      </c>
      <c r="F13" s="178">
        <f t="shared" si="3"/>
        <v>92444</v>
      </c>
      <c r="G13" s="178">
        <f t="shared" si="5"/>
        <v>103028</v>
      </c>
      <c r="H13" s="178">
        <f t="shared" si="4"/>
        <v>112606</v>
      </c>
      <c r="I13" s="178">
        <f t="shared" si="4"/>
        <v>195234</v>
      </c>
      <c r="J13" s="178">
        <f t="shared" si="4"/>
        <v>204753</v>
      </c>
      <c r="K13" s="76"/>
      <c r="L13" s="76"/>
      <c r="M13" s="76"/>
      <c r="N13" s="176">
        <v>20597</v>
      </c>
      <c r="O13" s="176">
        <v>41860</v>
      </c>
      <c r="P13" s="176">
        <v>61920</v>
      </c>
      <c r="Q13" s="176">
        <v>122184</v>
      </c>
      <c r="R13" s="176">
        <v>17499</v>
      </c>
      <c r="S13" s="176">
        <v>36540</v>
      </c>
      <c r="T13" s="176">
        <v>55497</v>
      </c>
      <c r="U13" s="176">
        <v>77236</v>
      </c>
      <c r="V13" s="176">
        <v>21987</v>
      </c>
      <c r="W13" s="176">
        <v>44411</v>
      </c>
      <c r="X13" s="176">
        <v>66816</v>
      </c>
      <c r="Y13" s="176">
        <v>92444</v>
      </c>
      <c r="Z13" s="176">
        <v>23875</v>
      </c>
      <c r="AA13" s="176">
        <v>50630</v>
      </c>
      <c r="AB13" s="176">
        <v>77609</v>
      </c>
      <c r="AC13" s="176">
        <v>103028</v>
      </c>
      <c r="AD13" s="176">
        <v>25340</v>
      </c>
      <c r="AE13" s="176">
        <v>52109</v>
      </c>
      <c r="AF13" s="176">
        <v>80206</v>
      </c>
      <c r="AG13" s="176">
        <v>112606</v>
      </c>
      <c r="AH13" s="176">
        <v>43806</v>
      </c>
      <c r="AI13" s="176">
        <v>91410</v>
      </c>
      <c r="AJ13" s="176">
        <v>142086</v>
      </c>
      <c r="AK13" s="176">
        <v>195234</v>
      </c>
      <c r="AL13" s="176">
        <v>52218</v>
      </c>
      <c r="AM13" s="176">
        <v>101557</v>
      </c>
      <c r="AN13" s="176">
        <v>153381</v>
      </c>
      <c r="AO13" s="176">
        <v>204753</v>
      </c>
    </row>
    <row r="14" spans="1:42" ht="15.75" customHeight="1" x14ac:dyDescent="0.2">
      <c r="A14" s="142" t="s">
        <v>119</v>
      </c>
      <c r="B14" s="76"/>
      <c r="C14" s="76"/>
      <c r="D14" s="178">
        <f t="shared" si="3"/>
        <v>54856</v>
      </c>
      <c r="E14" s="178">
        <f t="shared" si="3"/>
        <v>771</v>
      </c>
      <c r="F14" s="178">
        <f t="shared" si="3"/>
        <v>0</v>
      </c>
      <c r="G14" s="178">
        <f t="shared" si="5"/>
        <v>0</v>
      </c>
      <c r="H14" s="178">
        <f t="shared" si="4"/>
        <v>934</v>
      </c>
      <c r="I14" s="178">
        <f t="shared" si="4"/>
        <v>1987</v>
      </c>
      <c r="J14" s="178">
        <f t="shared" si="4"/>
        <v>0</v>
      </c>
      <c r="K14" s="76"/>
      <c r="L14" s="76"/>
      <c r="M14" s="76"/>
      <c r="N14" s="176">
        <v>0</v>
      </c>
      <c r="O14" s="176">
        <v>0</v>
      </c>
      <c r="P14" s="176">
        <v>54856</v>
      </c>
      <c r="Q14" s="176">
        <v>54856</v>
      </c>
      <c r="R14" s="176">
        <v>0</v>
      </c>
      <c r="S14" s="176">
        <v>0</v>
      </c>
      <c r="T14" s="176">
        <v>0</v>
      </c>
      <c r="U14" s="176">
        <v>771</v>
      </c>
      <c r="V14" s="176">
        <v>0</v>
      </c>
      <c r="W14" s="176">
        <v>0</v>
      </c>
      <c r="X14" s="176">
        <v>0</v>
      </c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v>0</v>
      </c>
      <c r="AE14" s="176">
        <v>0</v>
      </c>
      <c r="AF14" s="176">
        <v>0</v>
      </c>
      <c r="AG14" s="176">
        <v>934</v>
      </c>
      <c r="AH14" s="176">
        <v>0</v>
      </c>
      <c r="AI14" s="176">
        <v>0</v>
      </c>
      <c r="AJ14" s="176">
        <v>0</v>
      </c>
      <c r="AK14" s="176">
        <v>1987</v>
      </c>
      <c r="AL14" s="176">
        <v>0</v>
      </c>
      <c r="AM14" s="176">
        <v>0</v>
      </c>
      <c r="AN14" s="176">
        <v>0</v>
      </c>
      <c r="AO14" s="176">
        <v>0</v>
      </c>
    </row>
    <row r="15" spans="1:42" ht="15.75" customHeight="1" x14ac:dyDescent="0.2">
      <c r="A15" s="142" t="s">
        <v>284</v>
      </c>
      <c r="B15" s="76"/>
      <c r="C15" s="76"/>
      <c r="D15" s="178">
        <f t="shared" si="3"/>
        <v>0</v>
      </c>
      <c r="E15" s="178">
        <f t="shared" si="3"/>
        <v>0</v>
      </c>
      <c r="F15" s="178">
        <f t="shared" si="3"/>
        <v>0</v>
      </c>
      <c r="G15" s="178">
        <f t="shared" si="5"/>
        <v>0</v>
      </c>
      <c r="H15" s="178">
        <f t="shared" si="4"/>
        <v>16058</v>
      </c>
      <c r="I15" s="178">
        <f t="shared" si="4"/>
        <v>973</v>
      </c>
      <c r="J15" s="178">
        <f t="shared" si="4"/>
        <v>0</v>
      </c>
      <c r="K15" s="76"/>
      <c r="L15" s="76"/>
      <c r="M15" s="76"/>
      <c r="N15" s="176">
        <v>0</v>
      </c>
      <c r="O15" s="176">
        <v>0</v>
      </c>
      <c r="P15" s="176">
        <v>0</v>
      </c>
      <c r="Q15" s="176">
        <v>0</v>
      </c>
      <c r="R15" s="176">
        <v>0</v>
      </c>
      <c r="S15" s="176">
        <v>0</v>
      </c>
      <c r="T15" s="176">
        <v>0</v>
      </c>
      <c r="U15" s="176">
        <v>0</v>
      </c>
      <c r="V15" s="176">
        <v>0</v>
      </c>
      <c r="W15" s="176">
        <v>0</v>
      </c>
      <c r="X15" s="176">
        <v>0</v>
      </c>
      <c r="Y15" s="176">
        <v>0</v>
      </c>
      <c r="Z15" s="176">
        <v>0</v>
      </c>
      <c r="AA15" s="176">
        <v>0</v>
      </c>
      <c r="AB15" s="176">
        <v>0</v>
      </c>
      <c r="AC15" s="176">
        <v>0</v>
      </c>
      <c r="AD15" s="176">
        <v>0</v>
      </c>
      <c r="AE15" s="176">
        <v>0</v>
      </c>
      <c r="AF15" s="176">
        <v>0</v>
      </c>
      <c r="AG15" s="176">
        <v>16058</v>
      </c>
      <c r="AH15" s="176">
        <v>0</v>
      </c>
      <c r="AI15" s="176">
        <v>0</v>
      </c>
      <c r="AJ15" s="176">
        <v>0</v>
      </c>
      <c r="AK15" s="176">
        <v>973</v>
      </c>
      <c r="AL15" s="176">
        <v>0</v>
      </c>
      <c r="AM15" s="176">
        <v>0</v>
      </c>
      <c r="AN15" s="176">
        <v>0</v>
      </c>
      <c r="AO15" s="176">
        <v>0</v>
      </c>
    </row>
    <row r="16" spans="1:42" ht="15.75" customHeight="1" x14ac:dyDescent="0.2">
      <c r="A16" s="142" t="s">
        <v>302</v>
      </c>
      <c r="B16" s="76"/>
      <c r="C16" s="76"/>
      <c r="D16" s="178">
        <f t="shared" si="3"/>
        <v>0</v>
      </c>
      <c r="E16" s="178">
        <f t="shared" si="3"/>
        <v>0</v>
      </c>
      <c r="F16" s="178">
        <f t="shared" si="3"/>
        <v>0</v>
      </c>
      <c r="G16" s="178">
        <f t="shared" si="5"/>
        <v>0</v>
      </c>
      <c r="H16" s="178">
        <f t="shared" si="4"/>
        <v>2555</v>
      </c>
      <c r="I16" s="178">
        <f t="shared" si="4"/>
        <v>0</v>
      </c>
      <c r="J16" s="178">
        <f t="shared" si="4"/>
        <v>0</v>
      </c>
      <c r="K16" s="76"/>
      <c r="L16" s="76"/>
      <c r="M16" s="76"/>
      <c r="N16" s="176">
        <v>0</v>
      </c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v>0</v>
      </c>
      <c r="AE16" s="176">
        <v>0</v>
      </c>
      <c r="AF16" s="176">
        <v>0</v>
      </c>
      <c r="AG16" s="176">
        <v>2555</v>
      </c>
      <c r="AH16" s="176">
        <v>0</v>
      </c>
      <c r="AI16" s="176">
        <v>0</v>
      </c>
      <c r="AJ16" s="176">
        <v>0</v>
      </c>
      <c r="AK16" s="176">
        <v>0</v>
      </c>
      <c r="AL16" s="176">
        <v>0</v>
      </c>
      <c r="AM16" s="176">
        <v>0</v>
      </c>
      <c r="AN16" s="176">
        <v>0</v>
      </c>
      <c r="AO16" s="176">
        <v>0</v>
      </c>
    </row>
    <row r="17" spans="1:41" ht="15.75" x14ac:dyDescent="0.2">
      <c r="A17" s="365" t="s">
        <v>321</v>
      </c>
      <c r="B17" s="76"/>
      <c r="C17" s="76"/>
      <c r="D17" s="178">
        <f t="shared" si="3"/>
        <v>-16211</v>
      </c>
      <c r="E17" s="178">
        <f t="shared" si="3"/>
        <v>-4115</v>
      </c>
      <c r="F17" s="178">
        <f t="shared" si="3"/>
        <v>-2516</v>
      </c>
      <c r="G17" s="178">
        <f t="shared" si="5"/>
        <v>-11990</v>
      </c>
      <c r="H17" s="178">
        <f t="shared" si="4"/>
        <v>-3989</v>
      </c>
      <c r="I17" s="178">
        <f t="shared" si="4"/>
        <v>-1819</v>
      </c>
      <c r="J17" s="178">
        <f t="shared" si="4"/>
        <v>69</v>
      </c>
      <c r="K17" s="76"/>
      <c r="L17" s="76"/>
      <c r="M17" s="76"/>
      <c r="N17" s="176">
        <v>831</v>
      </c>
      <c r="O17" s="176">
        <v>174</v>
      </c>
      <c r="P17" s="176">
        <v>206</v>
      </c>
      <c r="Q17" s="176">
        <v>-16211</v>
      </c>
      <c r="R17" s="176">
        <v>-740</v>
      </c>
      <c r="S17" s="176">
        <v>-1204</v>
      </c>
      <c r="T17" s="176">
        <v>-1296</v>
      </c>
      <c r="U17" s="176">
        <v>-4115</v>
      </c>
      <c r="V17" s="176">
        <v>41</v>
      </c>
      <c r="W17" s="176">
        <v>-3536</v>
      </c>
      <c r="X17" s="176">
        <v>-2775</v>
      </c>
      <c r="Y17" s="176">
        <v>-2516</v>
      </c>
      <c r="Z17" s="176">
        <v>-3394</v>
      </c>
      <c r="AA17" s="176">
        <v>-3892</v>
      </c>
      <c r="AB17" s="176">
        <v>-11770</v>
      </c>
      <c r="AC17" s="176">
        <v>-11990</v>
      </c>
      <c r="AD17" s="176">
        <v>-1004</v>
      </c>
      <c r="AE17" s="176">
        <v>-958</v>
      </c>
      <c r="AF17" s="176">
        <v>-3892</v>
      </c>
      <c r="AG17" s="176">
        <v>-3989</v>
      </c>
      <c r="AH17" s="176">
        <v>-330</v>
      </c>
      <c r="AI17" s="176">
        <v>-518</v>
      </c>
      <c r="AJ17" s="176">
        <v>-1392</v>
      </c>
      <c r="AK17" s="176">
        <v>-1819</v>
      </c>
      <c r="AL17" s="176">
        <v>-66</v>
      </c>
      <c r="AM17" s="176">
        <v>-393</v>
      </c>
      <c r="AN17" s="176">
        <v>-401</v>
      </c>
      <c r="AO17" s="176">
        <v>69</v>
      </c>
    </row>
    <row r="18" spans="1:41" ht="15.75" customHeight="1" x14ac:dyDescent="0.2">
      <c r="A18" s="142" t="s">
        <v>120</v>
      </c>
      <c r="B18" s="76"/>
      <c r="C18" s="76"/>
      <c r="D18" s="178">
        <f t="shared" si="3"/>
        <v>9165</v>
      </c>
      <c r="E18" s="178">
        <f t="shared" si="3"/>
        <v>-4875</v>
      </c>
      <c r="F18" s="178">
        <f t="shared" si="3"/>
        <v>2516</v>
      </c>
      <c r="G18" s="178">
        <f t="shared" si="5"/>
        <v>9664</v>
      </c>
      <c r="H18" s="178">
        <f t="shared" si="4"/>
        <v>-1646</v>
      </c>
      <c r="I18" s="178">
        <f t="shared" si="4"/>
        <v>4973</v>
      </c>
      <c r="J18" s="178">
        <f t="shared" si="4"/>
        <v>5859</v>
      </c>
      <c r="K18" s="76"/>
      <c r="L18" s="76"/>
      <c r="M18" s="76"/>
      <c r="N18" s="176">
        <v>558</v>
      </c>
      <c r="O18" s="176">
        <v>1381</v>
      </c>
      <c r="P18" s="176">
        <v>6857</v>
      </c>
      <c r="Q18" s="176">
        <v>9165</v>
      </c>
      <c r="R18" s="176">
        <v>-4636</v>
      </c>
      <c r="S18" s="176">
        <v>-3706</v>
      </c>
      <c r="T18" s="176">
        <v>-2225</v>
      </c>
      <c r="U18" s="176">
        <v>-4875</v>
      </c>
      <c r="V18" s="176">
        <v>1306</v>
      </c>
      <c r="W18" s="176">
        <v>1751</v>
      </c>
      <c r="X18" s="176">
        <v>2928</v>
      </c>
      <c r="Y18" s="176">
        <v>2516</v>
      </c>
      <c r="Z18" s="176">
        <v>1187</v>
      </c>
      <c r="AA18" s="176">
        <v>1847</v>
      </c>
      <c r="AB18" s="176">
        <v>2487</v>
      </c>
      <c r="AC18" s="176">
        <v>9664</v>
      </c>
      <c r="AD18" s="176">
        <v>-5786</v>
      </c>
      <c r="AE18" s="176">
        <v>-4458</v>
      </c>
      <c r="AF18" s="176">
        <v>-4114</v>
      </c>
      <c r="AG18" s="176">
        <v>-1646</v>
      </c>
      <c r="AH18" s="176">
        <v>480</v>
      </c>
      <c r="AI18" s="176">
        <v>1070</v>
      </c>
      <c r="AJ18" s="176">
        <v>2697</v>
      </c>
      <c r="AK18" s="176">
        <v>4973</v>
      </c>
      <c r="AL18" s="176">
        <v>445</v>
      </c>
      <c r="AM18" s="176">
        <v>3963</v>
      </c>
      <c r="AN18" s="176">
        <v>5168</v>
      </c>
      <c r="AO18" s="176">
        <v>5859</v>
      </c>
    </row>
    <row r="19" spans="1:41" ht="15.75" x14ac:dyDescent="0.2">
      <c r="A19" s="142" t="s">
        <v>121</v>
      </c>
      <c r="B19" s="76"/>
      <c r="C19" s="76"/>
      <c r="D19" s="178">
        <f t="shared" si="3"/>
        <v>5398</v>
      </c>
      <c r="E19" s="178">
        <f t="shared" si="3"/>
        <v>1400</v>
      </c>
      <c r="F19" s="178">
        <f t="shared" si="3"/>
        <v>-350</v>
      </c>
      <c r="G19" s="178">
        <f t="shared" si="5"/>
        <v>431</v>
      </c>
      <c r="H19" s="178">
        <f t="shared" si="4"/>
        <v>597</v>
      </c>
      <c r="I19" s="178">
        <f t="shared" si="4"/>
        <v>210</v>
      </c>
      <c r="J19" s="178">
        <f t="shared" si="4"/>
        <v>-406</v>
      </c>
      <c r="K19" s="76"/>
      <c r="L19" s="76"/>
      <c r="M19" s="76"/>
      <c r="N19" s="176">
        <v>0</v>
      </c>
      <c r="O19" s="176">
        <v>76</v>
      </c>
      <c r="P19" s="176">
        <v>570</v>
      </c>
      <c r="Q19" s="176">
        <v>5398</v>
      </c>
      <c r="R19" s="176">
        <v>170</v>
      </c>
      <c r="S19" s="176">
        <v>1069</v>
      </c>
      <c r="T19" s="176">
        <v>1151</v>
      </c>
      <c r="U19" s="176">
        <v>1400</v>
      </c>
      <c r="V19" s="176">
        <v>-16</v>
      </c>
      <c r="W19" s="176">
        <v>-4</v>
      </c>
      <c r="X19" s="176">
        <v>-251</v>
      </c>
      <c r="Y19" s="176">
        <v>-350</v>
      </c>
      <c r="Z19" s="176">
        <v>151</v>
      </c>
      <c r="AA19" s="176">
        <v>42</v>
      </c>
      <c r="AB19" s="176">
        <v>482</v>
      </c>
      <c r="AC19" s="176">
        <v>431</v>
      </c>
      <c r="AD19" s="176">
        <v>-16</v>
      </c>
      <c r="AE19" s="176">
        <v>-38</v>
      </c>
      <c r="AF19" s="176">
        <v>466</v>
      </c>
      <c r="AG19" s="176">
        <v>597</v>
      </c>
      <c r="AH19" s="176">
        <v>154</v>
      </c>
      <c r="AI19" s="176">
        <v>287</v>
      </c>
      <c r="AJ19" s="176">
        <v>147</v>
      </c>
      <c r="AK19" s="176">
        <v>210</v>
      </c>
      <c r="AL19" s="176">
        <v>-80</v>
      </c>
      <c r="AM19" s="176">
        <v>-221</v>
      </c>
      <c r="AN19" s="176">
        <v>-292</v>
      </c>
      <c r="AO19" s="176">
        <v>-406</v>
      </c>
    </row>
    <row r="20" spans="1:41" ht="15.75" x14ac:dyDescent="0.2">
      <c r="A20" s="142" t="s">
        <v>122</v>
      </c>
      <c r="B20" s="76"/>
      <c r="C20" s="76"/>
      <c r="D20" s="178">
        <f t="shared" si="3"/>
        <v>2131</v>
      </c>
      <c r="E20" s="178">
        <f t="shared" si="3"/>
        <v>-2029</v>
      </c>
      <c r="F20" s="178">
        <f t="shared" si="3"/>
        <v>0</v>
      </c>
      <c r="G20" s="178">
        <f t="shared" si="5"/>
        <v>0</v>
      </c>
      <c r="H20" s="178">
        <f t="shared" si="4"/>
        <v>0</v>
      </c>
      <c r="I20" s="178">
        <f t="shared" si="4"/>
        <v>0</v>
      </c>
      <c r="J20" s="178">
        <f t="shared" si="4"/>
        <v>0</v>
      </c>
      <c r="K20" s="76"/>
      <c r="L20" s="76"/>
      <c r="M20" s="76"/>
      <c r="N20" s="176">
        <v>0</v>
      </c>
      <c r="O20" s="176">
        <v>-277</v>
      </c>
      <c r="P20" s="176">
        <v>-277</v>
      </c>
      <c r="Q20" s="176">
        <v>2131</v>
      </c>
      <c r="R20" s="176">
        <v>0</v>
      </c>
      <c r="S20" s="176">
        <v>0</v>
      </c>
      <c r="T20" s="176">
        <v>0</v>
      </c>
      <c r="U20" s="176">
        <v>-2029</v>
      </c>
      <c r="V20" s="176">
        <v>0</v>
      </c>
      <c r="W20" s="176">
        <v>0</v>
      </c>
      <c r="X20" s="176">
        <v>0</v>
      </c>
      <c r="Y20" s="176">
        <v>0</v>
      </c>
      <c r="Z20" s="176">
        <v>0</v>
      </c>
      <c r="AA20" s="176">
        <v>0</v>
      </c>
      <c r="AB20" s="176">
        <v>0</v>
      </c>
      <c r="AC20" s="176">
        <v>0</v>
      </c>
      <c r="AD20" s="176">
        <v>0</v>
      </c>
      <c r="AE20" s="176">
        <v>0</v>
      </c>
      <c r="AF20" s="176">
        <v>0</v>
      </c>
      <c r="AG20" s="176">
        <v>0</v>
      </c>
      <c r="AH20" s="176">
        <v>0</v>
      </c>
      <c r="AI20" s="176">
        <v>0</v>
      </c>
      <c r="AJ20" s="176">
        <v>0</v>
      </c>
      <c r="AK20" s="176">
        <v>0</v>
      </c>
      <c r="AL20" s="176">
        <v>0</v>
      </c>
      <c r="AM20" s="176">
        <v>0</v>
      </c>
      <c r="AN20" s="176">
        <v>0</v>
      </c>
      <c r="AO20" s="176">
        <v>0</v>
      </c>
    </row>
    <row r="21" spans="1:41" ht="15.75" x14ac:dyDescent="0.2">
      <c r="A21" s="142" t="s">
        <v>36</v>
      </c>
      <c r="B21" s="76"/>
      <c r="C21" s="76"/>
      <c r="D21" s="178">
        <f t="shared" si="3"/>
        <v>0</v>
      </c>
      <c r="E21" s="178">
        <f t="shared" si="3"/>
        <v>8085</v>
      </c>
      <c r="F21" s="178">
        <f t="shared" si="3"/>
        <v>10830</v>
      </c>
      <c r="G21" s="178">
        <f t="shared" si="5"/>
        <v>6410</v>
      </c>
      <c r="H21" s="178">
        <f t="shared" si="4"/>
        <v>5692</v>
      </c>
      <c r="I21" s="178">
        <f t="shared" si="4"/>
        <v>8409</v>
      </c>
      <c r="J21" s="178">
        <v>0</v>
      </c>
      <c r="K21" s="76"/>
      <c r="L21" s="76"/>
      <c r="M21" s="76"/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1129</v>
      </c>
      <c r="U21" s="176">
        <v>8085</v>
      </c>
      <c r="V21" s="176">
        <v>0</v>
      </c>
      <c r="W21" s="176">
        <v>5670</v>
      </c>
      <c r="X21" s="176">
        <v>9804</v>
      </c>
      <c r="Y21" s="176">
        <v>10830</v>
      </c>
      <c r="Z21" s="176">
        <v>0</v>
      </c>
      <c r="AA21" s="176">
        <v>11215</v>
      </c>
      <c r="AB21" s="176">
        <v>13127</v>
      </c>
      <c r="AC21" s="176">
        <v>6410</v>
      </c>
      <c r="AD21" s="176">
        <v>-6658</v>
      </c>
      <c r="AE21" s="176">
        <v>-2540</v>
      </c>
      <c r="AF21" s="176">
        <v>1578</v>
      </c>
      <c r="AG21" s="176">
        <v>5692</v>
      </c>
      <c r="AH21" s="176">
        <v>-6827</v>
      </c>
      <c r="AI21" s="176">
        <v>-2540</v>
      </c>
      <c r="AJ21" s="176">
        <v>1747</v>
      </c>
      <c r="AK21" s="176">
        <v>8409</v>
      </c>
      <c r="AL21" s="176">
        <v>-6739</v>
      </c>
      <c r="AM21" s="176">
        <v>-2120</v>
      </c>
      <c r="AN21" s="176">
        <v>2499</v>
      </c>
      <c r="AO21" s="176">
        <v>-11772</v>
      </c>
    </row>
    <row r="22" spans="1:41" ht="15.75" x14ac:dyDescent="0.2">
      <c r="A22" s="142" t="s">
        <v>123</v>
      </c>
      <c r="B22" s="76"/>
      <c r="C22" s="76"/>
      <c r="D22" s="178">
        <f t="shared" si="3"/>
        <v>268957</v>
      </c>
      <c r="E22" s="178">
        <f t="shared" si="3"/>
        <v>70753</v>
      </c>
      <c r="F22" s="178">
        <f t="shared" si="3"/>
        <v>61831</v>
      </c>
      <c r="G22" s="178">
        <f t="shared" si="5"/>
        <v>125849</v>
      </c>
      <c r="H22" s="178">
        <f t="shared" si="4"/>
        <v>206012</v>
      </c>
      <c r="I22" s="178">
        <f t="shared" si="4"/>
        <v>195429</v>
      </c>
      <c r="J22" s="178">
        <f t="shared" si="4"/>
        <v>225674</v>
      </c>
      <c r="K22" s="76"/>
      <c r="L22" s="76"/>
      <c r="M22" s="76"/>
      <c r="N22" s="176">
        <v>34202</v>
      </c>
      <c r="O22" s="176">
        <v>62304</v>
      </c>
      <c r="P22" s="176">
        <v>189554</v>
      </c>
      <c r="Q22" s="176">
        <v>268957</v>
      </c>
      <c r="R22" s="176">
        <v>26145</v>
      </c>
      <c r="S22" s="176">
        <v>44455</v>
      </c>
      <c r="T22" s="176">
        <v>63736</v>
      </c>
      <c r="U22" s="176">
        <v>70753</v>
      </c>
      <c r="V22" s="176">
        <v>10349</v>
      </c>
      <c r="W22" s="176">
        <v>22370</v>
      </c>
      <c r="X22" s="176">
        <v>40382</v>
      </c>
      <c r="Y22" s="176">
        <v>61831</v>
      </c>
      <c r="Z22" s="176">
        <v>17839</v>
      </c>
      <c r="AA22" s="176">
        <v>48121</v>
      </c>
      <c r="AB22" s="176">
        <v>77033</v>
      </c>
      <c r="AC22" s="176">
        <v>125849</v>
      </c>
      <c r="AD22" s="176">
        <v>51545</v>
      </c>
      <c r="AE22" s="176">
        <v>103534</v>
      </c>
      <c r="AF22" s="176">
        <v>161885</v>
      </c>
      <c r="AG22" s="176">
        <v>206012</v>
      </c>
      <c r="AH22" s="176">
        <v>47832</v>
      </c>
      <c r="AI22" s="176">
        <v>96656</v>
      </c>
      <c r="AJ22" s="176">
        <v>140957</v>
      </c>
      <c r="AK22" s="176">
        <v>195429</v>
      </c>
      <c r="AL22" s="176">
        <v>49350</v>
      </c>
      <c r="AM22" s="176">
        <v>108552</v>
      </c>
      <c r="AN22" s="176">
        <v>167298</v>
      </c>
      <c r="AO22" s="176">
        <v>225674</v>
      </c>
    </row>
    <row r="23" spans="1:41" ht="15.75" x14ac:dyDescent="0.2">
      <c r="A23" s="142" t="s">
        <v>124</v>
      </c>
      <c r="B23" s="76"/>
      <c r="C23" s="76"/>
      <c r="D23" s="178">
        <f t="shared" si="3"/>
        <v>2101</v>
      </c>
      <c r="E23" s="178">
        <f t="shared" si="3"/>
        <v>1992</v>
      </c>
      <c r="F23" s="178">
        <f t="shared" si="3"/>
        <v>2297</v>
      </c>
      <c r="G23" s="178">
        <f t="shared" si="5"/>
        <v>2389</v>
      </c>
      <c r="H23" s="178">
        <f t="shared" si="4"/>
        <v>2715</v>
      </c>
      <c r="I23" s="178">
        <f t="shared" si="4"/>
        <v>2205</v>
      </c>
      <c r="J23" s="178">
        <f t="shared" si="4"/>
        <v>5177</v>
      </c>
      <c r="K23" s="76"/>
      <c r="L23" s="76"/>
      <c r="M23" s="76"/>
      <c r="N23" s="176">
        <v>0</v>
      </c>
      <c r="O23" s="176">
        <v>1044</v>
      </c>
      <c r="P23" s="176">
        <v>1553</v>
      </c>
      <c r="Q23" s="176">
        <v>2101</v>
      </c>
      <c r="R23" s="176">
        <v>525</v>
      </c>
      <c r="S23" s="176">
        <v>1029</v>
      </c>
      <c r="T23" s="176">
        <v>1488</v>
      </c>
      <c r="U23" s="176">
        <v>1992</v>
      </c>
      <c r="V23" s="176">
        <v>538</v>
      </c>
      <c r="W23" s="176">
        <v>1062</v>
      </c>
      <c r="X23" s="176">
        <v>1592</v>
      </c>
      <c r="Y23" s="176">
        <v>2297</v>
      </c>
      <c r="Z23" s="176">
        <v>610</v>
      </c>
      <c r="AA23" s="176">
        <v>1219</v>
      </c>
      <c r="AB23" s="176">
        <v>1817</v>
      </c>
      <c r="AC23" s="176">
        <v>2389</v>
      </c>
      <c r="AD23" s="176">
        <v>1157</v>
      </c>
      <c r="AE23" s="176">
        <v>1150</v>
      </c>
      <c r="AF23" s="176">
        <v>2155</v>
      </c>
      <c r="AG23" s="176">
        <v>2715</v>
      </c>
      <c r="AH23" s="176">
        <v>549</v>
      </c>
      <c r="AI23" s="176">
        <v>1103</v>
      </c>
      <c r="AJ23" s="176">
        <v>1637</v>
      </c>
      <c r="AK23" s="176">
        <v>2205</v>
      </c>
      <c r="AL23" s="176">
        <v>476</v>
      </c>
      <c r="AM23" s="176">
        <v>1989</v>
      </c>
      <c r="AN23" s="176">
        <v>3590</v>
      </c>
      <c r="AO23" s="176">
        <v>5177</v>
      </c>
    </row>
    <row r="24" spans="1:41" ht="15.75" x14ac:dyDescent="0.2">
      <c r="A24" s="142" t="s">
        <v>125</v>
      </c>
      <c r="B24" s="76"/>
      <c r="C24" s="76"/>
      <c r="D24" s="178">
        <f t="shared" si="3"/>
        <v>0</v>
      </c>
      <c r="E24" s="178">
        <f t="shared" si="3"/>
        <v>0</v>
      </c>
      <c r="F24" s="178">
        <f t="shared" si="3"/>
        <v>0</v>
      </c>
      <c r="G24" s="178">
        <f t="shared" si="5"/>
        <v>0</v>
      </c>
      <c r="H24" s="178">
        <f t="shared" si="4"/>
        <v>0</v>
      </c>
      <c r="I24" s="178">
        <f t="shared" si="4"/>
        <v>0</v>
      </c>
      <c r="J24" s="178">
        <f t="shared" si="4"/>
        <v>0</v>
      </c>
      <c r="K24" s="76"/>
      <c r="L24" s="76"/>
      <c r="M24" s="76"/>
      <c r="N24" s="176">
        <v>0</v>
      </c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v>0</v>
      </c>
      <c r="AE24" s="176">
        <v>0</v>
      </c>
      <c r="AF24" s="176">
        <v>0</v>
      </c>
      <c r="AG24" s="176">
        <v>0</v>
      </c>
      <c r="AH24" s="176">
        <v>0</v>
      </c>
      <c r="AI24" s="176">
        <v>0</v>
      </c>
      <c r="AJ24" s="176">
        <v>0</v>
      </c>
      <c r="AK24" s="176">
        <v>0</v>
      </c>
      <c r="AL24" s="176">
        <v>0</v>
      </c>
      <c r="AM24" s="176">
        <v>0</v>
      </c>
      <c r="AN24" s="176">
        <v>0</v>
      </c>
      <c r="AO24" s="176">
        <v>0</v>
      </c>
    </row>
    <row r="25" spans="1:41" ht="15.75" x14ac:dyDescent="0.2">
      <c r="A25" s="142" t="s">
        <v>322</v>
      </c>
      <c r="B25" s="76"/>
      <c r="C25" s="76"/>
      <c r="D25" s="178">
        <f t="shared" si="3"/>
        <v>-642</v>
      </c>
      <c r="E25" s="178">
        <f t="shared" si="3"/>
        <v>-97</v>
      </c>
      <c r="F25" s="178">
        <f t="shared" si="3"/>
        <v>0</v>
      </c>
      <c r="G25" s="178">
        <f t="shared" si="5"/>
        <v>-43969</v>
      </c>
      <c r="H25" s="178">
        <f t="shared" si="4"/>
        <v>-41642</v>
      </c>
      <c r="I25" s="178">
        <f t="shared" si="4"/>
        <v>-5334</v>
      </c>
      <c r="J25" s="178">
        <f t="shared" si="4"/>
        <v>-350</v>
      </c>
      <c r="K25" s="76"/>
      <c r="L25" s="76"/>
      <c r="M25" s="76"/>
      <c r="N25" s="176">
        <v>0</v>
      </c>
      <c r="O25" s="176">
        <v>0</v>
      </c>
      <c r="P25" s="176">
        <v>-367</v>
      </c>
      <c r="Q25" s="176">
        <v>-642</v>
      </c>
      <c r="R25" s="176">
        <v>-74</v>
      </c>
      <c r="S25" s="176">
        <v>-97</v>
      </c>
      <c r="T25" s="176">
        <v>-97</v>
      </c>
      <c r="U25" s="176">
        <v>-97</v>
      </c>
      <c r="V25" s="176">
        <v>0</v>
      </c>
      <c r="W25" s="176">
        <v>0</v>
      </c>
      <c r="X25" s="176">
        <v>0</v>
      </c>
      <c r="Y25" s="176">
        <v>0</v>
      </c>
      <c r="Z25" s="176">
        <v>0</v>
      </c>
      <c r="AA25" s="176">
        <v>0</v>
      </c>
      <c r="AB25" s="176">
        <v>-26528</v>
      </c>
      <c r="AC25" s="176">
        <v>-43969</v>
      </c>
      <c r="AD25" s="176">
        <v>-12899</v>
      </c>
      <c r="AE25" s="176">
        <v>-29763</v>
      </c>
      <c r="AF25" s="176">
        <v>-38488</v>
      </c>
      <c r="AG25" s="176">
        <v>-41642</v>
      </c>
      <c r="AH25" s="176">
        <v>-3116</v>
      </c>
      <c r="AI25" s="176">
        <v>-4632</v>
      </c>
      <c r="AJ25" s="176">
        <v>-5226</v>
      </c>
      <c r="AK25" s="176">
        <v>-5334</v>
      </c>
      <c r="AL25" s="176">
        <v>-245</v>
      </c>
      <c r="AM25" s="176">
        <v>-350</v>
      </c>
      <c r="AN25" s="176">
        <v>-350</v>
      </c>
      <c r="AO25" s="176">
        <v>-350</v>
      </c>
    </row>
    <row r="26" spans="1:41" ht="15.75" x14ac:dyDescent="0.2">
      <c r="A26" s="142" t="s">
        <v>126</v>
      </c>
      <c r="B26" s="76"/>
      <c r="C26" s="76"/>
      <c r="D26" s="178">
        <f t="shared" si="3"/>
        <v>-143157</v>
      </c>
      <c r="E26" s="178">
        <f t="shared" si="3"/>
        <v>-20475</v>
      </c>
      <c r="F26" s="178">
        <f t="shared" si="3"/>
        <v>-502</v>
      </c>
      <c r="G26" s="178">
        <f t="shared" si="5"/>
        <v>0</v>
      </c>
      <c r="H26" s="178">
        <f t="shared" si="4"/>
        <v>0</v>
      </c>
      <c r="I26" s="178">
        <f t="shared" si="4"/>
        <v>0</v>
      </c>
      <c r="J26" s="178">
        <f t="shared" si="4"/>
        <v>0</v>
      </c>
      <c r="K26" s="76"/>
      <c r="L26" s="76"/>
      <c r="M26" s="76"/>
      <c r="N26" s="176">
        <v>0</v>
      </c>
      <c r="O26" s="176">
        <v>0</v>
      </c>
      <c r="P26" s="176">
        <v>-143157</v>
      </c>
      <c r="Q26" s="176">
        <v>-143157</v>
      </c>
      <c r="R26" s="176">
        <v>-1820</v>
      </c>
      <c r="S26" s="176">
        <v>-2243</v>
      </c>
      <c r="T26" s="176">
        <v>-20192</v>
      </c>
      <c r="U26" s="176">
        <v>-20475</v>
      </c>
      <c r="V26" s="176">
        <v>-230</v>
      </c>
      <c r="W26" s="176">
        <v>-418</v>
      </c>
      <c r="X26" s="176">
        <v>-502</v>
      </c>
      <c r="Y26" s="176">
        <v>-502</v>
      </c>
      <c r="Z26" s="176">
        <v>0</v>
      </c>
      <c r="AA26" s="176">
        <v>0</v>
      </c>
      <c r="AB26" s="176">
        <v>0</v>
      </c>
      <c r="AC26" s="176">
        <v>0</v>
      </c>
      <c r="AD26" s="176">
        <v>0</v>
      </c>
      <c r="AE26" s="176"/>
      <c r="AF26" s="176">
        <v>0</v>
      </c>
      <c r="AG26" s="176">
        <v>0</v>
      </c>
      <c r="AH26" s="176">
        <v>0</v>
      </c>
      <c r="AI26" s="176">
        <v>0</v>
      </c>
      <c r="AJ26" s="176">
        <v>0</v>
      </c>
      <c r="AK26" s="176">
        <v>0</v>
      </c>
      <c r="AL26" s="176">
        <v>0</v>
      </c>
      <c r="AM26" s="176">
        <v>0</v>
      </c>
      <c r="AN26" s="176">
        <v>0</v>
      </c>
      <c r="AO26" s="176">
        <v>0</v>
      </c>
    </row>
    <row r="27" spans="1:41" ht="15.75" x14ac:dyDescent="0.2">
      <c r="A27" s="142" t="s">
        <v>127</v>
      </c>
      <c r="B27" s="76"/>
      <c r="C27" s="76"/>
      <c r="D27" s="178">
        <f t="shared" si="3"/>
        <v>0</v>
      </c>
      <c r="E27" s="178">
        <f t="shared" si="3"/>
        <v>0</v>
      </c>
      <c r="F27" s="178">
        <f t="shared" si="3"/>
        <v>0</v>
      </c>
      <c r="G27" s="178">
        <f t="shared" si="5"/>
        <v>0</v>
      </c>
      <c r="H27" s="178">
        <f t="shared" si="4"/>
        <v>0</v>
      </c>
      <c r="I27" s="178">
        <f t="shared" si="4"/>
        <v>0</v>
      </c>
      <c r="J27" s="178">
        <f t="shared" si="4"/>
        <v>0</v>
      </c>
      <c r="K27" s="76"/>
      <c r="L27" s="76"/>
      <c r="M27" s="76"/>
      <c r="N27" s="176">
        <v>0</v>
      </c>
      <c r="O27" s="176">
        <v>0</v>
      </c>
      <c r="P27" s="176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  <c r="Z27" s="176">
        <v>-12873</v>
      </c>
      <c r="AA27" s="176">
        <v>-17229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76">
        <v>0</v>
      </c>
      <c r="AN27" s="176">
        <v>0</v>
      </c>
      <c r="AO27" s="176">
        <v>0</v>
      </c>
    </row>
    <row r="28" spans="1:41" ht="15.75" x14ac:dyDescent="0.2">
      <c r="A28" s="142" t="s">
        <v>315</v>
      </c>
      <c r="B28" s="76"/>
      <c r="C28" s="76"/>
      <c r="D28" s="178">
        <f t="shared" si="3"/>
        <v>0</v>
      </c>
      <c r="E28" s="178">
        <f t="shared" si="3"/>
        <v>0</v>
      </c>
      <c r="F28" s="178">
        <f t="shared" si="3"/>
        <v>0</v>
      </c>
      <c r="G28" s="178">
        <f t="shared" si="5"/>
        <v>0</v>
      </c>
      <c r="H28" s="178">
        <f t="shared" si="4"/>
        <v>-232114</v>
      </c>
      <c r="I28" s="178">
        <f t="shared" si="4"/>
        <v>-8561</v>
      </c>
      <c r="J28" s="178">
        <f t="shared" si="4"/>
        <v>-2988</v>
      </c>
      <c r="K28" s="76"/>
      <c r="L28" s="76"/>
      <c r="M28" s="76"/>
      <c r="N28" s="176">
        <v>0</v>
      </c>
      <c r="O28" s="176">
        <v>0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6">
        <v>0</v>
      </c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v>0</v>
      </c>
      <c r="AE28" s="176">
        <v>-231805</v>
      </c>
      <c r="AF28" s="176">
        <v>-228487</v>
      </c>
      <c r="AG28" s="176">
        <v>-232114</v>
      </c>
      <c r="AH28" s="176">
        <v>-3297</v>
      </c>
      <c r="AI28" s="176">
        <v>-5099</v>
      </c>
      <c r="AJ28" s="176">
        <v>-7054</v>
      </c>
      <c r="AK28" s="176">
        <v>-8561</v>
      </c>
      <c r="AL28" s="176">
        <v>-1390</v>
      </c>
      <c r="AM28" s="176">
        <v>-2310</v>
      </c>
      <c r="AN28" s="176">
        <v>-2886</v>
      </c>
      <c r="AO28" s="176">
        <v>-2988</v>
      </c>
    </row>
    <row r="29" spans="1:41" ht="15.75" customHeight="1" x14ac:dyDescent="0.2">
      <c r="A29" s="142" t="s">
        <v>316</v>
      </c>
      <c r="B29" s="76"/>
      <c r="C29" s="76"/>
      <c r="D29" s="178"/>
      <c r="E29" s="178"/>
      <c r="F29" s="178"/>
      <c r="G29" s="178"/>
      <c r="H29" s="178">
        <f t="shared" si="4"/>
        <v>0</v>
      </c>
      <c r="I29" s="178">
        <f t="shared" si="4"/>
        <v>0</v>
      </c>
      <c r="J29" s="178">
        <f t="shared" si="4"/>
        <v>-27300</v>
      </c>
      <c r="K29" s="76"/>
      <c r="L29" s="76"/>
      <c r="M29" s="76"/>
      <c r="N29" s="176">
        <v>0</v>
      </c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v>0</v>
      </c>
      <c r="AE29" s="176">
        <v>0</v>
      </c>
      <c r="AF29" s="176">
        <v>0</v>
      </c>
      <c r="AG29" s="176">
        <v>0</v>
      </c>
      <c r="AH29" s="176">
        <v>0</v>
      </c>
      <c r="AI29" s="176">
        <v>0</v>
      </c>
      <c r="AJ29" s="176">
        <v>0</v>
      </c>
      <c r="AK29" s="176">
        <v>0</v>
      </c>
      <c r="AL29" s="176">
        <v>0</v>
      </c>
      <c r="AM29" s="176">
        <v>-27300</v>
      </c>
      <c r="AN29" s="176">
        <v>-27300</v>
      </c>
      <c r="AO29" s="176">
        <v>-27300</v>
      </c>
    </row>
    <row r="30" spans="1:41" ht="15.75" x14ac:dyDescent="0.2">
      <c r="A30" s="142" t="s">
        <v>285</v>
      </c>
      <c r="B30" s="76"/>
      <c r="C30" s="76"/>
      <c r="D30" s="178">
        <f t="shared" si="3"/>
        <v>0</v>
      </c>
      <c r="E30" s="178">
        <f t="shared" si="3"/>
        <v>0</v>
      </c>
      <c r="F30" s="178">
        <f t="shared" si="3"/>
        <v>0</v>
      </c>
      <c r="G30" s="178">
        <f t="shared" si="5"/>
        <v>0</v>
      </c>
      <c r="H30" s="178">
        <f t="shared" si="4"/>
        <v>-337</v>
      </c>
      <c r="I30" s="178">
        <f t="shared" si="4"/>
        <v>596</v>
      </c>
      <c r="J30" s="178">
        <f t="shared" si="4"/>
        <v>0</v>
      </c>
      <c r="K30" s="76"/>
      <c r="L30" s="76"/>
      <c r="M30" s="76"/>
      <c r="N30" s="176">
        <v>0</v>
      </c>
      <c r="O30" s="176">
        <v>0</v>
      </c>
      <c r="P30" s="176">
        <v>0</v>
      </c>
      <c r="Q30" s="176">
        <v>0</v>
      </c>
      <c r="R30" s="176">
        <v>0</v>
      </c>
      <c r="S30" s="176">
        <v>0</v>
      </c>
      <c r="T30" s="176">
        <v>0</v>
      </c>
      <c r="U30" s="176">
        <v>0</v>
      </c>
      <c r="V30" s="176">
        <v>0</v>
      </c>
      <c r="W30" s="176">
        <v>0</v>
      </c>
      <c r="X30" s="176">
        <v>0</v>
      </c>
      <c r="Y30" s="176">
        <v>0</v>
      </c>
      <c r="Z30" s="176">
        <v>0</v>
      </c>
      <c r="AA30" s="176">
        <v>0</v>
      </c>
      <c r="AB30" s="176">
        <v>0</v>
      </c>
      <c r="AC30" s="176">
        <v>0</v>
      </c>
      <c r="AD30" s="176">
        <v>0</v>
      </c>
      <c r="AE30" s="176">
        <v>0</v>
      </c>
      <c r="AF30" s="176">
        <v>0</v>
      </c>
      <c r="AG30" s="176">
        <v>-337</v>
      </c>
      <c r="AH30" s="176">
        <v>0</v>
      </c>
      <c r="AI30" s="176">
        <v>0</v>
      </c>
      <c r="AJ30" s="176">
        <v>0</v>
      </c>
      <c r="AK30" s="176">
        <v>596</v>
      </c>
      <c r="AL30" s="176">
        <v>0</v>
      </c>
      <c r="AM30" s="176">
        <v>0</v>
      </c>
      <c r="AN30" s="176">
        <v>0</v>
      </c>
      <c r="AO30" s="176">
        <v>0</v>
      </c>
    </row>
    <row r="31" spans="1:41" ht="15.75" x14ac:dyDescent="0.2">
      <c r="A31" s="5"/>
      <c r="B31" s="76"/>
      <c r="C31" s="76"/>
      <c r="D31" s="178"/>
      <c r="E31" s="178"/>
      <c r="F31" s="178"/>
      <c r="G31" s="178"/>
      <c r="H31" s="178"/>
      <c r="I31" s="178"/>
      <c r="J31" s="178"/>
      <c r="K31" s="76"/>
      <c r="L31" s="76"/>
      <c r="M31" s="76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</row>
    <row r="32" spans="1:41" ht="15.75" x14ac:dyDescent="0.2">
      <c r="A32" s="145" t="s">
        <v>128</v>
      </c>
      <c r="B32" s="76"/>
      <c r="C32" s="76"/>
      <c r="D32" s="177">
        <f t="shared" ref="D32:F32" si="6">SUM(D33:D45)</f>
        <v>-53410</v>
      </c>
      <c r="E32" s="177">
        <f t="shared" si="6"/>
        <v>-23895</v>
      </c>
      <c r="F32" s="177">
        <f t="shared" si="6"/>
        <v>-129203</v>
      </c>
      <c r="G32" s="177">
        <f>SUM(G33:G45)</f>
        <v>-195477</v>
      </c>
      <c r="H32" s="177">
        <f>SUM(H33:H45)</f>
        <v>-231949</v>
      </c>
      <c r="I32" s="177">
        <f>SUM(I33:I45)</f>
        <v>-122505</v>
      </c>
      <c r="J32" s="177">
        <f>SUM(J33:J45)</f>
        <v>-94651</v>
      </c>
      <c r="K32" s="76"/>
      <c r="L32" s="76"/>
      <c r="M32" s="76"/>
      <c r="N32" s="177">
        <f>SUM(N33:N45)</f>
        <v>-65575</v>
      </c>
      <c r="O32" s="177">
        <f t="shared" ref="O32:AC32" si="7">SUM(O33:O45)</f>
        <v>-59859</v>
      </c>
      <c r="P32" s="177">
        <f t="shared" si="7"/>
        <v>-43861</v>
      </c>
      <c r="Q32" s="177">
        <f t="shared" si="7"/>
        <v>-53410</v>
      </c>
      <c r="R32" s="177">
        <f t="shared" si="7"/>
        <v>-48171</v>
      </c>
      <c r="S32" s="177">
        <f t="shared" si="7"/>
        <v>-14764</v>
      </c>
      <c r="T32" s="177">
        <f t="shared" si="7"/>
        <v>-20646</v>
      </c>
      <c r="U32" s="177">
        <f t="shared" si="7"/>
        <v>-23895</v>
      </c>
      <c r="V32" s="177">
        <f t="shared" si="7"/>
        <v>-44616</v>
      </c>
      <c r="W32" s="177">
        <f t="shared" si="7"/>
        <v>-65387</v>
      </c>
      <c r="X32" s="177">
        <f t="shared" si="7"/>
        <v>-94400</v>
      </c>
      <c r="Y32" s="177">
        <f t="shared" si="7"/>
        <v>-129203</v>
      </c>
      <c r="Z32" s="177">
        <f t="shared" si="7"/>
        <v>-95647</v>
      </c>
      <c r="AA32" s="177">
        <f t="shared" si="7"/>
        <v>-107076</v>
      </c>
      <c r="AB32" s="177">
        <f t="shared" si="7"/>
        <v>-164339</v>
      </c>
      <c r="AC32" s="177">
        <f t="shared" si="7"/>
        <v>-195477</v>
      </c>
      <c r="AD32" s="177">
        <f t="shared" ref="AD32:AO32" si="8">SUM(AD33:AD45)</f>
        <v>-131135</v>
      </c>
      <c r="AE32" s="177">
        <f t="shared" si="8"/>
        <v>-119030</v>
      </c>
      <c r="AF32" s="177">
        <f t="shared" si="8"/>
        <v>-253157</v>
      </c>
      <c r="AG32" s="177">
        <f t="shared" si="8"/>
        <v>-231949</v>
      </c>
      <c r="AH32" s="177">
        <f t="shared" si="8"/>
        <v>-68203</v>
      </c>
      <c r="AI32" s="177">
        <f t="shared" si="8"/>
        <v>-49626</v>
      </c>
      <c r="AJ32" s="177">
        <f t="shared" si="8"/>
        <v>-117804</v>
      </c>
      <c r="AK32" s="177">
        <f t="shared" si="8"/>
        <v>-122505</v>
      </c>
      <c r="AL32" s="177">
        <f t="shared" si="8"/>
        <v>-85186</v>
      </c>
      <c r="AM32" s="177">
        <f t="shared" si="8"/>
        <v>-48657</v>
      </c>
      <c r="AN32" s="177">
        <f t="shared" si="8"/>
        <v>-82340</v>
      </c>
      <c r="AO32" s="177">
        <f t="shared" si="8"/>
        <v>-82879</v>
      </c>
    </row>
    <row r="33" spans="1:41" ht="15.75" customHeight="1" x14ac:dyDescent="0.2">
      <c r="A33" s="142" t="s">
        <v>129</v>
      </c>
      <c r="B33" s="76"/>
      <c r="C33" s="76"/>
      <c r="D33" s="178">
        <f t="shared" ref="D33:F45" si="9">INDEX($N33:$AB33,MATCH(D$5,$N$7:$AB$7,0))</f>
        <v>-508</v>
      </c>
      <c r="E33" s="178">
        <f t="shared" si="9"/>
        <v>-44215</v>
      </c>
      <c r="F33" s="178">
        <f t="shared" si="9"/>
        <v>-47844</v>
      </c>
      <c r="G33" s="178">
        <f t="shared" ref="G33:H45" si="10">INDEX($N33:$AG33,MATCH(G$5,$N$7:$AG$7,0))</f>
        <v>20865</v>
      </c>
      <c r="H33" s="178">
        <f>INDEX($N33:$AP33,MATCH(H$5,$N$7:$AP$7,0))</f>
        <v>-5723</v>
      </c>
      <c r="I33" s="178">
        <f>INDEX($N33:$AP33,MATCH(I$5,$N$7:$AP$7,0))</f>
        <v>-17530</v>
      </c>
      <c r="J33" s="178">
        <f>INDEX($N33:$AP33,MATCH(J$5,$N$7:$AP$7,0))</f>
        <v>-3958</v>
      </c>
      <c r="K33" s="76"/>
      <c r="L33" s="76"/>
      <c r="M33" s="76"/>
      <c r="N33" s="176">
        <v>-18905</v>
      </c>
      <c r="O33" s="176">
        <v>-13438</v>
      </c>
      <c r="P33" s="176">
        <v>-12960</v>
      </c>
      <c r="Q33" s="176">
        <v>-508</v>
      </c>
      <c r="R33" s="176">
        <v>-21839</v>
      </c>
      <c r="S33" s="176">
        <v>-18860</v>
      </c>
      <c r="T33" s="176">
        <v>-19185</v>
      </c>
      <c r="U33" s="176">
        <v>-44215</v>
      </c>
      <c r="V33" s="176">
        <v>-32956</v>
      </c>
      <c r="W33" s="176">
        <v>-53561</v>
      </c>
      <c r="X33" s="176">
        <v>-70759</v>
      </c>
      <c r="Y33" s="176">
        <v>-47844</v>
      </c>
      <c r="Z33" s="176">
        <v>-5338</v>
      </c>
      <c r="AA33" s="176">
        <v>10726</v>
      </c>
      <c r="AB33" s="176">
        <v>15383</v>
      </c>
      <c r="AC33" s="176">
        <v>20865</v>
      </c>
      <c r="AD33" s="176">
        <v>5954</v>
      </c>
      <c r="AE33" s="176">
        <v>6978</v>
      </c>
      <c r="AF33" s="176">
        <v>-9721</v>
      </c>
      <c r="AG33" s="176">
        <v>-5723</v>
      </c>
      <c r="AH33" s="176">
        <v>-4521</v>
      </c>
      <c r="AI33" s="176">
        <v>-10439</v>
      </c>
      <c r="AJ33" s="176">
        <v>-16369</v>
      </c>
      <c r="AK33" s="176">
        <v>-17530</v>
      </c>
      <c r="AL33" s="176">
        <v>-31798</v>
      </c>
      <c r="AM33" s="176">
        <v>-21511</v>
      </c>
      <c r="AN33" s="176">
        <v>-15896</v>
      </c>
      <c r="AO33" s="176">
        <v>-3958</v>
      </c>
    </row>
    <row r="34" spans="1:41" ht="15.75" customHeight="1" x14ac:dyDescent="0.2">
      <c r="A34" s="142" t="s">
        <v>130</v>
      </c>
      <c r="B34" s="76"/>
      <c r="C34" s="76"/>
      <c r="D34" s="178">
        <f t="shared" si="9"/>
        <v>-7394</v>
      </c>
      <c r="E34" s="178">
        <f t="shared" si="9"/>
        <v>-14103</v>
      </c>
      <c r="F34" s="178">
        <f t="shared" si="9"/>
        <v>-30081</v>
      </c>
      <c r="G34" s="178">
        <f t="shared" si="10"/>
        <v>-10700</v>
      </c>
      <c r="H34" s="178">
        <f t="shared" si="10"/>
        <v>12570</v>
      </c>
      <c r="I34" s="178">
        <f t="shared" ref="I34:J45" si="11">INDEX($N34:$AP34,MATCH(I$5,$N$7:$AP$7,0))</f>
        <v>-26922</v>
      </c>
      <c r="J34" s="178">
        <f t="shared" si="11"/>
        <v>10526</v>
      </c>
      <c r="K34" s="76"/>
      <c r="L34" s="76"/>
      <c r="M34" s="76"/>
      <c r="N34" s="176">
        <v>-9748</v>
      </c>
      <c r="O34" s="176">
        <v>-12897</v>
      </c>
      <c r="P34" s="176">
        <v>-5329</v>
      </c>
      <c r="Q34" s="176">
        <v>-7394</v>
      </c>
      <c r="R34" s="176">
        <v>-546</v>
      </c>
      <c r="S34" s="176">
        <v>-4757</v>
      </c>
      <c r="T34" s="176">
        <v>-3512</v>
      </c>
      <c r="U34" s="176">
        <v>-14103</v>
      </c>
      <c r="V34" s="176">
        <v>-2417</v>
      </c>
      <c r="W34" s="176">
        <v>-24650</v>
      </c>
      <c r="X34" s="176">
        <v>-16154</v>
      </c>
      <c r="Y34" s="176">
        <v>-30081</v>
      </c>
      <c r="Z34" s="176">
        <v>6268</v>
      </c>
      <c r="AA34" s="176">
        <v>17832</v>
      </c>
      <c r="AB34" s="176">
        <v>14671</v>
      </c>
      <c r="AC34" s="176">
        <v>-10700</v>
      </c>
      <c r="AD34" s="176">
        <v>-1902</v>
      </c>
      <c r="AE34" s="176">
        <v>5657</v>
      </c>
      <c r="AF34" s="176">
        <v>14657</v>
      </c>
      <c r="AG34" s="176">
        <v>12570</v>
      </c>
      <c r="AH34" s="176">
        <v>-5988</v>
      </c>
      <c r="AI34" s="176">
        <v>-9486</v>
      </c>
      <c r="AJ34" s="176">
        <v>-11188</v>
      </c>
      <c r="AK34" s="176">
        <v>-26922</v>
      </c>
      <c r="AL34" s="176">
        <v>13487</v>
      </c>
      <c r="AM34" s="176">
        <v>15366</v>
      </c>
      <c r="AN34" s="176">
        <v>12267</v>
      </c>
      <c r="AO34" s="176">
        <v>10526</v>
      </c>
    </row>
    <row r="35" spans="1:41" ht="15.75" customHeight="1" x14ac:dyDescent="0.2">
      <c r="A35" s="142" t="s">
        <v>131</v>
      </c>
      <c r="B35" s="76"/>
      <c r="C35" s="76"/>
      <c r="D35" s="178">
        <f t="shared" si="9"/>
        <v>-5398</v>
      </c>
      <c r="E35" s="178">
        <f t="shared" si="9"/>
        <v>75441</v>
      </c>
      <c r="F35" s="178">
        <f t="shared" si="9"/>
        <v>41273</v>
      </c>
      <c r="G35" s="178">
        <f t="shared" si="10"/>
        <v>-44818</v>
      </c>
      <c r="H35" s="178">
        <f t="shared" si="10"/>
        <v>61790</v>
      </c>
      <c r="I35" s="178">
        <f t="shared" si="11"/>
        <v>23805</v>
      </c>
      <c r="J35" s="178">
        <f t="shared" si="11"/>
        <v>151680</v>
      </c>
      <c r="K35" s="76"/>
      <c r="L35" s="76"/>
      <c r="M35" s="76"/>
      <c r="N35" s="176">
        <v>-1568</v>
      </c>
      <c r="O35" s="176">
        <v>-3356</v>
      </c>
      <c r="P35" s="176">
        <v>-3297</v>
      </c>
      <c r="Q35" s="176">
        <v>-5398</v>
      </c>
      <c r="R35" s="176">
        <v>16356</v>
      </c>
      <c r="S35" s="176">
        <v>25399</v>
      </c>
      <c r="T35" s="176">
        <v>48593</v>
      </c>
      <c r="U35" s="176">
        <v>75441</v>
      </c>
      <c r="V35" s="176">
        <v>28677</v>
      </c>
      <c r="W35" s="176">
        <v>56090</v>
      </c>
      <c r="X35" s="176">
        <v>74579</v>
      </c>
      <c r="Y35" s="176">
        <v>41273</v>
      </c>
      <c r="Z35" s="176">
        <v>-1902</v>
      </c>
      <c r="AA35" s="176">
        <v>10269</v>
      </c>
      <c r="AB35" s="176">
        <v>-23477</v>
      </c>
      <c r="AC35" s="176">
        <v>-44818</v>
      </c>
      <c r="AD35" s="176">
        <v>-3182</v>
      </c>
      <c r="AE35" s="176">
        <v>-10409</v>
      </c>
      <c r="AF35" s="176">
        <v>23667</v>
      </c>
      <c r="AG35" s="176">
        <v>61790</v>
      </c>
      <c r="AH35" s="176">
        <v>30762</v>
      </c>
      <c r="AI35" s="176">
        <v>58296</v>
      </c>
      <c r="AJ35" s="176">
        <v>85728</v>
      </c>
      <c r="AK35" s="176">
        <v>23805</v>
      </c>
      <c r="AL35" s="176">
        <v>31174</v>
      </c>
      <c r="AM35" s="176">
        <v>79936</v>
      </c>
      <c r="AN35" s="176">
        <v>127015</v>
      </c>
      <c r="AO35" s="176">
        <v>151680</v>
      </c>
    </row>
    <row r="36" spans="1:41" ht="14.25" customHeight="1" x14ac:dyDescent="0.2">
      <c r="A36" s="142" t="s">
        <v>132</v>
      </c>
      <c r="B36" s="76"/>
      <c r="C36" s="76"/>
      <c r="D36" s="178">
        <f t="shared" si="9"/>
        <v>-224</v>
      </c>
      <c r="E36" s="178">
        <f t="shared" si="9"/>
        <v>20218</v>
      </c>
      <c r="F36" s="178">
        <f t="shared" si="9"/>
        <v>-702</v>
      </c>
      <c r="G36" s="178">
        <f t="shared" si="10"/>
        <v>-21482</v>
      </c>
      <c r="H36" s="178">
        <f t="shared" si="10"/>
        <v>-7558</v>
      </c>
      <c r="I36" s="178">
        <f t="shared" si="11"/>
        <v>-2341</v>
      </c>
      <c r="J36" s="178">
        <f t="shared" si="11"/>
        <v>682</v>
      </c>
      <c r="K36" s="76"/>
      <c r="L36" s="76"/>
      <c r="M36" s="76"/>
      <c r="N36" s="176">
        <v>-5538</v>
      </c>
      <c r="O36" s="176">
        <v>-3463</v>
      </c>
      <c r="P36" s="176">
        <v>-985</v>
      </c>
      <c r="Q36" s="176">
        <v>-224</v>
      </c>
      <c r="R36" s="176">
        <v>19554</v>
      </c>
      <c r="S36" s="176">
        <v>17973</v>
      </c>
      <c r="T36" s="176">
        <v>21320</v>
      </c>
      <c r="U36" s="176">
        <v>20218</v>
      </c>
      <c r="V36" s="176">
        <v>1923</v>
      </c>
      <c r="W36" s="176">
        <v>6055</v>
      </c>
      <c r="X36" s="176">
        <v>1615</v>
      </c>
      <c r="Y36" s="176">
        <v>-702</v>
      </c>
      <c r="Z36" s="176">
        <v>-2150</v>
      </c>
      <c r="AA36" s="176">
        <v>-31307</v>
      </c>
      <c r="AB36" s="176">
        <v>-28203</v>
      </c>
      <c r="AC36" s="176">
        <v>-21482</v>
      </c>
      <c r="AD36" s="176">
        <v>-7053</v>
      </c>
      <c r="AE36" s="176">
        <v>-7965</v>
      </c>
      <c r="AF36" s="176">
        <v>-8131</v>
      </c>
      <c r="AG36" s="176">
        <v>-7558</v>
      </c>
      <c r="AH36" s="176">
        <v>-1699</v>
      </c>
      <c r="AI36" s="176">
        <v>-14491</v>
      </c>
      <c r="AJ36" s="176">
        <v>-5622</v>
      </c>
      <c r="AK36" s="176">
        <v>-2341</v>
      </c>
      <c r="AL36" s="176">
        <v>2111</v>
      </c>
      <c r="AM36" s="176">
        <v>3594</v>
      </c>
      <c r="AN36" s="176">
        <v>4366</v>
      </c>
      <c r="AO36" s="176">
        <v>682</v>
      </c>
    </row>
    <row r="37" spans="1:41" ht="14.25" customHeight="1" x14ac:dyDescent="0.2">
      <c r="A37" s="142" t="s">
        <v>133</v>
      </c>
      <c r="B37" s="76"/>
      <c r="C37" s="76"/>
      <c r="D37" s="178">
        <f t="shared" si="9"/>
        <v>-5265</v>
      </c>
      <c r="E37" s="178">
        <f t="shared" si="9"/>
        <v>19275</v>
      </c>
      <c r="F37" s="178">
        <f t="shared" si="9"/>
        <v>26704</v>
      </c>
      <c r="G37" s="178">
        <f t="shared" si="10"/>
        <v>62967</v>
      </c>
      <c r="H37" s="178">
        <f t="shared" si="10"/>
        <v>19659</v>
      </c>
      <c r="I37" s="178">
        <f t="shared" si="11"/>
        <v>15346</v>
      </c>
      <c r="J37" s="178">
        <f t="shared" si="11"/>
        <v>2113</v>
      </c>
      <c r="K37" s="76"/>
      <c r="L37" s="76"/>
      <c r="M37" s="76"/>
      <c r="N37" s="176">
        <v>-12155</v>
      </c>
      <c r="O37" s="176">
        <v>-15770</v>
      </c>
      <c r="P37" s="176">
        <v>-15705</v>
      </c>
      <c r="Q37" s="176">
        <v>-5265</v>
      </c>
      <c r="R37" s="176">
        <v>-13244</v>
      </c>
      <c r="S37" s="176">
        <v>-11142</v>
      </c>
      <c r="T37" s="176">
        <v>-5705</v>
      </c>
      <c r="U37" s="176">
        <v>19275</v>
      </c>
      <c r="V37" s="176">
        <v>1177</v>
      </c>
      <c r="W37" s="176">
        <v>15546</v>
      </c>
      <c r="X37" s="176">
        <v>14641</v>
      </c>
      <c r="Y37" s="176">
        <v>26704</v>
      </c>
      <c r="Z37" s="176">
        <v>-12860</v>
      </c>
      <c r="AA37" s="176">
        <v>-7700</v>
      </c>
      <c r="AB37" s="176">
        <v>30815</v>
      </c>
      <c r="AC37" s="176">
        <v>62967</v>
      </c>
      <c r="AD37" s="176">
        <v>-14866</v>
      </c>
      <c r="AE37" s="176">
        <v>-3518</v>
      </c>
      <c r="AF37" s="176">
        <v>12188</v>
      </c>
      <c r="AG37" s="176">
        <v>19659</v>
      </c>
      <c r="AH37" s="176">
        <v>-3211</v>
      </c>
      <c r="AI37" s="176">
        <v>9901</v>
      </c>
      <c r="AJ37" s="176">
        <v>10489</v>
      </c>
      <c r="AK37" s="176">
        <v>15346</v>
      </c>
      <c r="AL37" s="176">
        <v>1429</v>
      </c>
      <c r="AM37" s="176">
        <v>3790</v>
      </c>
      <c r="AN37" s="176">
        <v>3249</v>
      </c>
      <c r="AO37" s="176">
        <v>2113</v>
      </c>
    </row>
    <row r="38" spans="1:41" ht="14.25" customHeight="1" x14ac:dyDescent="0.2">
      <c r="A38" s="142" t="s">
        <v>134</v>
      </c>
      <c r="B38" s="76"/>
      <c r="C38" s="76"/>
      <c r="D38" s="178">
        <f t="shared" si="9"/>
        <v>-934</v>
      </c>
      <c r="E38" s="178">
        <f t="shared" si="9"/>
        <v>7714</v>
      </c>
      <c r="F38" s="178">
        <f t="shared" si="9"/>
        <v>5129</v>
      </c>
      <c r="G38" s="178">
        <f t="shared" si="10"/>
        <v>3117</v>
      </c>
      <c r="H38" s="178">
        <f t="shared" si="10"/>
        <v>1877</v>
      </c>
      <c r="I38" s="178">
        <f t="shared" si="11"/>
        <v>3929</v>
      </c>
      <c r="J38" s="178">
        <v>-9230</v>
      </c>
      <c r="K38" s="76"/>
      <c r="L38" s="76"/>
      <c r="M38" s="76"/>
      <c r="N38" s="176">
        <v>-8659</v>
      </c>
      <c r="O38" s="176">
        <v>-5232</v>
      </c>
      <c r="P38" s="176">
        <v>1514</v>
      </c>
      <c r="Q38" s="176">
        <v>-934</v>
      </c>
      <c r="R38" s="176">
        <v>-7187</v>
      </c>
      <c r="S38" s="176">
        <v>4638</v>
      </c>
      <c r="T38" s="176">
        <v>7546</v>
      </c>
      <c r="U38" s="176">
        <v>7714</v>
      </c>
      <c r="V38" s="176">
        <v>-13140</v>
      </c>
      <c r="W38" s="176">
        <v>-10169</v>
      </c>
      <c r="X38" s="176">
        <v>-1560</v>
      </c>
      <c r="Y38" s="176">
        <v>5129</v>
      </c>
      <c r="Z38" s="176">
        <v>-19784</v>
      </c>
      <c r="AA38" s="176">
        <v>-13719</v>
      </c>
      <c r="AB38" s="176">
        <v>-9662</v>
      </c>
      <c r="AC38" s="176">
        <v>3117</v>
      </c>
      <c r="AD38" s="176">
        <v>-13009</v>
      </c>
      <c r="AE38" s="176">
        <v>-4125</v>
      </c>
      <c r="AF38" s="176">
        <v>3528</v>
      </c>
      <c r="AG38" s="176">
        <v>1877</v>
      </c>
      <c r="AH38" s="176">
        <v>-13612</v>
      </c>
      <c r="AI38" s="176">
        <v>6027</v>
      </c>
      <c r="AJ38" s="176">
        <v>3404</v>
      </c>
      <c r="AK38" s="176">
        <v>3929</v>
      </c>
      <c r="AL38" s="176">
        <v>-16196</v>
      </c>
      <c r="AM38" s="176">
        <v>-7978</v>
      </c>
      <c r="AN38" s="176">
        <v>454</v>
      </c>
      <c r="AO38" s="176">
        <v>2542</v>
      </c>
    </row>
    <row r="39" spans="1:41" ht="14.25" customHeight="1" x14ac:dyDescent="0.2">
      <c r="A39" s="142" t="s">
        <v>135</v>
      </c>
      <c r="B39" s="76"/>
      <c r="C39" s="76"/>
      <c r="D39" s="178">
        <f t="shared" si="9"/>
        <v>3461</v>
      </c>
      <c r="E39" s="178">
        <f t="shared" si="9"/>
        <v>1547</v>
      </c>
      <c r="F39" s="178">
        <f t="shared" si="9"/>
        <v>-3289</v>
      </c>
      <c r="G39" s="178">
        <f t="shared" si="10"/>
        <v>-519</v>
      </c>
      <c r="H39" s="178">
        <f t="shared" si="10"/>
        <v>-35</v>
      </c>
      <c r="I39" s="178">
        <f t="shared" si="11"/>
        <v>1776</v>
      </c>
      <c r="J39" s="178">
        <f t="shared" si="11"/>
        <v>-2287</v>
      </c>
      <c r="K39" s="76"/>
      <c r="L39" s="76"/>
      <c r="M39" s="76"/>
      <c r="N39" s="176">
        <v>5888</v>
      </c>
      <c r="O39" s="176">
        <v>8038</v>
      </c>
      <c r="P39" s="176">
        <v>5903</v>
      </c>
      <c r="Q39" s="176">
        <v>3461</v>
      </c>
      <c r="R39" s="176">
        <v>6026</v>
      </c>
      <c r="S39" s="176">
        <v>1499</v>
      </c>
      <c r="T39" s="176">
        <v>-1324</v>
      </c>
      <c r="U39" s="176">
        <v>1547</v>
      </c>
      <c r="V39" s="176">
        <v>-707</v>
      </c>
      <c r="W39" s="176">
        <v>-1153</v>
      </c>
      <c r="X39" s="176">
        <v>-2686</v>
      </c>
      <c r="Y39" s="176">
        <v>-3289</v>
      </c>
      <c r="Z39" s="176">
        <v>-1375</v>
      </c>
      <c r="AA39" s="176">
        <v>-1934</v>
      </c>
      <c r="AB39" s="176">
        <v>-921</v>
      </c>
      <c r="AC39" s="176">
        <v>-519</v>
      </c>
      <c r="AD39" s="176">
        <v>-80</v>
      </c>
      <c r="AE39" s="176">
        <v>-427</v>
      </c>
      <c r="AF39" s="176">
        <v>55</v>
      </c>
      <c r="AG39" s="176">
        <v>-35</v>
      </c>
      <c r="AH39" s="176">
        <v>215</v>
      </c>
      <c r="AI39" s="176">
        <v>2436</v>
      </c>
      <c r="AJ39" s="176">
        <v>1291</v>
      </c>
      <c r="AK39" s="176">
        <v>1776</v>
      </c>
      <c r="AL39" s="176">
        <v>-1180</v>
      </c>
      <c r="AM39" s="176">
        <v>612</v>
      </c>
      <c r="AN39" s="176">
        <v>-2297</v>
      </c>
      <c r="AO39" s="176">
        <v>-2287</v>
      </c>
    </row>
    <row r="40" spans="1:41" ht="14.25" customHeight="1" x14ac:dyDescent="0.2">
      <c r="A40" s="142" t="s">
        <v>136</v>
      </c>
      <c r="B40" s="76"/>
      <c r="C40" s="76"/>
      <c r="D40" s="178">
        <f t="shared" si="9"/>
        <v>-7824</v>
      </c>
      <c r="E40" s="178">
        <f t="shared" si="9"/>
        <v>2683</v>
      </c>
      <c r="F40" s="178">
        <f t="shared" si="9"/>
        <v>11895</v>
      </c>
      <c r="G40" s="178">
        <f t="shared" si="10"/>
        <v>-18098</v>
      </c>
      <c r="H40" s="178">
        <f t="shared" si="10"/>
        <v>-10980</v>
      </c>
      <c r="I40" s="178">
        <f t="shared" si="11"/>
        <v>70431</v>
      </c>
      <c r="J40" s="178">
        <f t="shared" si="11"/>
        <v>-966</v>
      </c>
      <c r="K40" s="76"/>
      <c r="L40" s="76"/>
      <c r="M40" s="76"/>
      <c r="N40" s="176">
        <v>951</v>
      </c>
      <c r="O40" s="176">
        <v>953</v>
      </c>
      <c r="P40" s="176">
        <v>597</v>
      </c>
      <c r="Q40" s="176">
        <v>-7824</v>
      </c>
      <c r="R40" s="176">
        <v>2656</v>
      </c>
      <c r="S40" s="176">
        <v>6763</v>
      </c>
      <c r="T40" s="176">
        <v>7961</v>
      </c>
      <c r="U40" s="176">
        <v>2683</v>
      </c>
      <c r="V40" s="176">
        <v>-126</v>
      </c>
      <c r="W40" s="176">
        <v>-3459</v>
      </c>
      <c r="X40" s="176">
        <v>-3782</v>
      </c>
      <c r="Y40" s="176">
        <v>11895</v>
      </c>
      <c r="Z40" s="176">
        <v>-5687</v>
      </c>
      <c r="AA40" s="176">
        <v>-9989</v>
      </c>
      <c r="AB40" s="176">
        <v>-13746</v>
      </c>
      <c r="AC40" s="176">
        <v>-18098</v>
      </c>
      <c r="AD40" s="176">
        <v>-7968</v>
      </c>
      <c r="AE40" s="176">
        <v>-9089</v>
      </c>
      <c r="AF40" s="176">
        <v>-19517</v>
      </c>
      <c r="AG40" s="176">
        <v>-10980</v>
      </c>
      <c r="AH40" s="176">
        <v>-4120</v>
      </c>
      <c r="AI40" s="176">
        <v>-1168</v>
      </c>
      <c r="AJ40" s="176">
        <v>-10832</v>
      </c>
      <c r="AK40" s="176">
        <v>70431</v>
      </c>
      <c r="AL40" s="176">
        <v>2502</v>
      </c>
      <c r="AM40" s="176">
        <v>-3807</v>
      </c>
      <c r="AN40" s="176">
        <v>-6318</v>
      </c>
      <c r="AO40" s="176">
        <v>-966</v>
      </c>
    </row>
    <row r="41" spans="1:41" ht="14.25" customHeight="1" x14ac:dyDescent="0.2">
      <c r="A41" s="142" t="s">
        <v>137</v>
      </c>
      <c r="B41" s="77"/>
      <c r="C41" s="77"/>
      <c r="D41" s="178">
        <f t="shared" si="9"/>
        <v>-4231</v>
      </c>
      <c r="E41" s="178">
        <f t="shared" si="9"/>
        <v>-2759</v>
      </c>
      <c r="F41" s="178">
        <f t="shared" si="9"/>
        <v>-3801</v>
      </c>
      <c r="G41" s="178">
        <f t="shared" si="10"/>
        <v>-1675</v>
      </c>
      <c r="H41" s="178">
        <f t="shared" si="10"/>
        <v>18382</v>
      </c>
      <c r="I41" s="178">
        <f t="shared" si="11"/>
        <v>-4084</v>
      </c>
      <c r="J41" s="178">
        <f t="shared" si="11"/>
        <v>-16768</v>
      </c>
      <c r="K41" s="77"/>
      <c r="L41" s="77"/>
      <c r="M41" s="77"/>
      <c r="N41" s="176">
        <v>-1516</v>
      </c>
      <c r="O41" s="176">
        <v>396</v>
      </c>
      <c r="P41" s="176">
        <v>9640</v>
      </c>
      <c r="Q41" s="176">
        <v>-4231</v>
      </c>
      <c r="R41" s="176">
        <v>-199</v>
      </c>
      <c r="S41" s="176">
        <v>-2618</v>
      </c>
      <c r="T41" s="176">
        <v>-1583</v>
      </c>
      <c r="U41" s="176">
        <v>-2759</v>
      </c>
      <c r="V41" s="176">
        <v>378</v>
      </c>
      <c r="W41" s="176">
        <v>-887</v>
      </c>
      <c r="X41" s="176">
        <v>3794</v>
      </c>
      <c r="Y41" s="176">
        <v>-3801</v>
      </c>
      <c r="Z41" s="176">
        <v>3690</v>
      </c>
      <c r="AA41" s="176">
        <v>1713</v>
      </c>
      <c r="AB41" s="176">
        <v>3664</v>
      </c>
      <c r="AC41" s="176">
        <v>-1675</v>
      </c>
      <c r="AD41" s="176">
        <v>4631</v>
      </c>
      <c r="AE41" s="176">
        <v>21445</v>
      </c>
      <c r="AF41" s="176">
        <v>19883</v>
      </c>
      <c r="AG41" s="176">
        <v>18382</v>
      </c>
      <c r="AH41" s="176">
        <v>-4593</v>
      </c>
      <c r="AI41" s="176">
        <v>-12447</v>
      </c>
      <c r="AJ41" s="176">
        <v>-16246</v>
      </c>
      <c r="AK41" s="176">
        <v>-4084</v>
      </c>
      <c r="AL41" s="176">
        <v>-5837</v>
      </c>
      <c r="AM41" s="176">
        <v>-9528</v>
      </c>
      <c r="AN41" s="176">
        <v>-11184</v>
      </c>
      <c r="AO41" s="176">
        <v>-16768</v>
      </c>
    </row>
    <row r="42" spans="1:41" ht="14.25" customHeight="1" x14ac:dyDescent="0.2">
      <c r="A42" s="142" t="s">
        <v>138</v>
      </c>
      <c r="B42" s="77"/>
      <c r="C42" s="77"/>
      <c r="D42" s="178">
        <f t="shared" si="9"/>
        <v>-21582</v>
      </c>
      <c r="E42" s="178">
        <f t="shared" si="9"/>
        <v>-66528</v>
      </c>
      <c r="F42" s="178">
        <f t="shared" si="9"/>
        <v>-40537</v>
      </c>
      <c r="G42" s="178">
        <f t="shared" si="10"/>
        <v>-80299</v>
      </c>
      <c r="H42" s="178">
        <f t="shared" si="10"/>
        <v>-210950</v>
      </c>
      <c r="I42" s="178">
        <f t="shared" si="11"/>
        <v>-150869</v>
      </c>
      <c r="J42" s="178">
        <f t="shared" si="11"/>
        <v>-194810</v>
      </c>
      <c r="K42" s="77"/>
      <c r="L42" s="77"/>
      <c r="M42" s="77"/>
      <c r="N42" s="176">
        <v>-14325</v>
      </c>
      <c r="O42" s="176">
        <v>-14325</v>
      </c>
      <c r="P42" s="176">
        <v>-21672</v>
      </c>
      <c r="Q42" s="176">
        <v>-21582</v>
      </c>
      <c r="R42" s="176">
        <v>-49366</v>
      </c>
      <c r="S42" s="176">
        <v>-32630</v>
      </c>
      <c r="T42" s="176">
        <v>-63080</v>
      </c>
      <c r="U42" s="176">
        <v>-66528</v>
      </c>
      <c r="V42" s="176">
        <v>-17641</v>
      </c>
      <c r="W42" s="176">
        <v>-18249</v>
      </c>
      <c r="X42" s="176">
        <v>-37217</v>
      </c>
      <c r="Y42" s="176">
        <v>-40537</v>
      </c>
      <c r="Z42" s="176">
        <v>-30034</v>
      </c>
      <c r="AA42" s="176">
        <v>-31867</v>
      </c>
      <c r="AB42" s="176">
        <v>-75447</v>
      </c>
      <c r="AC42" s="176">
        <v>-80299</v>
      </c>
      <c r="AD42" s="176">
        <v>-82515</v>
      </c>
      <c r="AE42" s="176">
        <v>-90125</v>
      </c>
      <c r="AF42" s="176">
        <v>-199187</v>
      </c>
      <c r="AG42" s="176">
        <v>-210950</v>
      </c>
      <c r="AH42" s="176">
        <v>-60539</v>
      </c>
      <c r="AI42" s="176">
        <v>-75830</v>
      </c>
      <c r="AJ42" s="176">
        <v>-134143</v>
      </c>
      <c r="AK42" s="176">
        <v>-150869</v>
      </c>
      <c r="AL42" s="176">
        <v>-79771</v>
      </c>
      <c r="AM42" s="176">
        <v>-102710</v>
      </c>
      <c r="AN42" s="176">
        <v>-178670</v>
      </c>
      <c r="AO42" s="176">
        <v>-194810</v>
      </c>
    </row>
    <row r="43" spans="1:41" ht="15.75" x14ac:dyDescent="0.2">
      <c r="A43" s="142" t="s">
        <v>139</v>
      </c>
      <c r="B43" s="77"/>
      <c r="C43" s="77"/>
      <c r="D43" s="178">
        <f t="shared" si="9"/>
        <v>-2089</v>
      </c>
      <c r="E43" s="178">
        <f t="shared" si="9"/>
        <v>-2070</v>
      </c>
      <c r="F43" s="178">
        <f t="shared" si="9"/>
        <v>-2297</v>
      </c>
      <c r="G43" s="178">
        <f t="shared" si="10"/>
        <v>-2389</v>
      </c>
      <c r="H43" s="178">
        <f t="shared" si="10"/>
        <v>-2715</v>
      </c>
      <c r="I43" s="178">
        <f t="shared" si="11"/>
        <v>-2205</v>
      </c>
      <c r="J43" s="178">
        <f t="shared" si="11"/>
        <v>-5177</v>
      </c>
      <c r="K43" s="77"/>
      <c r="L43" s="77"/>
      <c r="M43" s="77"/>
      <c r="N43" s="176">
        <v>0</v>
      </c>
      <c r="O43" s="176">
        <v>-765</v>
      </c>
      <c r="P43" s="176">
        <v>-1567</v>
      </c>
      <c r="Q43" s="176">
        <v>-2089</v>
      </c>
      <c r="R43" s="176">
        <v>-382</v>
      </c>
      <c r="S43" s="176">
        <v>-1029</v>
      </c>
      <c r="T43" s="176">
        <v>-1553</v>
      </c>
      <c r="U43" s="176">
        <v>-2070</v>
      </c>
      <c r="V43" s="176">
        <v>-527</v>
      </c>
      <c r="W43" s="176">
        <v>-1062</v>
      </c>
      <c r="X43" s="176">
        <v>-1592</v>
      </c>
      <c r="Y43" s="176">
        <v>-2297</v>
      </c>
      <c r="Z43" s="176">
        <v>-610</v>
      </c>
      <c r="AA43" s="176">
        <v>-1219</v>
      </c>
      <c r="AB43" s="176">
        <v>-1817</v>
      </c>
      <c r="AC43" s="176">
        <v>-2389</v>
      </c>
      <c r="AD43" s="176">
        <v>-1157</v>
      </c>
      <c r="AE43" s="176">
        <v>-1150</v>
      </c>
      <c r="AF43" s="176">
        <v>-2155</v>
      </c>
      <c r="AG43" s="176">
        <v>-2715</v>
      </c>
      <c r="AH43" s="176">
        <v>-549</v>
      </c>
      <c r="AI43" s="176">
        <v>-1103</v>
      </c>
      <c r="AJ43" s="176">
        <v>-1637</v>
      </c>
      <c r="AK43" s="176">
        <v>-2205</v>
      </c>
      <c r="AL43" s="176">
        <v>-476</v>
      </c>
      <c r="AM43" s="176">
        <v>-1989</v>
      </c>
      <c r="AN43" s="176">
        <v>-3590</v>
      </c>
      <c r="AO43" s="176">
        <v>-5177</v>
      </c>
    </row>
    <row r="44" spans="1:41" ht="15.75" x14ac:dyDescent="0.2">
      <c r="A44" s="142" t="s">
        <v>140</v>
      </c>
      <c r="B44" s="77"/>
      <c r="C44" s="77"/>
      <c r="D44" s="178">
        <f t="shared" si="9"/>
        <v>-1422</v>
      </c>
      <c r="E44" s="178">
        <f t="shared" si="9"/>
        <v>-21098</v>
      </c>
      <c r="F44" s="178">
        <f t="shared" si="9"/>
        <v>-85653</v>
      </c>
      <c r="G44" s="178">
        <f t="shared" si="10"/>
        <v>-102446</v>
      </c>
      <c r="H44" s="178">
        <f t="shared" si="10"/>
        <v>-108266</v>
      </c>
      <c r="I44" s="178">
        <f t="shared" si="11"/>
        <v>-33841</v>
      </c>
      <c r="J44" s="178">
        <f t="shared" si="11"/>
        <v>-26456</v>
      </c>
      <c r="K44" s="77"/>
      <c r="L44" s="77"/>
      <c r="M44" s="77"/>
      <c r="N44" s="176">
        <v>0</v>
      </c>
      <c r="O44" s="176">
        <v>0</v>
      </c>
      <c r="P44" s="176">
        <v>0</v>
      </c>
      <c r="Q44" s="176">
        <v>-1422</v>
      </c>
      <c r="R44" s="176">
        <v>0</v>
      </c>
      <c r="S44" s="176">
        <v>0</v>
      </c>
      <c r="T44" s="176">
        <v>-10124</v>
      </c>
      <c r="U44" s="176">
        <v>-21098</v>
      </c>
      <c r="V44" s="176">
        <v>-9257</v>
      </c>
      <c r="W44" s="176">
        <v>-29888</v>
      </c>
      <c r="X44" s="176">
        <v>-55279</v>
      </c>
      <c r="Y44" s="176">
        <v>-85653</v>
      </c>
      <c r="Z44" s="176">
        <v>-25865</v>
      </c>
      <c r="AA44" s="176">
        <v>-48086</v>
      </c>
      <c r="AB44" s="176">
        <v>-75599</v>
      </c>
      <c r="AC44" s="176">
        <v>-102446</v>
      </c>
      <c r="AD44" s="176">
        <v>-9988</v>
      </c>
      <c r="AE44" s="176">
        <v>-26302</v>
      </c>
      <c r="AF44" s="176">
        <v>-88424</v>
      </c>
      <c r="AG44" s="176">
        <v>-108266</v>
      </c>
      <c r="AH44" s="176">
        <v>-348</v>
      </c>
      <c r="AI44" s="176">
        <v>-1322</v>
      </c>
      <c r="AJ44" s="176">
        <v>-22679</v>
      </c>
      <c r="AK44" s="176">
        <v>-33841</v>
      </c>
      <c r="AL44" s="176">
        <v>-631</v>
      </c>
      <c r="AM44" s="176">
        <v>-4432</v>
      </c>
      <c r="AN44" s="176">
        <v>-11736</v>
      </c>
      <c r="AO44" s="176">
        <v>-26456</v>
      </c>
    </row>
    <row r="45" spans="1:41" ht="15.75" x14ac:dyDescent="0.2">
      <c r="A45" s="142" t="s">
        <v>141</v>
      </c>
      <c r="B45" s="77"/>
      <c r="C45" s="77"/>
      <c r="D45" s="178">
        <f t="shared" si="9"/>
        <v>0</v>
      </c>
      <c r="E45" s="178">
        <f t="shared" si="9"/>
        <v>0</v>
      </c>
      <c r="F45" s="178">
        <f t="shared" si="9"/>
        <v>0</v>
      </c>
      <c r="G45" s="178">
        <f t="shared" si="10"/>
        <v>0</v>
      </c>
      <c r="H45" s="178">
        <f t="shared" si="10"/>
        <v>0</v>
      </c>
      <c r="I45" s="178">
        <f t="shared" si="11"/>
        <v>0</v>
      </c>
      <c r="J45" s="178">
        <f t="shared" si="11"/>
        <v>0</v>
      </c>
      <c r="K45" s="77"/>
      <c r="L45" s="77"/>
      <c r="M45" s="77"/>
      <c r="N45" s="176">
        <v>0</v>
      </c>
      <c r="O45" s="176">
        <v>0</v>
      </c>
      <c r="P45" s="176">
        <v>0</v>
      </c>
      <c r="Q45" s="176">
        <v>0</v>
      </c>
      <c r="R45" s="176">
        <v>0</v>
      </c>
      <c r="S45" s="176">
        <v>0</v>
      </c>
      <c r="T45" s="176">
        <v>0</v>
      </c>
      <c r="U45" s="176">
        <v>0</v>
      </c>
      <c r="V45" s="176">
        <v>0</v>
      </c>
      <c r="W45" s="176">
        <v>0</v>
      </c>
      <c r="X45" s="176">
        <v>0</v>
      </c>
      <c r="Y45" s="176">
        <v>0</v>
      </c>
      <c r="Z45" s="176">
        <v>0</v>
      </c>
      <c r="AA45" s="176">
        <v>-1795</v>
      </c>
      <c r="AB45" s="176">
        <v>0</v>
      </c>
      <c r="AC45" s="176">
        <v>0</v>
      </c>
      <c r="AD45" s="176">
        <v>0</v>
      </c>
      <c r="AE45" s="176">
        <v>0</v>
      </c>
      <c r="AF45" s="176">
        <v>0</v>
      </c>
      <c r="AG45" s="176">
        <v>0</v>
      </c>
      <c r="AH45" s="176">
        <v>0</v>
      </c>
      <c r="AI45" s="176">
        <v>0</v>
      </c>
      <c r="AJ45" s="176">
        <v>0</v>
      </c>
      <c r="AK45" s="176">
        <v>0</v>
      </c>
      <c r="AL45" s="176">
        <v>0</v>
      </c>
      <c r="AM45" s="176">
        <v>0</v>
      </c>
      <c r="AN45" s="176">
        <v>0</v>
      </c>
      <c r="AO45" s="176">
        <v>0</v>
      </c>
    </row>
    <row r="46" spans="1:41" ht="15.75" x14ac:dyDescent="0.2">
      <c r="A46" s="5"/>
      <c r="B46" s="77"/>
      <c r="C46" s="77"/>
      <c r="D46" s="178"/>
      <c r="E46" s="178"/>
      <c r="F46" s="178"/>
      <c r="G46" s="178"/>
      <c r="H46" s="178"/>
      <c r="I46" s="178"/>
      <c r="J46" s="178"/>
      <c r="K46" s="77"/>
      <c r="L46" s="77"/>
      <c r="M46" s="77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</row>
    <row r="47" spans="1:41" ht="15.75" x14ac:dyDescent="0.2">
      <c r="A47" s="141" t="s">
        <v>142</v>
      </c>
      <c r="B47" s="76"/>
      <c r="C47" s="76"/>
      <c r="D47" s="179">
        <f t="shared" ref="D47:J47" si="12">D10+D32</f>
        <v>107829</v>
      </c>
      <c r="E47" s="179">
        <f t="shared" si="12"/>
        <v>196291</v>
      </c>
      <c r="F47" s="179">
        <f t="shared" si="12"/>
        <v>383711</v>
      </c>
      <c r="G47" s="179">
        <f t="shared" si="12"/>
        <v>375692</v>
      </c>
      <c r="H47" s="179">
        <f t="shared" si="12"/>
        <v>269711</v>
      </c>
      <c r="I47" s="179">
        <f t="shared" si="12"/>
        <v>395588</v>
      </c>
      <c r="J47" s="179">
        <f t="shared" si="12"/>
        <v>504071</v>
      </c>
      <c r="K47" s="76"/>
      <c r="L47" s="76"/>
      <c r="M47" s="76"/>
      <c r="N47" s="179">
        <f t="shared" ref="N47:Z47" si="13">N10+N32</f>
        <v>-16478</v>
      </c>
      <c r="O47" s="179">
        <f t="shared" si="13"/>
        <v>29140</v>
      </c>
      <c r="P47" s="179">
        <f t="shared" si="13"/>
        <v>48785</v>
      </c>
      <c r="Q47" s="179">
        <f t="shared" si="13"/>
        <v>107829</v>
      </c>
      <c r="R47" s="179">
        <f t="shared" si="13"/>
        <v>4029</v>
      </c>
      <c r="S47" s="179">
        <f t="shared" si="13"/>
        <v>95564</v>
      </c>
      <c r="T47" s="179">
        <f t="shared" si="13"/>
        <v>144630</v>
      </c>
      <c r="U47" s="179">
        <f t="shared" si="13"/>
        <v>196291</v>
      </c>
      <c r="V47" s="179">
        <f t="shared" si="13"/>
        <v>60717</v>
      </c>
      <c r="W47" s="179">
        <f t="shared" si="13"/>
        <v>155051</v>
      </c>
      <c r="X47" s="179">
        <f t="shared" si="13"/>
        <v>275664</v>
      </c>
      <c r="Y47" s="179">
        <f t="shared" si="13"/>
        <v>383711</v>
      </c>
      <c r="Z47" s="179">
        <f t="shared" si="13"/>
        <v>45250</v>
      </c>
      <c r="AA47" s="179">
        <f t="shared" ref="AA47:AH47" si="14">AA10+AA32</f>
        <v>189372</v>
      </c>
      <c r="AB47" s="179">
        <f t="shared" si="14"/>
        <v>275109</v>
      </c>
      <c r="AC47" s="179">
        <f t="shared" si="14"/>
        <v>375692</v>
      </c>
      <c r="AD47" s="179">
        <f t="shared" si="14"/>
        <v>3988</v>
      </c>
      <c r="AE47" s="179">
        <f t="shared" si="14"/>
        <v>122076</v>
      </c>
      <c r="AF47" s="179">
        <f t="shared" si="14"/>
        <v>132666</v>
      </c>
      <c r="AG47" s="179">
        <f t="shared" si="14"/>
        <v>269711</v>
      </c>
      <c r="AH47" s="179">
        <f t="shared" si="14"/>
        <v>45163</v>
      </c>
      <c r="AI47" s="179">
        <f t="shared" ref="AI47:AJ47" si="15">AI10+AI32</f>
        <v>199229</v>
      </c>
      <c r="AJ47" s="179">
        <f t="shared" si="15"/>
        <v>270397</v>
      </c>
      <c r="AK47" s="179">
        <f t="shared" ref="AK47:AO47" si="16">AK10+AK32</f>
        <v>395588</v>
      </c>
      <c r="AL47" s="179">
        <f t="shared" si="16"/>
        <v>56566</v>
      </c>
      <c r="AM47" s="179">
        <f t="shared" si="16"/>
        <v>230722</v>
      </c>
      <c r="AN47" s="179">
        <f t="shared" si="16"/>
        <v>369413</v>
      </c>
      <c r="AO47" s="179">
        <f t="shared" si="16"/>
        <v>504071</v>
      </c>
    </row>
    <row r="48" spans="1:41" ht="15.75" x14ac:dyDescent="0.2">
      <c r="A48" s="4"/>
      <c r="B48" s="76"/>
      <c r="C48" s="76"/>
      <c r="D48" s="177"/>
      <c r="E48" s="177"/>
      <c r="F48" s="177"/>
      <c r="G48" s="177"/>
      <c r="H48" s="177"/>
      <c r="I48" s="177"/>
      <c r="J48" s="177"/>
      <c r="K48" s="76"/>
      <c r="L48" s="76"/>
      <c r="M48" s="76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</row>
    <row r="49" spans="1:53" s="144" customFormat="1" ht="15.75" x14ac:dyDescent="0.2">
      <c r="A49" s="145" t="s">
        <v>143</v>
      </c>
      <c r="B49" s="143"/>
      <c r="C49" s="143"/>
      <c r="D49" s="177">
        <f t="shared" ref="D49:F49" si="17">SUM(D50:D60)</f>
        <v>-82260</v>
      </c>
      <c r="E49" s="177">
        <f t="shared" si="17"/>
        <v>-330068</v>
      </c>
      <c r="F49" s="177">
        <f t="shared" si="17"/>
        <v>-573812</v>
      </c>
      <c r="G49" s="177">
        <f>SUM(G50:G60)</f>
        <v>-310380</v>
      </c>
      <c r="H49" s="177">
        <f>SUM(H50:H60)</f>
        <v>-99176</v>
      </c>
      <c r="I49" s="177">
        <f>SUM(I50:I60)</f>
        <v>-107171</v>
      </c>
      <c r="J49" s="177">
        <f>SUM(J50:J60)</f>
        <v>-252924</v>
      </c>
      <c r="K49" s="77"/>
      <c r="L49" s="77"/>
      <c r="M49" s="77"/>
      <c r="N49" s="177">
        <f t="shared" ref="N49:Z49" si="18">SUM(N50:N59)</f>
        <v>-15540</v>
      </c>
      <c r="O49" s="177">
        <f t="shared" si="18"/>
        <v>-36179</v>
      </c>
      <c r="P49" s="177">
        <f t="shared" si="18"/>
        <v>-118907</v>
      </c>
      <c r="Q49" s="177">
        <f t="shared" si="18"/>
        <v>-82260</v>
      </c>
      <c r="R49" s="177">
        <f t="shared" si="18"/>
        <v>-18123</v>
      </c>
      <c r="S49" s="177">
        <f t="shared" si="18"/>
        <v>-1911</v>
      </c>
      <c r="T49" s="177">
        <f t="shared" si="18"/>
        <v>-310017</v>
      </c>
      <c r="U49" s="177">
        <f t="shared" si="18"/>
        <v>-330068</v>
      </c>
      <c r="V49" s="177">
        <f t="shared" si="18"/>
        <v>-93221</v>
      </c>
      <c r="W49" s="177">
        <f t="shared" si="18"/>
        <v>-166821</v>
      </c>
      <c r="X49" s="177">
        <f t="shared" si="18"/>
        <v>-265814</v>
      </c>
      <c r="Y49" s="177">
        <f t="shared" si="18"/>
        <v>-573812</v>
      </c>
      <c r="Z49" s="177">
        <f t="shared" si="18"/>
        <v>-1487</v>
      </c>
      <c r="AA49" s="177">
        <f t="shared" ref="AA49:AB49" si="19">SUM(AA50:AA59)</f>
        <v>-233892</v>
      </c>
      <c r="AB49" s="177">
        <f t="shared" si="19"/>
        <v>-225869</v>
      </c>
      <c r="AC49" s="177">
        <f t="shared" ref="AC49:AH49" si="20">SUM(AC50:AC60)</f>
        <v>-310380</v>
      </c>
      <c r="AD49" s="177">
        <f t="shared" si="20"/>
        <v>-262855</v>
      </c>
      <c r="AE49" s="177">
        <f t="shared" si="20"/>
        <v>-339814</v>
      </c>
      <c r="AF49" s="177">
        <f t="shared" si="20"/>
        <v>-18379</v>
      </c>
      <c r="AG49" s="177">
        <f t="shared" si="20"/>
        <v>-99176</v>
      </c>
      <c r="AH49" s="177">
        <f t="shared" si="20"/>
        <v>-26869</v>
      </c>
      <c r="AI49" s="177">
        <f t="shared" ref="AI49:AJ49" si="21">SUM(AI50:AI60)</f>
        <v>5069</v>
      </c>
      <c r="AJ49" s="177">
        <f t="shared" si="21"/>
        <v>-117658</v>
      </c>
      <c r="AK49" s="177">
        <f t="shared" ref="AK49:AO49" si="22">SUM(AK50:AK60)</f>
        <v>-107171</v>
      </c>
      <c r="AL49" s="177">
        <f t="shared" si="22"/>
        <v>-43243</v>
      </c>
      <c r="AM49" s="177">
        <f t="shared" si="22"/>
        <v>-151785</v>
      </c>
      <c r="AN49" s="177">
        <f t="shared" si="22"/>
        <v>-188142</v>
      </c>
      <c r="AO49" s="177">
        <f t="shared" si="22"/>
        <v>-252924</v>
      </c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</row>
    <row r="50" spans="1:53" ht="15.75" x14ac:dyDescent="0.2">
      <c r="A50" s="142" t="s">
        <v>144</v>
      </c>
      <c r="B50" s="77"/>
      <c r="C50" s="77"/>
      <c r="D50" s="178">
        <f t="shared" ref="D50:F60" si="23">INDEX($N50:$AB50,MATCH(D$5,$N$7:$AB$7,0))</f>
        <v>-48652</v>
      </c>
      <c r="E50" s="178">
        <f t="shared" si="23"/>
        <v>-51992</v>
      </c>
      <c r="F50" s="178">
        <f t="shared" si="23"/>
        <v>-374235</v>
      </c>
      <c r="G50" s="178">
        <f>INDEX($N50:$AG50,MATCH(G$5,$N$7:$AG$7,0))</f>
        <v>-525440</v>
      </c>
      <c r="H50" s="178">
        <f>INDEX($N50:$AG50,MATCH(H$5,$N$7:$AG$7,0))</f>
        <v>-339322</v>
      </c>
      <c r="I50" s="178">
        <f t="shared" ref="I50:J60" si="24">INDEX($N50:$AP50,MATCH(I$5,$N$7:$AP$7,0))</f>
        <v>-196101</v>
      </c>
      <c r="J50" s="178">
        <f t="shared" si="24"/>
        <v>-169988</v>
      </c>
      <c r="K50" s="77"/>
      <c r="L50" s="77"/>
      <c r="M50" s="77"/>
      <c r="N50" s="176">
        <v>-6792</v>
      </c>
      <c r="O50" s="176">
        <v>-20281</v>
      </c>
      <c r="P50" s="176">
        <v>-33723</v>
      </c>
      <c r="Q50" s="176">
        <v>-48652</v>
      </c>
      <c r="R50" s="176">
        <v>-14027</v>
      </c>
      <c r="S50" s="176">
        <v>-22643</v>
      </c>
      <c r="T50" s="176">
        <v>-35434</v>
      </c>
      <c r="U50" s="176">
        <v>-51992</v>
      </c>
      <c r="V50" s="176">
        <v>-26775</v>
      </c>
      <c r="W50" s="176">
        <v>-112437</v>
      </c>
      <c r="X50" s="176">
        <v>-228659</v>
      </c>
      <c r="Y50" s="176">
        <v>-374235</v>
      </c>
      <c r="Z50" s="176">
        <v>-118572</v>
      </c>
      <c r="AA50" s="176">
        <v>-275515</v>
      </c>
      <c r="AB50" s="176">
        <v>-395905</v>
      </c>
      <c r="AC50" s="176">
        <v>-525440</v>
      </c>
      <c r="AD50" s="176">
        <v>-71859</v>
      </c>
      <c r="AE50" s="176">
        <v>-207358</v>
      </c>
      <c r="AF50" s="176">
        <v>-280394</v>
      </c>
      <c r="AG50" s="176">
        <v>-339322</v>
      </c>
      <c r="AH50" s="176">
        <v>-38841</v>
      </c>
      <c r="AI50" s="176">
        <v>-90413</v>
      </c>
      <c r="AJ50" s="176">
        <v>-140121</v>
      </c>
      <c r="AK50" s="176">
        <v>-196101</v>
      </c>
      <c r="AL50" s="176">
        <v>-34244</v>
      </c>
      <c r="AM50" s="176">
        <v>-69781</v>
      </c>
      <c r="AN50" s="176">
        <v>-112640</v>
      </c>
      <c r="AO50" s="176">
        <v>-169988</v>
      </c>
    </row>
    <row r="51" spans="1:53" ht="15.75" x14ac:dyDescent="0.2">
      <c r="A51" s="142" t="s">
        <v>145</v>
      </c>
      <c r="B51" s="76"/>
      <c r="C51" s="76"/>
      <c r="D51" s="178">
        <f t="shared" si="23"/>
        <v>-16587</v>
      </c>
      <c r="E51" s="178">
        <f t="shared" si="23"/>
        <v>-16564</v>
      </c>
      <c r="F51" s="178">
        <f t="shared" si="23"/>
        <v>-20490</v>
      </c>
      <c r="G51" s="178">
        <f t="shared" ref="G51:H60" si="25">INDEX($N51:$AG51,MATCH(G$5,$N$7:$AG$7,0))</f>
        <v>-16528</v>
      </c>
      <c r="H51" s="178">
        <f t="shared" si="25"/>
        <v>-18263</v>
      </c>
      <c r="I51" s="178">
        <f t="shared" si="24"/>
        <v>-27215</v>
      </c>
      <c r="J51" s="178">
        <f t="shared" si="24"/>
        <v>-74369</v>
      </c>
      <c r="K51" s="76"/>
      <c r="L51" s="76"/>
      <c r="M51" s="76"/>
      <c r="N51" s="176">
        <v>-2064</v>
      </c>
      <c r="O51" s="176">
        <v>-5661</v>
      </c>
      <c r="P51" s="176">
        <v>-11152</v>
      </c>
      <c r="Q51" s="176">
        <v>-16587</v>
      </c>
      <c r="R51" s="176">
        <v>-3271</v>
      </c>
      <c r="S51" s="176">
        <v>-7443</v>
      </c>
      <c r="T51" s="176">
        <v>-11742</v>
      </c>
      <c r="U51" s="176">
        <v>-16564</v>
      </c>
      <c r="V51" s="176">
        <v>-4414</v>
      </c>
      <c r="W51" s="176">
        <v>-8399</v>
      </c>
      <c r="X51" s="176">
        <v>-11603</v>
      </c>
      <c r="Y51" s="176">
        <v>-20490</v>
      </c>
      <c r="Z51" s="176">
        <v>-3382</v>
      </c>
      <c r="AA51" s="176">
        <v>-5509</v>
      </c>
      <c r="AB51" s="176">
        <v>-9285</v>
      </c>
      <c r="AC51" s="176">
        <v>-16528</v>
      </c>
      <c r="AD51" s="176">
        <v>-3280</v>
      </c>
      <c r="AE51" s="176">
        <v>-6759</v>
      </c>
      <c r="AF51" s="176">
        <v>-13920</v>
      </c>
      <c r="AG51" s="176">
        <v>-18263</v>
      </c>
      <c r="AH51" s="176">
        <v>-3311</v>
      </c>
      <c r="AI51" s="176">
        <v>-7684</v>
      </c>
      <c r="AJ51" s="176">
        <v>-19195</v>
      </c>
      <c r="AK51" s="176">
        <v>-27215</v>
      </c>
      <c r="AL51" s="176">
        <v>-4797</v>
      </c>
      <c r="AM51" s="176">
        <v>-63298</v>
      </c>
      <c r="AN51" s="176">
        <v>-69688</v>
      </c>
      <c r="AO51" s="176">
        <v>-74369</v>
      </c>
    </row>
    <row r="52" spans="1:53" ht="15.75" x14ac:dyDescent="0.2">
      <c r="A52" s="142" t="s">
        <v>146</v>
      </c>
      <c r="B52" s="78"/>
      <c r="C52" s="78"/>
      <c r="D52" s="178">
        <f t="shared" si="23"/>
        <v>-17232</v>
      </c>
      <c r="E52" s="178">
        <f t="shared" si="23"/>
        <v>-4175</v>
      </c>
      <c r="F52" s="178">
        <f t="shared" si="23"/>
        <v>-836</v>
      </c>
      <c r="G52" s="178">
        <f t="shared" si="25"/>
        <v>-2721</v>
      </c>
      <c r="H52" s="178">
        <f t="shared" si="25"/>
        <v>-11676</v>
      </c>
      <c r="I52" s="178">
        <f t="shared" si="24"/>
        <v>-6148</v>
      </c>
      <c r="J52" s="178">
        <f t="shared" si="24"/>
        <v>-9560</v>
      </c>
      <c r="K52" s="180"/>
      <c r="L52" s="180"/>
      <c r="M52" s="180"/>
      <c r="N52" s="176">
        <v>-6926</v>
      </c>
      <c r="O52" s="176">
        <v>-10932</v>
      </c>
      <c r="P52" s="176">
        <v>-13532</v>
      </c>
      <c r="Q52" s="176">
        <v>-17232</v>
      </c>
      <c r="R52" s="176">
        <v>-1699</v>
      </c>
      <c r="S52" s="176">
        <v>-3060</v>
      </c>
      <c r="T52" s="176">
        <v>-3250</v>
      </c>
      <c r="U52" s="176">
        <v>-4175</v>
      </c>
      <c r="V52" s="176">
        <v>-595</v>
      </c>
      <c r="W52" s="176">
        <v>-613</v>
      </c>
      <c r="X52" s="176">
        <v>-693</v>
      </c>
      <c r="Y52" s="176">
        <v>-836</v>
      </c>
      <c r="Z52" s="176">
        <v>-249</v>
      </c>
      <c r="AA52" s="176">
        <v>-2694</v>
      </c>
      <c r="AB52" s="176">
        <v>-2721</v>
      </c>
      <c r="AC52" s="176">
        <v>-2721</v>
      </c>
      <c r="AD52" s="176">
        <v>-5266</v>
      </c>
      <c r="AE52" s="176">
        <v>-6057</v>
      </c>
      <c r="AF52" s="176">
        <v>-10273</v>
      </c>
      <c r="AG52" s="176">
        <v>-11676</v>
      </c>
      <c r="AH52" s="176">
        <v>-2604</v>
      </c>
      <c r="AI52" s="176">
        <v>-3680</v>
      </c>
      <c r="AJ52" s="176">
        <v>-4605</v>
      </c>
      <c r="AK52" s="176">
        <v>-6148</v>
      </c>
      <c r="AL52" s="176">
        <v>-4620</v>
      </c>
      <c r="AM52" s="176">
        <v>-6630</v>
      </c>
      <c r="AN52" s="176">
        <v>-7282</v>
      </c>
      <c r="AO52" s="176">
        <v>-9560</v>
      </c>
    </row>
    <row r="53" spans="1:53" ht="15.75" x14ac:dyDescent="0.2">
      <c r="A53" s="142" t="s">
        <v>147</v>
      </c>
      <c r="B53" s="78"/>
      <c r="C53" s="78"/>
      <c r="D53" s="178">
        <f t="shared" si="23"/>
        <v>0</v>
      </c>
      <c r="E53" s="178">
        <f t="shared" si="23"/>
        <v>0</v>
      </c>
      <c r="F53" s="178">
        <f t="shared" si="23"/>
        <v>-5</v>
      </c>
      <c r="G53" s="178">
        <f t="shared" si="25"/>
        <v>0</v>
      </c>
      <c r="H53" s="178">
        <f t="shared" si="25"/>
        <v>0</v>
      </c>
      <c r="I53" s="178">
        <f t="shared" si="24"/>
        <v>0</v>
      </c>
      <c r="J53" s="178">
        <f t="shared" si="24"/>
        <v>0</v>
      </c>
      <c r="K53" s="180"/>
      <c r="L53" s="180"/>
      <c r="M53" s="180"/>
      <c r="N53" s="176">
        <v>0</v>
      </c>
      <c r="O53" s="176">
        <v>0</v>
      </c>
      <c r="P53" s="176">
        <v>0</v>
      </c>
      <c r="Q53" s="176">
        <v>0</v>
      </c>
      <c r="R53" s="176">
        <v>0</v>
      </c>
      <c r="S53" s="176">
        <v>0</v>
      </c>
      <c r="T53" s="176">
        <v>0</v>
      </c>
      <c r="U53" s="176">
        <v>0</v>
      </c>
      <c r="V53" s="176">
        <v>0</v>
      </c>
      <c r="W53" s="176">
        <v>0</v>
      </c>
      <c r="X53" s="176">
        <v>0</v>
      </c>
      <c r="Y53" s="176">
        <v>-5</v>
      </c>
      <c r="Z53" s="176">
        <v>0</v>
      </c>
      <c r="AA53" s="176">
        <v>0</v>
      </c>
      <c r="AB53" s="176">
        <v>0</v>
      </c>
      <c r="AC53" s="176">
        <v>0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0</v>
      </c>
      <c r="AJ53" s="176">
        <v>0</v>
      </c>
      <c r="AK53" s="176">
        <v>0</v>
      </c>
      <c r="AL53" s="176">
        <v>0</v>
      </c>
      <c r="AM53" s="176">
        <v>0</v>
      </c>
      <c r="AN53" s="176">
        <v>0</v>
      </c>
      <c r="AO53" s="176">
        <v>0</v>
      </c>
    </row>
    <row r="54" spans="1:53" ht="15.75" x14ac:dyDescent="0.2">
      <c r="A54" s="142" t="s">
        <v>148</v>
      </c>
      <c r="B54" s="78"/>
      <c r="C54" s="78"/>
      <c r="D54" s="178">
        <f t="shared" si="23"/>
        <v>0</v>
      </c>
      <c r="E54" s="178">
        <f t="shared" si="23"/>
        <v>0</v>
      </c>
      <c r="F54" s="178">
        <f t="shared" si="23"/>
        <v>0</v>
      </c>
      <c r="G54" s="178">
        <f t="shared" si="25"/>
        <v>15550</v>
      </c>
      <c r="H54" s="178">
        <f t="shared" si="25"/>
        <v>29525</v>
      </c>
      <c r="I54" s="178">
        <f t="shared" si="24"/>
        <v>0</v>
      </c>
      <c r="J54" s="178">
        <f t="shared" si="24"/>
        <v>0</v>
      </c>
      <c r="K54" s="180"/>
      <c r="L54" s="180"/>
      <c r="M54" s="180"/>
      <c r="N54" s="176">
        <v>0</v>
      </c>
      <c r="O54" s="176">
        <v>0</v>
      </c>
      <c r="P54" s="176">
        <v>0</v>
      </c>
      <c r="Q54" s="176">
        <v>0</v>
      </c>
      <c r="R54" s="176">
        <v>0</v>
      </c>
      <c r="S54" s="176">
        <v>0</v>
      </c>
      <c r="T54" s="176">
        <v>0</v>
      </c>
      <c r="U54" s="176">
        <v>0</v>
      </c>
      <c r="V54" s="176">
        <v>0</v>
      </c>
      <c r="W54" s="176">
        <v>0</v>
      </c>
      <c r="X54" s="176">
        <v>0</v>
      </c>
      <c r="Y54" s="176">
        <v>0</v>
      </c>
      <c r="Z54" s="176">
        <v>9850</v>
      </c>
      <c r="AA54" s="176">
        <v>12700</v>
      </c>
      <c r="AB54" s="176">
        <v>15550</v>
      </c>
      <c r="AC54" s="176">
        <v>15550</v>
      </c>
      <c r="AD54" s="176">
        <v>29525</v>
      </c>
      <c r="AE54" s="176">
        <v>29525</v>
      </c>
      <c r="AF54" s="176">
        <v>29525</v>
      </c>
      <c r="AG54" s="176">
        <v>29525</v>
      </c>
      <c r="AH54" s="176">
        <v>0</v>
      </c>
      <c r="AI54" s="176">
        <v>0</v>
      </c>
      <c r="AJ54" s="176">
        <v>0</v>
      </c>
      <c r="AK54" s="176">
        <v>0</v>
      </c>
      <c r="AL54" s="176">
        <v>0</v>
      </c>
      <c r="AM54" s="176"/>
      <c r="AN54" s="176">
        <v>0</v>
      </c>
      <c r="AO54" s="176">
        <v>0</v>
      </c>
    </row>
    <row r="55" spans="1:53" ht="15.75" x14ac:dyDescent="0.2">
      <c r="A55" s="142" t="s">
        <v>149</v>
      </c>
      <c r="B55" s="76"/>
      <c r="C55" s="76"/>
      <c r="D55" s="178">
        <f t="shared" si="23"/>
        <v>28736</v>
      </c>
      <c r="E55" s="178">
        <f t="shared" si="23"/>
        <v>5373</v>
      </c>
      <c r="F55" s="178">
        <f t="shared" si="23"/>
        <v>5640</v>
      </c>
      <c r="G55" s="178">
        <f t="shared" si="25"/>
        <v>14446</v>
      </c>
      <c r="H55" s="178">
        <f t="shared" si="25"/>
        <v>4417</v>
      </c>
      <c r="I55" s="178">
        <f t="shared" si="24"/>
        <v>2280</v>
      </c>
      <c r="J55" s="178">
        <f t="shared" si="24"/>
        <v>1636</v>
      </c>
      <c r="K55" s="76"/>
      <c r="L55" s="76"/>
      <c r="M55" s="76"/>
      <c r="N55" s="176">
        <v>242</v>
      </c>
      <c r="O55" s="176">
        <v>695</v>
      </c>
      <c r="P55" s="176">
        <v>861</v>
      </c>
      <c r="Q55" s="176">
        <v>28736</v>
      </c>
      <c r="R55" s="176">
        <v>1504</v>
      </c>
      <c r="S55" s="176">
        <v>1973</v>
      </c>
      <c r="T55" s="176">
        <v>2094</v>
      </c>
      <c r="U55" s="176">
        <v>5373</v>
      </c>
      <c r="V55" s="176">
        <v>5</v>
      </c>
      <c r="W55" s="176">
        <v>2367</v>
      </c>
      <c r="X55" s="176">
        <v>4626</v>
      </c>
      <c r="Y55" s="176">
        <v>5640</v>
      </c>
      <c r="Z55" s="176">
        <v>1233</v>
      </c>
      <c r="AA55" s="176">
        <v>2974</v>
      </c>
      <c r="AB55" s="176">
        <v>14213</v>
      </c>
      <c r="AC55" s="176">
        <v>14446</v>
      </c>
      <c r="AD55" s="176">
        <v>1042</v>
      </c>
      <c r="AE55" s="176">
        <v>1051</v>
      </c>
      <c r="AF55" s="176">
        <v>4175</v>
      </c>
      <c r="AG55" s="176">
        <v>4417</v>
      </c>
      <c r="AH55" s="176">
        <v>513</v>
      </c>
      <c r="AI55" s="176">
        <v>934</v>
      </c>
      <c r="AJ55" s="176">
        <v>1849</v>
      </c>
      <c r="AK55" s="176">
        <v>2280</v>
      </c>
      <c r="AL55" s="176">
        <v>173</v>
      </c>
      <c r="AM55" s="176">
        <v>742</v>
      </c>
      <c r="AN55" s="176">
        <v>1118</v>
      </c>
      <c r="AO55" s="176">
        <v>1636</v>
      </c>
    </row>
    <row r="56" spans="1:53" ht="15.75" x14ac:dyDescent="0.2">
      <c r="A56" s="142" t="s">
        <v>150</v>
      </c>
      <c r="B56" s="76"/>
      <c r="C56" s="76"/>
      <c r="D56" s="178">
        <f t="shared" si="23"/>
        <v>0</v>
      </c>
      <c r="E56" s="178">
        <f t="shared" si="23"/>
        <v>-291972</v>
      </c>
      <c r="F56" s="178">
        <f t="shared" si="23"/>
        <v>-183886</v>
      </c>
      <c r="G56" s="178">
        <f t="shared" si="25"/>
        <v>-1018232</v>
      </c>
      <c r="H56" s="178">
        <f t="shared" si="25"/>
        <v>-1057665</v>
      </c>
      <c r="I56" s="178">
        <f t="shared" si="24"/>
        <v>-207671</v>
      </c>
      <c r="J56" s="178">
        <f t="shared" si="24"/>
        <v>-38063</v>
      </c>
      <c r="K56" s="76"/>
      <c r="L56" s="76"/>
      <c r="M56" s="76"/>
      <c r="N56" s="176">
        <v>0</v>
      </c>
      <c r="O56" s="176">
        <v>0</v>
      </c>
      <c r="P56" s="176">
        <v>0</v>
      </c>
      <c r="Q56" s="176">
        <v>0</v>
      </c>
      <c r="R56" s="176">
        <v>0</v>
      </c>
      <c r="S56" s="176">
        <v>0</v>
      </c>
      <c r="T56" s="176">
        <v>-290947</v>
      </c>
      <c r="U56" s="176">
        <v>-291972</v>
      </c>
      <c r="V56" s="176">
        <v>-61442</v>
      </c>
      <c r="W56" s="176">
        <v>-47739</v>
      </c>
      <c r="X56" s="176">
        <v>-29485</v>
      </c>
      <c r="Y56" s="176">
        <v>-183886</v>
      </c>
      <c r="Z56" s="176">
        <v>109633</v>
      </c>
      <c r="AA56" s="176">
        <v>34152</v>
      </c>
      <c r="AB56" s="176">
        <v>-801747</v>
      </c>
      <c r="AC56" s="176">
        <v>-1018232</v>
      </c>
      <c r="AD56" s="176">
        <v>-482300</v>
      </c>
      <c r="AE56" s="176">
        <v>-909665</v>
      </c>
      <c r="AF56" s="176">
        <v>-1020665</v>
      </c>
      <c r="AG56" s="176">
        <v>-1057665</v>
      </c>
      <c r="AH56" s="176">
        <v>-94124</v>
      </c>
      <c r="AI56" s="176">
        <v>-109124</v>
      </c>
      <c r="AJ56" s="176">
        <v>-185671</v>
      </c>
      <c r="AK56" s="176">
        <v>-207671</v>
      </c>
      <c r="AL56" s="176">
        <v>-25000</v>
      </c>
      <c r="AM56" s="176">
        <v>-38063</v>
      </c>
      <c r="AN56" s="176">
        <v>-38063</v>
      </c>
      <c r="AO56" s="176">
        <v>-38063</v>
      </c>
    </row>
    <row r="57" spans="1:53" ht="15.75" x14ac:dyDescent="0.2">
      <c r="A57" s="142" t="s">
        <v>151</v>
      </c>
      <c r="B57" s="76"/>
      <c r="C57" s="76"/>
      <c r="D57" s="178">
        <f t="shared" si="23"/>
        <v>0</v>
      </c>
      <c r="E57" s="178">
        <f t="shared" si="23"/>
        <v>0</v>
      </c>
      <c r="F57" s="178">
        <f t="shared" si="23"/>
        <v>0</v>
      </c>
      <c r="G57" s="178">
        <f t="shared" si="25"/>
        <v>1224045</v>
      </c>
      <c r="H57" s="178">
        <f t="shared" si="25"/>
        <v>1296492</v>
      </c>
      <c r="I57" s="178">
        <f t="shared" si="24"/>
        <v>329834</v>
      </c>
      <c r="J57" s="178">
        <f t="shared" si="24"/>
        <v>38413</v>
      </c>
      <c r="K57" s="76"/>
      <c r="L57" s="76"/>
      <c r="M57" s="76"/>
      <c r="N57" s="176">
        <v>0</v>
      </c>
      <c r="O57" s="176">
        <v>0</v>
      </c>
      <c r="P57" s="176">
        <v>0</v>
      </c>
      <c r="Q57" s="176">
        <v>0</v>
      </c>
      <c r="R57" s="176">
        <v>0</v>
      </c>
      <c r="S57" s="176">
        <v>0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6">
        <v>0</v>
      </c>
      <c r="Z57" s="176">
        <v>0</v>
      </c>
      <c r="AA57" s="176">
        <v>0</v>
      </c>
      <c r="AB57" s="176">
        <v>0</v>
      </c>
      <c r="AC57" s="176">
        <v>1224045</v>
      </c>
      <c r="AD57" s="176">
        <v>269283</v>
      </c>
      <c r="AE57" s="176">
        <v>759607</v>
      </c>
      <c r="AF57" s="176">
        <v>1275857</v>
      </c>
      <c r="AG57" s="176">
        <v>1296492</v>
      </c>
      <c r="AH57" s="176">
        <v>111998</v>
      </c>
      <c r="AI57" s="176">
        <v>215536</v>
      </c>
      <c r="AJ57" s="176">
        <v>230585</v>
      </c>
      <c r="AK57" s="176">
        <v>329834</v>
      </c>
      <c r="AL57" s="176">
        <v>25245</v>
      </c>
      <c r="AM57" s="176">
        <v>25245</v>
      </c>
      <c r="AN57" s="176">
        <v>38413</v>
      </c>
      <c r="AO57" s="176">
        <v>38413</v>
      </c>
    </row>
    <row r="58" spans="1:53" ht="15.75" x14ac:dyDescent="0.2">
      <c r="A58" s="142" t="s">
        <v>152</v>
      </c>
      <c r="B58" s="76"/>
      <c r="C58" s="76"/>
      <c r="D58" s="178">
        <f t="shared" si="23"/>
        <v>-28523</v>
      </c>
      <c r="E58" s="178">
        <f t="shared" si="23"/>
        <v>29262</v>
      </c>
      <c r="F58" s="178">
        <f t="shared" si="23"/>
        <v>0</v>
      </c>
      <c r="G58" s="178">
        <f t="shared" si="25"/>
        <v>0</v>
      </c>
      <c r="H58" s="178">
        <f t="shared" si="25"/>
        <v>0</v>
      </c>
      <c r="I58" s="178">
        <f t="shared" si="24"/>
        <v>0</v>
      </c>
      <c r="J58" s="178">
        <f t="shared" si="24"/>
        <v>0</v>
      </c>
      <c r="K58" s="76"/>
      <c r="L58" s="76"/>
      <c r="M58" s="76"/>
      <c r="N58" s="176">
        <v>0</v>
      </c>
      <c r="O58" s="176">
        <v>0</v>
      </c>
      <c r="P58" s="176">
        <v>-61361</v>
      </c>
      <c r="Q58" s="176">
        <v>-28523</v>
      </c>
      <c r="R58" s="176">
        <v>-630</v>
      </c>
      <c r="S58" s="176">
        <v>29262</v>
      </c>
      <c r="T58" s="176">
        <v>29262</v>
      </c>
      <c r="U58" s="176">
        <v>29262</v>
      </c>
      <c r="V58" s="176">
        <v>0</v>
      </c>
      <c r="W58" s="176">
        <v>0</v>
      </c>
      <c r="X58" s="176">
        <v>0</v>
      </c>
      <c r="Y58" s="176">
        <v>0</v>
      </c>
      <c r="Z58" s="176">
        <v>0</v>
      </c>
      <c r="AA58" s="176">
        <v>0</v>
      </c>
      <c r="AB58" s="176">
        <v>954026</v>
      </c>
      <c r="AC58" s="176">
        <v>0</v>
      </c>
      <c r="AD58" s="176">
        <v>0</v>
      </c>
      <c r="AE58" s="176">
        <v>0</v>
      </c>
      <c r="AF58" s="176">
        <v>0</v>
      </c>
      <c r="AG58" s="176">
        <v>0</v>
      </c>
      <c r="AH58" s="176">
        <v>0</v>
      </c>
      <c r="AI58" s="176">
        <v>0</v>
      </c>
      <c r="AJ58" s="176">
        <v>0</v>
      </c>
      <c r="AK58" s="176">
        <v>0</v>
      </c>
      <c r="AL58" s="176">
        <v>0</v>
      </c>
      <c r="AM58" s="176">
        <v>0</v>
      </c>
      <c r="AN58" s="176">
        <v>0</v>
      </c>
      <c r="AO58" s="176">
        <v>0</v>
      </c>
    </row>
    <row r="59" spans="1:53" ht="15.75" x14ac:dyDescent="0.2">
      <c r="A59" s="142" t="s">
        <v>153</v>
      </c>
      <c r="B59" s="76"/>
      <c r="C59" s="76"/>
      <c r="D59" s="178">
        <f t="shared" si="23"/>
        <v>-2</v>
      </c>
      <c r="E59" s="178">
        <f t="shared" si="23"/>
        <v>0</v>
      </c>
      <c r="F59" s="178">
        <f t="shared" si="23"/>
        <v>0</v>
      </c>
      <c r="G59" s="178">
        <f t="shared" si="25"/>
        <v>0</v>
      </c>
      <c r="H59" s="178">
        <f t="shared" si="25"/>
        <v>0</v>
      </c>
      <c r="I59" s="178">
        <f t="shared" si="24"/>
        <v>0</v>
      </c>
      <c r="J59" s="178">
        <f t="shared" si="24"/>
        <v>0</v>
      </c>
      <c r="K59" s="76"/>
      <c r="L59" s="76"/>
      <c r="M59" s="76"/>
      <c r="N59" s="176">
        <v>0</v>
      </c>
      <c r="O59" s="176">
        <v>0</v>
      </c>
      <c r="P59" s="176">
        <v>0</v>
      </c>
      <c r="Q59" s="176">
        <v>-2</v>
      </c>
      <c r="R59" s="176">
        <v>0</v>
      </c>
      <c r="S59" s="176">
        <v>0</v>
      </c>
      <c r="T59" s="176">
        <v>0</v>
      </c>
      <c r="U59" s="176">
        <v>0</v>
      </c>
      <c r="V59" s="176">
        <v>0</v>
      </c>
      <c r="W59" s="176">
        <v>0</v>
      </c>
      <c r="X59" s="176">
        <v>0</v>
      </c>
      <c r="Y59" s="176">
        <v>0</v>
      </c>
      <c r="Z59" s="176">
        <v>0</v>
      </c>
      <c r="AA59" s="176">
        <v>0</v>
      </c>
      <c r="AB59" s="176">
        <v>0</v>
      </c>
      <c r="AC59" s="176">
        <v>0</v>
      </c>
      <c r="AD59" s="176">
        <v>0</v>
      </c>
      <c r="AE59" s="176">
        <v>0</v>
      </c>
      <c r="AF59" s="176">
        <v>0</v>
      </c>
      <c r="AG59" s="176">
        <v>0</v>
      </c>
      <c r="AH59" s="176">
        <v>0</v>
      </c>
      <c r="AI59" s="176">
        <v>0</v>
      </c>
      <c r="AJ59" s="176">
        <v>0</v>
      </c>
      <c r="AK59" s="176">
        <v>0</v>
      </c>
      <c r="AL59" s="176">
        <v>0</v>
      </c>
      <c r="AM59" s="176">
        <v>0</v>
      </c>
      <c r="AN59" s="176">
        <v>0</v>
      </c>
      <c r="AO59" s="176">
        <v>0</v>
      </c>
    </row>
    <row r="60" spans="1:53" ht="15.75" x14ac:dyDescent="0.2">
      <c r="A60" s="142" t="s">
        <v>154</v>
      </c>
      <c r="B60" s="76"/>
      <c r="C60" s="76"/>
      <c r="D60" s="178">
        <f t="shared" si="23"/>
        <v>0</v>
      </c>
      <c r="E60" s="178">
        <f t="shared" si="23"/>
        <v>0</v>
      </c>
      <c r="F60" s="178">
        <f t="shared" si="23"/>
        <v>0</v>
      </c>
      <c r="G60" s="178">
        <f t="shared" si="25"/>
        <v>-1500</v>
      </c>
      <c r="H60" s="178">
        <f t="shared" si="25"/>
        <v>-2684</v>
      </c>
      <c r="I60" s="178">
        <f t="shared" si="24"/>
        <v>-2150</v>
      </c>
      <c r="J60" s="178">
        <f t="shared" si="24"/>
        <v>-993</v>
      </c>
      <c r="K60" s="76"/>
      <c r="L60" s="76"/>
      <c r="M60" s="76"/>
      <c r="N60" s="176">
        <v>0</v>
      </c>
      <c r="O60" s="176">
        <v>0</v>
      </c>
      <c r="P60" s="176">
        <v>0</v>
      </c>
      <c r="Q60" s="176">
        <v>0</v>
      </c>
      <c r="R60" s="176">
        <v>0</v>
      </c>
      <c r="S60" s="176">
        <v>0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6">
        <v>0</v>
      </c>
      <c r="Z60" s="176">
        <v>0</v>
      </c>
      <c r="AA60" s="176">
        <v>0</v>
      </c>
      <c r="AB60" s="176">
        <v>0</v>
      </c>
      <c r="AC60" s="176">
        <v>-1500</v>
      </c>
      <c r="AD60" s="176">
        <v>0</v>
      </c>
      <c r="AE60" s="176">
        <v>-158</v>
      </c>
      <c r="AF60" s="176">
        <v>-2684</v>
      </c>
      <c r="AG60" s="176">
        <v>-2684</v>
      </c>
      <c r="AH60" s="176">
        <v>-500</v>
      </c>
      <c r="AI60" s="176">
        <v>-500</v>
      </c>
      <c r="AJ60" s="176">
        <v>-500</v>
      </c>
      <c r="AK60" s="176">
        <v>-2150</v>
      </c>
      <c r="AL60" s="176">
        <v>0</v>
      </c>
      <c r="AM60" s="176">
        <v>0</v>
      </c>
      <c r="AN60" s="176">
        <v>0</v>
      </c>
      <c r="AO60" s="176">
        <v>-993</v>
      </c>
    </row>
    <row r="61" spans="1:53" ht="15.75" x14ac:dyDescent="0.2">
      <c r="A61" s="5"/>
      <c r="B61" s="76"/>
      <c r="C61" s="76"/>
      <c r="D61" s="178"/>
      <c r="E61" s="178"/>
      <c r="F61" s="178"/>
      <c r="G61" s="178"/>
      <c r="H61" s="178"/>
      <c r="I61" s="178"/>
      <c r="J61" s="178"/>
      <c r="K61" s="76"/>
      <c r="L61" s="76"/>
      <c r="M61" s="76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</row>
    <row r="62" spans="1:53" ht="15.75" x14ac:dyDescent="0.2">
      <c r="A62" s="145" t="s">
        <v>155</v>
      </c>
      <c r="B62" s="76"/>
      <c r="C62" s="76"/>
      <c r="D62" s="177">
        <f t="shared" ref="D62:F62" si="26">SUM(D63:D70)</f>
        <v>-76966</v>
      </c>
      <c r="E62" s="177">
        <f t="shared" si="26"/>
        <v>107215</v>
      </c>
      <c r="F62" s="177">
        <f t="shared" si="26"/>
        <v>166251</v>
      </c>
      <c r="G62" s="177">
        <f>SUM(G63:G70)</f>
        <v>639472</v>
      </c>
      <c r="H62" s="177">
        <f>SUM(H63:H70)</f>
        <v>-421577</v>
      </c>
      <c r="I62" s="177">
        <f>SUM(I63:I70)</f>
        <v>-168337</v>
      </c>
      <c r="J62" s="177">
        <f>SUM(J63:J70)</f>
        <v>-15545</v>
      </c>
      <c r="K62" s="76"/>
      <c r="L62" s="76"/>
      <c r="M62" s="76"/>
      <c r="N62" s="177">
        <f>SUM(N63:N70)</f>
        <v>-58239</v>
      </c>
      <c r="O62" s="177">
        <f t="shared" ref="O62:Z62" si="27">SUM(O63:O70)</f>
        <v>-94634</v>
      </c>
      <c r="P62" s="177">
        <f t="shared" si="27"/>
        <v>-43094</v>
      </c>
      <c r="Q62" s="177">
        <f t="shared" si="27"/>
        <v>-76966</v>
      </c>
      <c r="R62" s="177">
        <f t="shared" si="27"/>
        <v>1991</v>
      </c>
      <c r="S62" s="177">
        <f t="shared" si="27"/>
        <v>-66267</v>
      </c>
      <c r="T62" s="177">
        <f t="shared" si="27"/>
        <v>170989</v>
      </c>
      <c r="U62" s="177">
        <f t="shared" si="27"/>
        <v>107215</v>
      </c>
      <c r="V62" s="177">
        <f t="shared" si="27"/>
        <v>24650</v>
      </c>
      <c r="W62" s="177">
        <f t="shared" si="27"/>
        <v>-7596</v>
      </c>
      <c r="X62" s="177">
        <f t="shared" si="27"/>
        <v>-22390</v>
      </c>
      <c r="Y62" s="177">
        <f t="shared" si="27"/>
        <v>166251</v>
      </c>
      <c r="Z62" s="177">
        <f t="shared" si="27"/>
        <v>-31199</v>
      </c>
      <c r="AA62" s="177">
        <f t="shared" ref="AA62:AO62" si="28">SUM(AA63:AA70)</f>
        <v>51801</v>
      </c>
      <c r="AB62" s="177">
        <f t="shared" si="28"/>
        <v>-31253</v>
      </c>
      <c r="AC62" s="177">
        <f t="shared" si="28"/>
        <v>639472</v>
      </c>
      <c r="AD62" s="177">
        <f t="shared" si="28"/>
        <v>17562</v>
      </c>
      <c r="AE62" s="177">
        <f t="shared" si="28"/>
        <v>-149336</v>
      </c>
      <c r="AF62" s="177">
        <f t="shared" si="28"/>
        <v>-408711</v>
      </c>
      <c r="AG62" s="177">
        <f t="shared" si="28"/>
        <v>-421577</v>
      </c>
      <c r="AH62" s="177">
        <f t="shared" si="28"/>
        <v>2998</v>
      </c>
      <c r="AI62" s="177">
        <f t="shared" si="28"/>
        <v>-89141</v>
      </c>
      <c r="AJ62" s="177">
        <f t="shared" si="28"/>
        <v>-127943</v>
      </c>
      <c r="AK62" s="177">
        <f t="shared" si="28"/>
        <v>-168337</v>
      </c>
      <c r="AL62" s="177">
        <f t="shared" si="28"/>
        <v>49583</v>
      </c>
      <c r="AM62" s="177">
        <f t="shared" si="28"/>
        <v>-69232</v>
      </c>
      <c r="AN62" s="177">
        <f t="shared" si="28"/>
        <v>-104050</v>
      </c>
      <c r="AO62" s="177">
        <f t="shared" si="28"/>
        <v>-15545</v>
      </c>
    </row>
    <row r="63" spans="1:53" ht="15.75" x14ac:dyDescent="0.2">
      <c r="A63" s="142" t="s">
        <v>156</v>
      </c>
      <c r="B63" s="76"/>
      <c r="C63" s="76"/>
      <c r="D63" s="178">
        <f t="shared" ref="D63:F70" si="29">INDEX($N63:$AB63,MATCH(D$5,$N$7:$AB$7,0))</f>
        <v>-3725</v>
      </c>
      <c r="E63" s="178">
        <f t="shared" si="29"/>
        <v>-16544</v>
      </c>
      <c r="F63" s="178">
        <f t="shared" si="29"/>
        <v>-89933</v>
      </c>
      <c r="G63" s="178">
        <f t="shared" ref="G63:H70" si="30">INDEX($N63:$AG63,MATCH(G$5,$N$7:$AG$7,0))</f>
        <v>-158786</v>
      </c>
      <c r="H63" s="178">
        <f t="shared" si="30"/>
        <v>-205734</v>
      </c>
      <c r="I63" s="178">
        <f t="shared" ref="I63:J70" si="31">INDEX($N63:$AP63,MATCH(I$5,$N$7:$AP$7,0))</f>
        <v>-126043</v>
      </c>
      <c r="J63" s="178">
        <f t="shared" si="31"/>
        <v>-169796</v>
      </c>
      <c r="K63" s="76"/>
      <c r="L63" s="76"/>
      <c r="M63" s="76"/>
      <c r="N63" s="176">
        <v>0</v>
      </c>
      <c r="O63" s="176">
        <v>-3719</v>
      </c>
      <c r="P63" s="176">
        <v>-3725</v>
      </c>
      <c r="Q63" s="176">
        <v>-3725</v>
      </c>
      <c r="R63" s="176">
        <v>0</v>
      </c>
      <c r="S63" s="176">
        <v>-1778</v>
      </c>
      <c r="T63" s="176">
        <v>-10634</v>
      </c>
      <c r="U63" s="176">
        <v>-16544</v>
      </c>
      <c r="V63" s="176">
        <v>-10361</v>
      </c>
      <c r="W63" s="176">
        <v>-47821</v>
      </c>
      <c r="X63" s="176">
        <v>-64262</v>
      </c>
      <c r="Y63" s="176">
        <v>-89933</v>
      </c>
      <c r="Z63" s="176">
        <v>-15892</v>
      </c>
      <c r="AA63" s="176">
        <v>-111593</v>
      </c>
      <c r="AB63" s="176">
        <v>-135219</v>
      </c>
      <c r="AC63" s="176">
        <v>-158786</v>
      </c>
      <c r="AD63" s="176">
        <v>-21197</v>
      </c>
      <c r="AE63" s="176">
        <v>-134776</v>
      </c>
      <c r="AF63" s="176">
        <v>-189711</v>
      </c>
      <c r="AG63" s="176">
        <v>-205734</v>
      </c>
      <c r="AH63" s="176">
        <v>-2304</v>
      </c>
      <c r="AI63" s="176">
        <v>-106264</v>
      </c>
      <c r="AJ63" s="176">
        <v>-116460</v>
      </c>
      <c r="AK63" s="176">
        <v>-126043</v>
      </c>
      <c r="AL63" s="176">
        <v>-44777</v>
      </c>
      <c r="AM63" s="176">
        <v>-134155</v>
      </c>
      <c r="AN63" s="176">
        <v>-159473</v>
      </c>
      <c r="AO63" s="176">
        <v>-169796</v>
      </c>
    </row>
    <row r="64" spans="1:53" ht="15.75" x14ac:dyDescent="0.2">
      <c r="A64" s="142" t="s">
        <v>157</v>
      </c>
      <c r="B64" s="76"/>
      <c r="C64" s="76"/>
      <c r="D64" s="178">
        <f t="shared" si="29"/>
        <v>-3893</v>
      </c>
      <c r="E64" s="178">
        <f t="shared" si="29"/>
        <v>-3992</v>
      </c>
      <c r="F64" s="178">
        <f t="shared" si="29"/>
        <v>-5067</v>
      </c>
      <c r="G64" s="178">
        <f t="shared" si="30"/>
        <v>-6605</v>
      </c>
      <c r="H64" s="178">
        <f t="shared" si="30"/>
        <v>-9409</v>
      </c>
      <c r="I64" s="178">
        <f t="shared" si="31"/>
        <v>-10765</v>
      </c>
      <c r="J64" s="178">
        <f t="shared" si="31"/>
        <v>-9683</v>
      </c>
      <c r="K64" s="76"/>
      <c r="L64" s="76"/>
      <c r="M64" s="76"/>
      <c r="N64" s="176">
        <v>0</v>
      </c>
      <c r="O64" s="176">
        <v>-1503</v>
      </c>
      <c r="P64" s="176">
        <v>-1886</v>
      </c>
      <c r="Q64" s="176">
        <v>-3893</v>
      </c>
      <c r="R64" s="176">
        <v>-757</v>
      </c>
      <c r="S64" s="176">
        <v>-1234</v>
      </c>
      <c r="T64" s="176">
        <v>-1849</v>
      </c>
      <c r="U64" s="176">
        <v>-3992</v>
      </c>
      <c r="V64" s="176">
        <v>-806</v>
      </c>
      <c r="W64" s="176">
        <v>-1616</v>
      </c>
      <c r="X64" s="176">
        <v>-2455</v>
      </c>
      <c r="Y64" s="176">
        <v>-5067</v>
      </c>
      <c r="Z64" s="176">
        <v>-1797</v>
      </c>
      <c r="AA64" s="176">
        <v>-3460</v>
      </c>
      <c r="AB64" s="176">
        <v>-5147</v>
      </c>
      <c r="AC64" s="176">
        <v>-6605</v>
      </c>
      <c r="AD64" s="176">
        <v>-3400</v>
      </c>
      <c r="AE64" s="176">
        <v>-5966</v>
      </c>
      <c r="AF64" s="176">
        <v>-5326</v>
      </c>
      <c r="AG64" s="176">
        <v>-9409</v>
      </c>
      <c r="AH64" s="176">
        <v>-2129</v>
      </c>
      <c r="AI64" s="176">
        <v>-4329</v>
      </c>
      <c r="AJ64" s="176">
        <v>-6522</v>
      </c>
      <c r="AK64" s="176">
        <v>-10765</v>
      </c>
      <c r="AL64" s="176">
        <v>-2585</v>
      </c>
      <c r="AM64" s="176">
        <v>-4540</v>
      </c>
      <c r="AN64" s="176">
        <v>-6001</v>
      </c>
      <c r="AO64" s="176">
        <v>-9683</v>
      </c>
    </row>
    <row r="65" spans="1:41" ht="15.75" x14ac:dyDescent="0.2">
      <c r="A65" s="142" t="s">
        <v>158</v>
      </c>
      <c r="B65" s="76"/>
      <c r="C65" s="76"/>
      <c r="D65" s="178">
        <f t="shared" si="29"/>
        <v>493609</v>
      </c>
      <c r="E65" s="178">
        <f t="shared" si="29"/>
        <v>0</v>
      </c>
      <c r="F65" s="178">
        <f t="shared" si="29"/>
        <v>59547</v>
      </c>
      <c r="G65" s="178">
        <f t="shared" si="30"/>
        <v>700307</v>
      </c>
      <c r="H65" s="178">
        <f t="shared" si="30"/>
        <v>0</v>
      </c>
      <c r="I65" s="178">
        <f t="shared" si="31"/>
        <v>0</v>
      </c>
      <c r="J65" s="178">
        <f t="shared" si="31"/>
        <v>0</v>
      </c>
      <c r="K65" s="76"/>
      <c r="L65" s="76"/>
      <c r="M65" s="76"/>
      <c r="N65" s="176">
        <v>0</v>
      </c>
      <c r="O65" s="176">
        <v>0</v>
      </c>
      <c r="P65" s="176">
        <v>493272</v>
      </c>
      <c r="Q65" s="176">
        <v>493609</v>
      </c>
      <c r="R65" s="176">
        <v>0</v>
      </c>
      <c r="S65" s="176">
        <v>0</v>
      </c>
      <c r="T65" s="176">
        <v>0</v>
      </c>
      <c r="U65" s="176">
        <v>0</v>
      </c>
      <c r="V65" s="176">
        <v>59547</v>
      </c>
      <c r="W65" s="176">
        <v>59547</v>
      </c>
      <c r="X65" s="176">
        <v>59547</v>
      </c>
      <c r="Y65" s="176">
        <v>59547</v>
      </c>
      <c r="Z65" s="176">
        <v>0</v>
      </c>
      <c r="AA65" s="176">
        <v>0</v>
      </c>
      <c r="AB65" s="176">
        <v>0</v>
      </c>
      <c r="AC65" s="176">
        <v>700307</v>
      </c>
      <c r="AD65" s="176">
        <v>0</v>
      </c>
      <c r="AE65" s="176">
        <v>0</v>
      </c>
      <c r="AF65" s="176">
        <v>0</v>
      </c>
      <c r="AG65" s="176">
        <v>0</v>
      </c>
      <c r="AH65" s="176">
        <v>0</v>
      </c>
      <c r="AI65" s="176">
        <v>0</v>
      </c>
      <c r="AJ65" s="176">
        <v>0</v>
      </c>
      <c r="AK65" s="176">
        <v>0</v>
      </c>
      <c r="AL65" s="176">
        <v>0</v>
      </c>
      <c r="AM65" s="176">
        <v>0</v>
      </c>
      <c r="AN65" s="176">
        <v>0</v>
      </c>
      <c r="AO65" s="176">
        <v>0</v>
      </c>
    </row>
    <row r="66" spans="1:41" ht="15.75" customHeight="1" x14ac:dyDescent="0.2">
      <c r="A66" s="142" t="s">
        <v>159</v>
      </c>
      <c r="B66" s="76"/>
      <c r="C66" s="76"/>
      <c r="D66" s="178">
        <f t="shared" si="29"/>
        <v>200512</v>
      </c>
      <c r="E66" s="178">
        <f t="shared" si="29"/>
        <v>57908</v>
      </c>
      <c r="F66" s="178">
        <f t="shared" si="29"/>
        <v>262772</v>
      </c>
      <c r="G66" s="178">
        <f t="shared" si="30"/>
        <v>213355</v>
      </c>
      <c r="H66" s="178">
        <f t="shared" si="30"/>
        <v>378695</v>
      </c>
      <c r="I66" s="178">
        <f t="shared" si="31"/>
        <v>29154</v>
      </c>
      <c r="J66" s="178">
        <f t="shared" si="31"/>
        <v>286107</v>
      </c>
      <c r="K66" s="76"/>
      <c r="L66" s="76"/>
      <c r="M66" s="76"/>
      <c r="N66" s="176">
        <v>10000</v>
      </c>
      <c r="O66" s="176">
        <v>42154</v>
      </c>
      <c r="P66" s="176">
        <v>70892</v>
      </c>
      <c r="Q66" s="176">
        <v>200512</v>
      </c>
      <c r="R66" s="176">
        <v>41542</v>
      </c>
      <c r="S66" s="176">
        <v>57908</v>
      </c>
      <c r="T66" s="176">
        <v>57908</v>
      </c>
      <c r="U66" s="176">
        <v>57908</v>
      </c>
      <c r="V66" s="176">
        <v>5405</v>
      </c>
      <c r="W66" s="176">
        <v>18438</v>
      </c>
      <c r="X66" s="176">
        <v>26256</v>
      </c>
      <c r="Y66" s="176">
        <v>262772</v>
      </c>
      <c r="Z66" s="176">
        <v>5250</v>
      </c>
      <c r="AA66" s="176">
        <v>213355</v>
      </c>
      <c r="AB66" s="176">
        <v>213355</v>
      </c>
      <c r="AC66" s="176">
        <v>213355</v>
      </c>
      <c r="AD66" s="176">
        <v>71385</v>
      </c>
      <c r="AE66" s="176">
        <v>71385</v>
      </c>
      <c r="AF66" s="176">
        <v>371385</v>
      </c>
      <c r="AG66" s="176">
        <v>378695</v>
      </c>
      <c r="AH66" s="176">
        <v>7481</v>
      </c>
      <c r="AI66" s="176">
        <v>29154</v>
      </c>
      <c r="AJ66" s="176">
        <v>29154</v>
      </c>
      <c r="AK66" s="176">
        <v>29154</v>
      </c>
      <c r="AL66" s="176">
        <v>150000</v>
      </c>
      <c r="AM66" s="176">
        <v>161276</v>
      </c>
      <c r="AN66" s="176">
        <v>172320</v>
      </c>
      <c r="AO66" s="176">
        <v>286107</v>
      </c>
    </row>
    <row r="67" spans="1:41" ht="15.75" customHeight="1" x14ac:dyDescent="0.2">
      <c r="A67" s="142" t="s">
        <v>160</v>
      </c>
      <c r="B67" s="76"/>
      <c r="C67" s="76"/>
      <c r="D67" s="178">
        <f t="shared" si="29"/>
        <v>-763469</v>
      </c>
      <c r="E67" s="178">
        <f t="shared" si="29"/>
        <v>-312196</v>
      </c>
      <c r="F67" s="178">
        <f t="shared" si="29"/>
        <v>-42503</v>
      </c>
      <c r="G67" s="178">
        <f t="shared" si="30"/>
        <v>-62328</v>
      </c>
      <c r="H67" s="178">
        <f t="shared" si="30"/>
        <v>-543155</v>
      </c>
      <c r="I67" s="178">
        <f t="shared" si="31"/>
        <v>-11514</v>
      </c>
      <c r="J67" s="178">
        <f t="shared" si="31"/>
        <v>-100121</v>
      </c>
      <c r="K67" s="76"/>
      <c r="L67" s="76"/>
      <c r="M67" s="76"/>
      <c r="N67" s="176">
        <v>-68239</v>
      </c>
      <c r="O67" s="176">
        <v>-131566</v>
      </c>
      <c r="P67" s="176">
        <v>-601647</v>
      </c>
      <c r="Q67" s="176">
        <v>-763469</v>
      </c>
      <c r="R67" s="176">
        <v>-38794</v>
      </c>
      <c r="S67" s="176">
        <v>-121163</v>
      </c>
      <c r="T67" s="176">
        <v>-256475</v>
      </c>
      <c r="U67" s="176">
        <v>-312196</v>
      </c>
      <c r="V67" s="176">
        <v>-29135</v>
      </c>
      <c r="W67" s="176">
        <v>-36144</v>
      </c>
      <c r="X67" s="176">
        <v>-41476</v>
      </c>
      <c r="Y67" s="176">
        <v>-42503</v>
      </c>
      <c r="Z67" s="176">
        <v>-6536</v>
      </c>
      <c r="AA67" s="176">
        <v>-20492</v>
      </c>
      <c r="AB67" s="176">
        <v>-62250</v>
      </c>
      <c r="AC67" s="176">
        <v>-62328</v>
      </c>
      <c r="AD67" s="176">
        <v>-5401</v>
      </c>
      <c r="AE67" s="176">
        <v>-38005</v>
      </c>
      <c r="AF67" s="176">
        <v>-543085</v>
      </c>
      <c r="AG67" s="176">
        <v>-543155</v>
      </c>
      <c r="AH67" s="176">
        <v>-50</v>
      </c>
      <c r="AI67" s="176">
        <v>-2573</v>
      </c>
      <c r="AJ67" s="176">
        <v>-2573</v>
      </c>
      <c r="AK67" s="176">
        <v>-11514</v>
      </c>
      <c r="AL67" s="176">
        <v>-40069</v>
      </c>
      <c r="AM67" s="176">
        <v>-73844</v>
      </c>
      <c r="AN67" s="176">
        <v>-88844</v>
      </c>
      <c r="AO67" s="176">
        <v>-100121</v>
      </c>
    </row>
    <row r="68" spans="1:41" ht="15.75" customHeight="1" x14ac:dyDescent="0.2">
      <c r="A68" s="142" t="s">
        <v>161</v>
      </c>
      <c r="B68" s="76"/>
      <c r="C68" s="76"/>
      <c r="D68" s="178">
        <f t="shared" si="29"/>
        <v>0</v>
      </c>
      <c r="E68" s="178">
        <f t="shared" si="29"/>
        <v>405000</v>
      </c>
      <c r="F68" s="178">
        <f t="shared" si="29"/>
        <v>0</v>
      </c>
      <c r="G68" s="178">
        <f t="shared" si="30"/>
        <v>0</v>
      </c>
      <c r="H68" s="178">
        <f t="shared" si="30"/>
        <v>0</v>
      </c>
      <c r="I68" s="178">
        <f t="shared" si="31"/>
        <v>0</v>
      </c>
      <c r="J68" s="178">
        <f t="shared" si="31"/>
        <v>0</v>
      </c>
      <c r="K68" s="76"/>
      <c r="L68" s="76"/>
      <c r="M68" s="76"/>
      <c r="N68" s="176">
        <v>0</v>
      </c>
      <c r="O68" s="176">
        <v>0</v>
      </c>
      <c r="P68" s="176">
        <v>0</v>
      </c>
      <c r="Q68" s="176">
        <v>0</v>
      </c>
      <c r="R68" s="176">
        <v>0</v>
      </c>
      <c r="S68" s="176">
        <v>0</v>
      </c>
      <c r="T68" s="176">
        <v>405000</v>
      </c>
      <c r="U68" s="176">
        <v>405000</v>
      </c>
      <c r="V68" s="176">
        <v>0</v>
      </c>
      <c r="W68" s="176">
        <v>0</v>
      </c>
      <c r="X68" s="176">
        <v>0</v>
      </c>
      <c r="Y68" s="176">
        <v>0</v>
      </c>
      <c r="Z68" s="176">
        <v>0</v>
      </c>
      <c r="AA68" s="176">
        <v>0</v>
      </c>
      <c r="AB68" s="176">
        <v>0</v>
      </c>
      <c r="AC68" s="176">
        <v>0</v>
      </c>
      <c r="AD68" s="176">
        <v>0</v>
      </c>
      <c r="AE68" s="176">
        <v>0</v>
      </c>
      <c r="AF68" s="176">
        <v>0</v>
      </c>
      <c r="AG68" s="176">
        <v>0</v>
      </c>
      <c r="AH68" s="176">
        <v>0</v>
      </c>
      <c r="AI68" s="176">
        <v>0</v>
      </c>
      <c r="AJ68" s="176">
        <v>0</v>
      </c>
      <c r="AK68" s="176">
        <v>0</v>
      </c>
      <c r="AL68" s="176">
        <v>0</v>
      </c>
      <c r="AM68" s="176">
        <v>0</v>
      </c>
      <c r="AN68" s="176">
        <v>0</v>
      </c>
      <c r="AO68" s="176">
        <v>0</v>
      </c>
    </row>
    <row r="69" spans="1:41" ht="15.75" customHeight="1" x14ac:dyDescent="0.2">
      <c r="A69" s="142" t="s">
        <v>162</v>
      </c>
      <c r="B69" s="76"/>
      <c r="C69" s="76"/>
      <c r="D69" s="178">
        <f t="shared" si="29"/>
        <v>0</v>
      </c>
      <c r="E69" s="178">
        <f t="shared" si="29"/>
        <v>-22961</v>
      </c>
      <c r="F69" s="178">
        <f t="shared" si="29"/>
        <v>0</v>
      </c>
      <c r="G69" s="178">
        <f t="shared" si="30"/>
        <v>0</v>
      </c>
      <c r="H69" s="178">
        <f t="shared" si="30"/>
        <v>0</v>
      </c>
      <c r="I69" s="178">
        <f t="shared" si="31"/>
        <v>0</v>
      </c>
      <c r="J69" s="178">
        <f t="shared" si="31"/>
        <v>0</v>
      </c>
      <c r="K69" s="76"/>
      <c r="L69" s="76"/>
      <c r="M69" s="76"/>
      <c r="N69" s="176">
        <v>0</v>
      </c>
      <c r="O69" s="176">
        <v>0</v>
      </c>
      <c r="P69" s="176">
        <v>0</v>
      </c>
      <c r="Q69" s="176">
        <v>0</v>
      </c>
      <c r="R69" s="176">
        <v>0</v>
      </c>
      <c r="S69" s="176">
        <v>0</v>
      </c>
      <c r="T69" s="176">
        <v>-22961</v>
      </c>
      <c r="U69" s="176">
        <v>-22961</v>
      </c>
      <c r="V69" s="176">
        <v>0</v>
      </c>
      <c r="W69" s="176">
        <v>0</v>
      </c>
      <c r="X69" s="176">
        <v>0</v>
      </c>
      <c r="Y69" s="176">
        <v>0</v>
      </c>
      <c r="Z69" s="176">
        <v>0</v>
      </c>
      <c r="AA69" s="176">
        <v>0</v>
      </c>
      <c r="AB69" s="176">
        <v>0</v>
      </c>
      <c r="AC69" s="176">
        <v>0</v>
      </c>
      <c r="AD69" s="176">
        <v>0</v>
      </c>
      <c r="AE69" s="176">
        <v>0</v>
      </c>
      <c r="AF69" s="176">
        <v>0</v>
      </c>
      <c r="AG69" s="176">
        <v>0</v>
      </c>
      <c r="AH69" s="176">
        <v>0</v>
      </c>
      <c r="AI69" s="176">
        <v>0</v>
      </c>
      <c r="AJ69" s="176">
        <v>0</v>
      </c>
      <c r="AK69" s="176">
        <v>0</v>
      </c>
      <c r="AL69" s="176">
        <v>0</v>
      </c>
      <c r="AM69" s="176">
        <v>0</v>
      </c>
      <c r="AN69" s="176">
        <v>0</v>
      </c>
      <c r="AO69" s="176">
        <v>0</v>
      </c>
    </row>
    <row r="70" spans="1:41" ht="15.75" customHeight="1" x14ac:dyDescent="0.2">
      <c r="A70" s="142" t="s">
        <v>163</v>
      </c>
      <c r="B70" s="76"/>
      <c r="C70" s="76"/>
      <c r="D70" s="178">
        <f t="shared" si="29"/>
        <v>0</v>
      </c>
      <c r="E70" s="178">
        <f t="shared" si="29"/>
        <v>0</v>
      </c>
      <c r="F70" s="178">
        <f t="shared" si="29"/>
        <v>-18565</v>
      </c>
      <c r="G70" s="178">
        <f t="shared" si="30"/>
        <v>-46471</v>
      </c>
      <c r="H70" s="178">
        <f t="shared" si="30"/>
        <v>-41974</v>
      </c>
      <c r="I70" s="178">
        <f t="shared" si="31"/>
        <v>-49169</v>
      </c>
      <c r="J70" s="178">
        <f t="shared" si="31"/>
        <v>-22052</v>
      </c>
      <c r="K70" s="76"/>
      <c r="L70" s="76"/>
      <c r="M70" s="76"/>
      <c r="N70" s="176">
        <v>0</v>
      </c>
      <c r="O70" s="176">
        <v>0</v>
      </c>
      <c r="P70" s="176">
        <v>0</v>
      </c>
      <c r="Q70" s="176">
        <v>0</v>
      </c>
      <c r="R70" s="176">
        <v>0</v>
      </c>
      <c r="S70" s="176">
        <v>0</v>
      </c>
      <c r="T70" s="176">
        <v>0</v>
      </c>
      <c r="U70" s="176">
        <v>0</v>
      </c>
      <c r="V70" s="176">
        <v>0</v>
      </c>
      <c r="W70" s="176">
        <v>0</v>
      </c>
      <c r="X70" s="176">
        <v>0</v>
      </c>
      <c r="Y70" s="176">
        <v>-18565</v>
      </c>
      <c r="Z70" s="176">
        <v>-12224</v>
      </c>
      <c r="AA70" s="176">
        <v>-26009</v>
      </c>
      <c r="AB70" s="176">
        <v>-41992</v>
      </c>
      <c r="AC70" s="176">
        <v>-46471</v>
      </c>
      <c r="AD70" s="176">
        <v>-23825</v>
      </c>
      <c r="AE70" s="176">
        <v>-41974</v>
      </c>
      <c r="AF70" s="176">
        <v>-41974</v>
      </c>
      <c r="AG70" s="176">
        <v>-41974</v>
      </c>
      <c r="AH70" s="176">
        <v>0</v>
      </c>
      <c r="AI70" s="176">
        <v>-5129</v>
      </c>
      <c r="AJ70" s="176">
        <v>-31542</v>
      </c>
      <c r="AK70" s="176">
        <v>-49169</v>
      </c>
      <c r="AL70" s="176">
        <v>-12986</v>
      </c>
      <c r="AM70" s="176">
        <v>-17969</v>
      </c>
      <c r="AN70" s="176">
        <v>-22052</v>
      </c>
      <c r="AO70" s="176">
        <v>-22052</v>
      </c>
    </row>
    <row r="71" spans="1:41" ht="15.75" customHeight="1" x14ac:dyDescent="0.2">
      <c r="A71" s="5"/>
      <c r="B71" s="76"/>
      <c r="C71" s="76"/>
      <c r="D71" s="178"/>
      <c r="E71" s="178"/>
      <c r="F71" s="178"/>
      <c r="G71" s="178"/>
      <c r="H71" s="178"/>
      <c r="I71" s="178"/>
      <c r="J71" s="178"/>
      <c r="K71" s="76"/>
      <c r="L71" s="76"/>
      <c r="M71" s="76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</row>
    <row r="72" spans="1:41" ht="15.75" x14ac:dyDescent="0.2">
      <c r="A72" s="141" t="s">
        <v>164</v>
      </c>
      <c r="B72" s="76"/>
      <c r="C72" s="76"/>
      <c r="D72" s="179">
        <f t="shared" ref="D72:J72" si="32">D47+D49+D62</f>
        <v>-51397</v>
      </c>
      <c r="E72" s="179">
        <f t="shared" si="32"/>
        <v>-26562</v>
      </c>
      <c r="F72" s="179">
        <f t="shared" si="32"/>
        <v>-23850</v>
      </c>
      <c r="G72" s="179">
        <f t="shared" si="32"/>
        <v>704784</v>
      </c>
      <c r="H72" s="179">
        <f t="shared" si="32"/>
        <v>-251042</v>
      </c>
      <c r="I72" s="179">
        <f t="shared" si="32"/>
        <v>120080</v>
      </c>
      <c r="J72" s="179">
        <f t="shared" si="32"/>
        <v>235602</v>
      </c>
      <c r="K72" s="76"/>
      <c r="L72" s="76"/>
      <c r="M72" s="76"/>
      <c r="N72" s="179">
        <f t="shared" ref="N72:Z72" si="33">N47+N49+N62</f>
        <v>-90257</v>
      </c>
      <c r="O72" s="179">
        <f t="shared" si="33"/>
        <v>-101673</v>
      </c>
      <c r="P72" s="179">
        <f t="shared" si="33"/>
        <v>-113216</v>
      </c>
      <c r="Q72" s="179">
        <f t="shared" si="33"/>
        <v>-51397</v>
      </c>
      <c r="R72" s="179">
        <f t="shared" si="33"/>
        <v>-12103</v>
      </c>
      <c r="S72" s="179">
        <f t="shared" si="33"/>
        <v>27386</v>
      </c>
      <c r="T72" s="179">
        <f t="shared" si="33"/>
        <v>5602</v>
      </c>
      <c r="U72" s="179">
        <f t="shared" si="33"/>
        <v>-26562</v>
      </c>
      <c r="V72" s="179">
        <f t="shared" si="33"/>
        <v>-7854</v>
      </c>
      <c r="W72" s="179">
        <f t="shared" si="33"/>
        <v>-19366</v>
      </c>
      <c r="X72" s="179">
        <f t="shared" si="33"/>
        <v>-12540</v>
      </c>
      <c r="Y72" s="179">
        <f t="shared" si="33"/>
        <v>-23850</v>
      </c>
      <c r="Z72" s="179">
        <f t="shared" si="33"/>
        <v>12564</v>
      </c>
      <c r="AA72" s="179">
        <f t="shared" ref="AA72" si="34">AA47+AA49+AA62</f>
        <v>7281</v>
      </c>
      <c r="AB72" s="179">
        <f t="shared" ref="AB72:AG72" si="35">AB47+AB49+AB62</f>
        <v>17987</v>
      </c>
      <c r="AC72" s="179">
        <f t="shared" si="35"/>
        <v>704784</v>
      </c>
      <c r="AD72" s="179">
        <f t="shared" si="35"/>
        <v>-241305</v>
      </c>
      <c r="AE72" s="179">
        <f t="shared" si="35"/>
        <v>-367074</v>
      </c>
      <c r="AF72" s="179">
        <f t="shared" si="35"/>
        <v>-294424</v>
      </c>
      <c r="AG72" s="179">
        <f t="shared" si="35"/>
        <v>-251042</v>
      </c>
      <c r="AH72" s="179">
        <f t="shared" ref="AH72:AO72" si="36">AH47+AH49+AH62</f>
        <v>21292</v>
      </c>
      <c r="AI72" s="179">
        <f t="shared" si="36"/>
        <v>115157</v>
      </c>
      <c r="AJ72" s="179">
        <f t="shared" si="36"/>
        <v>24796</v>
      </c>
      <c r="AK72" s="179">
        <f t="shared" si="36"/>
        <v>120080</v>
      </c>
      <c r="AL72" s="179">
        <f t="shared" si="36"/>
        <v>62906</v>
      </c>
      <c r="AM72" s="179">
        <f t="shared" si="36"/>
        <v>9705</v>
      </c>
      <c r="AN72" s="179">
        <f t="shared" si="36"/>
        <v>77221</v>
      </c>
      <c r="AO72" s="179">
        <f t="shared" si="36"/>
        <v>235602</v>
      </c>
    </row>
    <row r="73" spans="1:41" ht="15.75" x14ac:dyDescent="0.2">
      <c r="A73" s="4"/>
      <c r="B73" s="76"/>
      <c r="C73" s="76"/>
      <c r="D73" s="177"/>
      <c r="E73" s="177"/>
      <c r="F73" s="177"/>
      <c r="G73" s="177"/>
      <c r="H73" s="177"/>
      <c r="I73" s="177"/>
      <c r="J73" s="177"/>
      <c r="K73" s="76"/>
      <c r="L73" s="76"/>
      <c r="M73" s="76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177"/>
    </row>
    <row r="74" spans="1:41" ht="15.75" x14ac:dyDescent="0.2">
      <c r="A74" s="146" t="s">
        <v>165</v>
      </c>
      <c r="B74" s="76"/>
      <c r="C74" s="76"/>
      <c r="D74" s="178">
        <f t="shared" ref="D74:F74" si="37">INDEX($N74:$AB74,MATCH(D$5,$N$7:$AB$7,0))</f>
        <v>132219</v>
      </c>
      <c r="E74" s="178">
        <f t="shared" si="37"/>
        <v>80822</v>
      </c>
      <c r="F74" s="178">
        <f t="shared" si="37"/>
        <v>54260</v>
      </c>
      <c r="G74" s="178">
        <f t="shared" ref="G74:H74" si="38">INDEX($N74:$AG74,MATCH(G$5,$N$7:$AG$7,0))</f>
        <v>30410</v>
      </c>
      <c r="H74" s="178">
        <f t="shared" si="38"/>
        <v>735194</v>
      </c>
      <c r="I74" s="178">
        <f>H75</f>
        <v>484152</v>
      </c>
      <c r="J74" s="178">
        <f>I75</f>
        <v>604232</v>
      </c>
      <c r="K74" s="76"/>
      <c r="L74" s="76"/>
      <c r="M74" s="76"/>
      <c r="N74" s="181">
        <v>132219</v>
      </c>
      <c r="O74" s="181">
        <v>132219</v>
      </c>
      <c r="P74" s="181">
        <v>132219</v>
      </c>
      <c r="Q74" s="181">
        <v>132219</v>
      </c>
      <c r="R74" s="181">
        <v>80822</v>
      </c>
      <c r="S74" s="181">
        <v>80822</v>
      </c>
      <c r="T74" s="181">
        <v>80822</v>
      </c>
      <c r="U74" s="181">
        <v>80822</v>
      </c>
      <c r="V74" s="181">
        <v>54260</v>
      </c>
      <c r="W74" s="181">
        <v>54260</v>
      </c>
      <c r="X74" s="181">
        <v>54260</v>
      </c>
      <c r="Y74" s="181">
        <v>54260</v>
      </c>
      <c r="Z74" s="181">
        <v>30410</v>
      </c>
      <c r="AA74" s="181">
        <v>30410</v>
      </c>
      <c r="AB74" s="181">
        <v>30410</v>
      </c>
      <c r="AC74" s="181">
        <v>30410</v>
      </c>
      <c r="AD74" s="181">
        <f>AC75</f>
        <v>735194</v>
      </c>
      <c r="AE74" s="181">
        <v>735194</v>
      </c>
      <c r="AF74" s="181">
        <v>735194</v>
      </c>
      <c r="AG74" s="181">
        <v>735194</v>
      </c>
      <c r="AH74" s="181">
        <f>AG75</f>
        <v>484152</v>
      </c>
      <c r="AI74" s="181">
        <f>AH74</f>
        <v>484152</v>
      </c>
      <c r="AJ74" s="181">
        <f>AI74</f>
        <v>484152</v>
      </c>
      <c r="AK74" s="181">
        <f>AJ74</f>
        <v>484152</v>
      </c>
      <c r="AL74" s="181">
        <f>AK75</f>
        <v>604232</v>
      </c>
      <c r="AM74" s="181">
        <f>AK75</f>
        <v>604232</v>
      </c>
      <c r="AN74" s="181">
        <f>AK75</f>
        <v>604232</v>
      </c>
      <c r="AO74" s="181">
        <f>AK75</f>
        <v>604232</v>
      </c>
    </row>
    <row r="75" spans="1:41" ht="15.75" x14ac:dyDescent="0.2">
      <c r="A75" s="140" t="s">
        <v>166</v>
      </c>
      <c r="B75" s="78"/>
      <c r="C75" s="78"/>
      <c r="D75" s="182">
        <f t="shared" ref="D75:I75" si="39">D72+D74</f>
        <v>80822</v>
      </c>
      <c r="E75" s="182">
        <f t="shared" si="39"/>
        <v>54260</v>
      </c>
      <c r="F75" s="182">
        <f t="shared" si="39"/>
        <v>30410</v>
      </c>
      <c r="G75" s="182">
        <f t="shared" si="39"/>
        <v>735194</v>
      </c>
      <c r="H75" s="182">
        <f t="shared" si="39"/>
        <v>484152</v>
      </c>
      <c r="I75" s="182">
        <f t="shared" si="39"/>
        <v>604232</v>
      </c>
      <c r="J75" s="182">
        <f t="shared" ref="J75" si="40">J72+J74</f>
        <v>839834</v>
      </c>
      <c r="K75" s="180"/>
      <c r="L75" s="180"/>
      <c r="M75" s="180"/>
      <c r="N75" s="182">
        <f t="shared" ref="N75:Z75" si="41">N72+N74</f>
        <v>41962</v>
      </c>
      <c r="O75" s="182">
        <f t="shared" si="41"/>
        <v>30546</v>
      </c>
      <c r="P75" s="182">
        <f t="shared" si="41"/>
        <v>19003</v>
      </c>
      <c r="Q75" s="182">
        <f t="shared" si="41"/>
        <v>80822</v>
      </c>
      <c r="R75" s="182">
        <f t="shared" si="41"/>
        <v>68719</v>
      </c>
      <c r="S75" s="182">
        <f t="shared" si="41"/>
        <v>108208</v>
      </c>
      <c r="T75" s="182">
        <f t="shared" si="41"/>
        <v>86424</v>
      </c>
      <c r="U75" s="182">
        <f t="shared" si="41"/>
        <v>54260</v>
      </c>
      <c r="V75" s="182">
        <f>V72+V74</f>
        <v>46406</v>
      </c>
      <c r="W75" s="354">
        <f t="shared" si="41"/>
        <v>34894</v>
      </c>
      <c r="X75" s="354">
        <f t="shared" si="41"/>
        <v>41720</v>
      </c>
      <c r="Y75" s="182">
        <f t="shared" si="41"/>
        <v>30410</v>
      </c>
      <c r="Z75" s="182">
        <f t="shared" si="41"/>
        <v>42974</v>
      </c>
      <c r="AA75" s="182">
        <f t="shared" ref="AA75:AB75" si="42">AA72+AA74</f>
        <v>37691</v>
      </c>
      <c r="AB75" s="182">
        <f t="shared" si="42"/>
        <v>48397</v>
      </c>
      <c r="AC75" s="182">
        <f t="shared" ref="AC75:AG75" si="43">AC72+AC74</f>
        <v>735194</v>
      </c>
      <c r="AD75" s="182">
        <f t="shared" si="43"/>
        <v>493889</v>
      </c>
      <c r="AE75" s="182">
        <f t="shared" si="43"/>
        <v>368120</v>
      </c>
      <c r="AF75" s="182">
        <f t="shared" si="43"/>
        <v>440770</v>
      </c>
      <c r="AG75" s="182">
        <f t="shared" si="43"/>
        <v>484152</v>
      </c>
      <c r="AH75" s="182">
        <f t="shared" ref="AH75:AO75" si="44">AH72+AH74</f>
        <v>505444</v>
      </c>
      <c r="AI75" s="182">
        <f t="shared" si="44"/>
        <v>599309</v>
      </c>
      <c r="AJ75" s="182">
        <f t="shared" si="44"/>
        <v>508948</v>
      </c>
      <c r="AK75" s="182">
        <f t="shared" si="44"/>
        <v>604232</v>
      </c>
      <c r="AL75" s="182">
        <f t="shared" si="44"/>
        <v>667138</v>
      </c>
      <c r="AM75" s="182">
        <f t="shared" si="44"/>
        <v>613937</v>
      </c>
      <c r="AN75" s="182">
        <f t="shared" si="44"/>
        <v>681453</v>
      </c>
      <c r="AO75" s="182">
        <f t="shared" si="44"/>
        <v>839834</v>
      </c>
    </row>
    <row r="76" spans="1:41" ht="8.25" customHeight="1" x14ac:dyDescent="0.2">
      <c r="A76" s="79"/>
      <c r="B76" s="80"/>
      <c r="C76" s="80"/>
      <c r="D76" s="81"/>
      <c r="E76" s="81"/>
      <c r="F76" s="81"/>
      <c r="G76" s="81"/>
      <c r="H76" s="81"/>
      <c r="I76" s="81"/>
      <c r="J76" s="81"/>
      <c r="K76" s="80"/>
      <c r="L76" s="80"/>
      <c r="M76" s="80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</row>
    <row r="77" spans="1:41" ht="15.75" x14ac:dyDescent="0.2">
      <c r="A77" s="79"/>
      <c r="B77" s="82"/>
      <c r="C77" s="82"/>
      <c r="D77" s="81"/>
      <c r="E77" s="81"/>
      <c r="F77" s="81"/>
      <c r="G77" s="81"/>
      <c r="H77" s="81"/>
      <c r="I77" s="81"/>
      <c r="J77" s="81"/>
      <c r="K77" s="82"/>
      <c r="L77" s="82"/>
      <c r="M77" s="82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</row>
    <row r="78" spans="1:41" ht="15.75" hidden="1" x14ac:dyDescent="0.2">
      <c r="A78" s="79"/>
      <c r="B78" s="83"/>
      <c r="C78" s="83"/>
      <c r="D78" s="84"/>
      <c r="E78" s="84"/>
      <c r="F78" s="84"/>
      <c r="G78" s="84"/>
      <c r="H78" s="84"/>
      <c r="I78" s="84"/>
      <c r="J78" s="84"/>
      <c r="K78" s="83"/>
      <c r="L78" s="83"/>
      <c r="M78" s="83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</row>
    <row r="79" spans="1:41" ht="15.75" hidden="1" x14ac:dyDescent="0.2">
      <c r="A79" s="79"/>
      <c r="B79" s="83"/>
      <c r="C79" s="83"/>
      <c r="D79" s="84"/>
      <c r="E79" s="84"/>
      <c r="F79" s="84"/>
      <c r="G79" s="84"/>
      <c r="H79" s="84"/>
      <c r="I79" s="84"/>
      <c r="J79" s="84"/>
      <c r="K79" s="83"/>
      <c r="L79" s="83"/>
      <c r="M79" s="83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</row>
    <row r="80" spans="1:41" ht="15.75" hidden="1" x14ac:dyDescent="0.2">
      <c r="A80" s="79"/>
      <c r="B80" s="83"/>
      <c r="C80" s="83"/>
      <c r="D80" s="85"/>
      <c r="E80" s="85"/>
      <c r="F80" s="85"/>
      <c r="G80" s="85"/>
      <c r="H80" s="85"/>
      <c r="I80" s="85"/>
      <c r="J80" s="85"/>
      <c r="K80" s="83"/>
      <c r="L80" s="83"/>
      <c r="M80" s="83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</row>
    <row r="81" spans="1:41" ht="15.75" hidden="1" x14ac:dyDescent="0.2">
      <c r="A81" s="79"/>
      <c r="B81" s="83"/>
      <c r="C81" s="83"/>
      <c r="D81" s="84"/>
      <c r="E81" s="84"/>
      <c r="F81" s="84"/>
      <c r="G81" s="84"/>
      <c r="H81" s="84"/>
      <c r="I81" s="84"/>
      <c r="J81" s="84"/>
      <c r="K81" s="83"/>
      <c r="L81" s="83"/>
      <c r="M81" s="83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</row>
    <row r="82" spans="1:41" ht="15.75" hidden="1" x14ac:dyDescent="0.2">
      <c r="A82" s="79"/>
      <c r="B82" s="83"/>
      <c r="C82" s="83"/>
      <c r="D82" s="85"/>
      <c r="E82" s="85"/>
      <c r="F82" s="85"/>
      <c r="G82" s="85"/>
      <c r="H82" s="85"/>
      <c r="I82" s="85"/>
      <c r="J82" s="85"/>
      <c r="K82" s="83"/>
      <c r="L82" s="83"/>
      <c r="M82" s="83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</row>
    <row r="83" spans="1:41" ht="15.75" hidden="1" x14ac:dyDescent="0.2">
      <c r="A83" s="79"/>
      <c r="B83" s="83"/>
      <c r="C83" s="83"/>
      <c r="D83" s="84"/>
      <c r="E83" s="84"/>
      <c r="F83" s="84"/>
      <c r="G83" s="84"/>
      <c r="H83" s="84"/>
      <c r="I83" s="84"/>
      <c r="J83" s="84"/>
      <c r="K83" s="83"/>
      <c r="L83" s="83"/>
      <c r="M83" s="83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</row>
    <row r="84" spans="1:41" ht="15.75" hidden="1" x14ac:dyDescent="0.2">
      <c r="A84" s="86"/>
      <c r="B84" s="83"/>
      <c r="C84" s="83"/>
      <c r="D84" s="84"/>
      <c r="E84" s="84"/>
      <c r="F84" s="84"/>
      <c r="G84" s="84"/>
      <c r="H84" s="84"/>
      <c r="I84" s="84"/>
      <c r="J84" s="84"/>
      <c r="K84" s="83"/>
      <c r="L84" s="83"/>
      <c r="M84" s="83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</row>
    <row r="85" spans="1:41" ht="15.75" hidden="1" x14ac:dyDescent="0.2">
      <c r="A85" s="86"/>
      <c r="B85" s="83"/>
      <c r="C85" s="83"/>
      <c r="D85" s="87"/>
      <c r="E85" s="87"/>
      <c r="F85" s="87"/>
      <c r="G85" s="87"/>
      <c r="H85" s="87"/>
      <c r="I85" s="87"/>
      <c r="J85" s="87"/>
      <c r="K85" s="83"/>
      <c r="L85" s="83"/>
      <c r="M85" s="83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</row>
    <row r="86" spans="1:41" ht="15.75" hidden="1" x14ac:dyDescent="0.2">
      <c r="A86" s="86"/>
      <c r="B86" s="83"/>
      <c r="C86" s="83"/>
      <c r="D86" s="85"/>
      <c r="E86" s="85"/>
      <c r="F86" s="85"/>
      <c r="G86" s="85"/>
      <c r="H86" s="85"/>
      <c r="I86" s="85"/>
      <c r="J86" s="85"/>
      <c r="K86" s="83"/>
      <c r="L86" s="83"/>
      <c r="M86" s="83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</row>
    <row r="87" spans="1:41" ht="15.75" hidden="1" x14ac:dyDescent="0.2">
      <c r="A87" s="86"/>
      <c r="B87" s="83"/>
      <c r="C87" s="83"/>
      <c r="D87" s="85"/>
      <c r="E87" s="85"/>
      <c r="F87" s="85"/>
      <c r="G87" s="85"/>
      <c r="H87" s="85"/>
      <c r="I87" s="85"/>
      <c r="J87" s="85"/>
      <c r="K87" s="83"/>
      <c r="L87" s="83"/>
      <c r="M87" s="83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</row>
    <row r="88" spans="1:41" ht="15.75" x14ac:dyDescent="0.2">
      <c r="A88" s="86"/>
      <c r="B88" s="83"/>
      <c r="C88" s="83"/>
      <c r="D88" s="88"/>
      <c r="E88" s="88"/>
      <c r="F88" s="88"/>
      <c r="G88" s="88"/>
      <c r="H88" s="88"/>
      <c r="I88" s="88"/>
      <c r="J88" s="88"/>
      <c r="K88" s="83"/>
      <c r="L88" s="83"/>
      <c r="M88" s="83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</row>
    <row r="89" spans="1:41" ht="15.75" x14ac:dyDescent="0.2">
      <c r="A89" s="79"/>
      <c r="B89" s="78"/>
      <c r="C89" s="78"/>
      <c r="D89" s="89"/>
      <c r="E89" s="89"/>
      <c r="F89" s="89"/>
      <c r="G89" s="89"/>
      <c r="H89" s="89"/>
      <c r="I89" s="89"/>
      <c r="J89" s="89"/>
      <c r="K89" s="78"/>
      <c r="L89" s="78"/>
      <c r="M89" s="78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</row>
    <row r="90" spans="1:41" ht="15.75" x14ac:dyDescent="0.2">
      <c r="A90" s="79"/>
      <c r="B90" s="78"/>
      <c r="C90" s="78"/>
      <c r="D90" s="89"/>
      <c r="E90" s="89"/>
      <c r="F90" s="89"/>
      <c r="G90" s="89"/>
      <c r="H90" s="89"/>
      <c r="I90" s="89"/>
      <c r="J90" s="89"/>
      <c r="K90" s="78"/>
      <c r="L90" s="78"/>
      <c r="M90" s="78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</row>
    <row r="91" spans="1:41" ht="15.75" x14ac:dyDescent="0.2">
      <c r="A91" s="90"/>
      <c r="B91" s="78"/>
      <c r="C91" s="78"/>
      <c r="D91" s="89"/>
      <c r="E91" s="89"/>
      <c r="F91" s="89"/>
      <c r="G91" s="89"/>
      <c r="H91" s="89"/>
      <c r="I91" s="89"/>
      <c r="J91" s="89"/>
      <c r="K91" s="78"/>
      <c r="L91" s="78"/>
      <c r="M91" s="78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</row>
    <row r="92" spans="1:41" ht="15.75" x14ac:dyDescent="0.2">
      <c r="A92" s="79"/>
      <c r="B92" s="82"/>
      <c r="C92" s="82"/>
      <c r="D92" s="81"/>
      <c r="E92" s="81"/>
      <c r="F92" s="81"/>
      <c r="G92" s="81"/>
      <c r="H92" s="81"/>
      <c r="I92" s="81"/>
      <c r="J92" s="81"/>
      <c r="K92" s="82"/>
      <c r="L92" s="82"/>
      <c r="M92" s="82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</row>
    <row r="93" spans="1:41" ht="15.75" x14ac:dyDescent="0.2">
      <c r="A93" s="91"/>
      <c r="B93" s="75"/>
      <c r="C93" s="75"/>
      <c r="D93" s="92"/>
      <c r="E93" s="92"/>
      <c r="F93" s="92"/>
      <c r="G93" s="92"/>
      <c r="H93" s="92"/>
      <c r="I93" s="92"/>
      <c r="J93" s="92"/>
      <c r="K93" s="75"/>
      <c r="L93" s="75"/>
      <c r="M93" s="75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</row>
    <row r="94" spans="1:41" ht="15.75" x14ac:dyDescent="0.2">
      <c r="A94" s="91"/>
      <c r="B94" s="93"/>
      <c r="C94" s="93"/>
      <c r="D94" s="94"/>
      <c r="E94" s="94"/>
      <c r="F94" s="94"/>
      <c r="G94" s="94"/>
      <c r="H94" s="94"/>
      <c r="I94" s="94"/>
      <c r="J94" s="94"/>
      <c r="K94" s="93"/>
      <c r="L94" s="93"/>
      <c r="M94" s="93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</row>
    <row r="95" spans="1:41" ht="15.75" x14ac:dyDescent="0.2">
      <c r="A95" s="91"/>
      <c r="B95" s="93"/>
      <c r="C95" s="93"/>
      <c r="D95" s="94"/>
      <c r="E95" s="94"/>
      <c r="F95" s="94"/>
      <c r="G95" s="94"/>
      <c r="H95" s="94"/>
      <c r="I95" s="94"/>
      <c r="J95" s="94"/>
      <c r="K95" s="93"/>
      <c r="L95" s="93"/>
      <c r="M95" s="93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</row>
    <row r="96" spans="1:41" ht="15.75" x14ac:dyDescent="0.2">
      <c r="A96" s="91"/>
      <c r="B96" s="93"/>
      <c r="C96" s="93"/>
      <c r="D96" s="94"/>
      <c r="E96" s="94"/>
      <c r="F96" s="94"/>
      <c r="G96" s="94"/>
      <c r="H96" s="94"/>
      <c r="I96" s="94"/>
      <c r="J96" s="94"/>
      <c r="K96" s="93"/>
      <c r="L96" s="93"/>
      <c r="M96" s="93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</row>
    <row r="97" spans="1:41" ht="15.75" x14ac:dyDescent="0.2">
      <c r="A97" s="91"/>
      <c r="B97" s="93"/>
      <c r="C97" s="93"/>
      <c r="D97" s="94"/>
      <c r="E97" s="94"/>
      <c r="F97" s="94"/>
      <c r="G97" s="94"/>
      <c r="H97" s="94"/>
      <c r="I97" s="94"/>
      <c r="J97" s="94"/>
      <c r="K97" s="93"/>
      <c r="L97" s="93"/>
      <c r="M97" s="93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</row>
    <row r="98" spans="1:41" ht="14.25" customHeight="1" x14ac:dyDescent="0.2">
      <c r="A98" s="79"/>
      <c r="B98" s="95"/>
      <c r="C98" s="95"/>
      <c r="D98" s="96"/>
      <c r="E98" s="96"/>
      <c r="F98" s="96"/>
      <c r="G98" s="96"/>
      <c r="H98" s="96"/>
      <c r="I98" s="96"/>
      <c r="J98" s="96"/>
      <c r="K98" s="95"/>
      <c r="L98" s="95"/>
      <c r="M98" s="95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</row>
    <row r="100" spans="1:41" x14ac:dyDescent="0.2">
      <c r="A100" s="97"/>
      <c r="Q100" s="98"/>
      <c r="U100" s="98"/>
    </row>
    <row r="101" spans="1:41" x14ac:dyDescent="0.2">
      <c r="A101" s="97"/>
      <c r="Q101" s="98"/>
      <c r="U101" s="98"/>
    </row>
    <row r="102" spans="1:41" x14ac:dyDescent="0.2">
      <c r="A102" s="99"/>
      <c r="Q102" s="100"/>
      <c r="U102" s="100"/>
    </row>
    <row r="103" spans="1:41" x14ac:dyDescent="0.2">
      <c r="A103" s="82"/>
      <c r="Q103" s="82"/>
      <c r="U103" s="82"/>
    </row>
    <row r="104" spans="1:41" x14ac:dyDescent="0.2">
      <c r="A104" s="97"/>
      <c r="Q104" s="82"/>
      <c r="U104" s="82"/>
    </row>
    <row r="105" spans="1:41" x14ac:dyDescent="0.2">
      <c r="A105" s="82"/>
      <c r="Q105" s="101"/>
      <c r="U105" s="101"/>
    </row>
  </sheetData>
  <sheetProtection selectLockedCells="1" selectUnlockedCells="1"/>
  <phoneticPr fontId="46" type="noConversion"/>
  <pageMargins left="0.511811024" right="0.511811024" top="0.78740157499999996" bottom="0.78740157499999996" header="0.31496062000000002" footer="0.31496062000000002"/>
  <pageSetup paperSize="9" scale="90" orientation="portrait" r:id="rId1"/>
  <ignoredErrors>
    <ignoredError sqref="I32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372B-A0E1-4B75-B467-DB3FD91F4242}">
  <sheetPr>
    <tabColor theme="6"/>
  </sheetPr>
  <dimension ref="A1:WWF92"/>
  <sheetViews>
    <sheetView showGridLines="0" zoomScale="90" zoomScaleNormal="90" workbookViewId="0">
      <pane xSplit="2" ySplit="8" topLeftCell="C52" activePane="bottomRight" state="frozen"/>
      <selection pane="topRight"/>
      <selection pane="bottomLeft"/>
      <selection pane="bottomRight" activeCell="J97" sqref="J97"/>
    </sheetView>
  </sheetViews>
  <sheetFormatPr defaultColWidth="0" defaultRowHeight="14.25" outlineLevelRow="1" x14ac:dyDescent="0.2"/>
  <cols>
    <col min="1" max="1" width="57" style="71" bestFit="1" customWidth="1"/>
    <col min="2" max="3" width="2.140625" style="71" customWidth="1"/>
    <col min="4" max="4" width="12.28515625" style="71" bestFit="1" customWidth="1"/>
    <col min="5" max="5" width="12.28515625" style="71" customWidth="1"/>
    <col min="6" max="10" width="12.42578125" style="71" bestFit="1" customWidth="1"/>
    <col min="11" max="11" width="5" style="71" customWidth="1"/>
    <col min="12" max="12" width="12.42578125" style="222" hidden="1" customWidth="1"/>
    <col min="13" max="13" width="5" style="71" customWidth="1"/>
    <col min="14" max="17" width="13.42578125" style="71" bestFit="1" customWidth="1"/>
    <col min="18" max="26" width="10.7109375" style="71" bestFit="1" customWidth="1"/>
    <col min="27" max="28" width="12.42578125" style="71" bestFit="1" customWidth="1"/>
    <col min="29" max="41" width="12.42578125" style="71" customWidth="1"/>
    <col min="42" max="42" width="9.85546875" style="71" bestFit="1" customWidth="1"/>
    <col min="43" max="46" width="9.140625" style="71" customWidth="1"/>
    <col min="47" max="270" width="9.140625" style="71" hidden="1"/>
    <col min="271" max="271" width="34.42578125" style="71" hidden="1"/>
    <col min="272" max="272" width="8.42578125" style="71" hidden="1"/>
    <col min="273" max="273" width="4.85546875" style="71" hidden="1"/>
    <col min="274" max="274" width="11.28515625" style="71" hidden="1"/>
    <col min="275" max="275" width="4.85546875" style="71" hidden="1"/>
    <col min="276" max="276" width="8.42578125" style="71" hidden="1"/>
    <col min="277" max="277" width="4.85546875" style="71" hidden="1"/>
    <col min="278" max="278" width="11.5703125" style="71" hidden="1"/>
    <col min="279" max="279" width="8.85546875" style="71" hidden="1"/>
    <col min="280" max="280" width="5" style="71" hidden="1"/>
    <col min="281" max="526" width="9.140625" style="71" hidden="1"/>
    <col min="527" max="527" width="34.42578125" style="71" hidden="1"/>
    <col min="528" max="528" width="8.42578125" style="71" hidden="1"/>
    <col min="529" max="529" width="4.85546875" style="71" hidden="1"/>
    <col min="530" max="530" width="11.28515625" style="71" hidden="1"/>
    <col min="531" max="531" width="4.85546875" style="71" hidden="1"/>
    <col min="532" max="532" width="8.42578125" style="71" hidden="1"/>
    <col min="533" max="533" width="4.85546875" style="71" hidden="1"/>
    <col min="534" max="534" width="11.5703125" style="71" hidden="1"/>
    <col min="535" max="535" width="8.85546875" style="71" hidden="1"/>
    <col min="536" max="536" width="5" style="71" hidden="1"/>
    <col min="537" max="782" width="9.140625" style="71" hidden="1"/>
    <col min="783" max="783" width="34.42578125" style="71" hidden="1"/>
    <col min="784" max="784" width="8.42578125" style="71" hidden="1"/>
    <col min="785" max="785" width="4.85546875" style="71" hidden="1"/>
    <col min="786" max="786" width="11.28515625" style="71" hidden="1"/>
    <col min="787" max="787" width="4.85546875" style="71" hidden="1"/>
    <col min="788" max="788" width="8.42578125" style="71" hidden="1"/>
    <col min="789" max="789" width="4.85546875" style="71" hidden="1"/>
    <col min="790" max="790" width="11.5703125" style="71" hidden="1"/>
    <col min="791" max="791" width="8.85546875" style="71" hidden="1"/>
    <col min="792" max="792" width="5" style="71" hidden="1"/>
    <col min="793" max="1038" width="9.140625" style="71" hidden="1"/>
    <col min="1039" max="1039" width="34.42578125" style="71" hidden="1"/>
    <col min="1040" max="1040" width="8.42578125" style="71" hidden="1"/>
    <col min="1041" max="1041" width="4.85546875" style="71" hidden="1"/>
    <col min="1042" max="1042" width="11.28515625" style="71" hidden="1"/>
    <col min="1043" max="1043" width="4.85546875" style="71" hidden="1"/>
    <col min="1044" max="1044" width="8.42578125" style="71" hidden="1"/>
    <col min="1045" max="1045" width="4.85546875" style="71" hidden="1"/>
    <col min="1046" max="1046" width="11.5703125" style="71" hidden="1"/>
    <col min="1047" max="1047" width="8.85546875" style="71" hidden="1"/>
    <col min="1048" max="1048" width="5" style="71" hidden="1"/>
    <col min="1049" max="1294" width="9.140625" style="71" hidden="1"/>
    <col min="1295" max="1295" width="34.42578125" style="71" hidden="1"/>
    <col min="1296" max="1296" width="8.42578125" style="71" hidden="1"/>
    <col min="1297" max="1297" width="4.85546875" style="71" hidden="1"/>
    <col min="1298" max="1298" width="11.28515625" style="71" hidden="1"/>
    <col min="1299" max="1299" width="4.85546875" style="71" hidden="1"/>
    <col min="1300" max="1300" width="8.42578125" style="71" hidden="1"/>
    <col min="1301" max="1301" width="4.85546875" style="71" hidden="1"/>
    <col min="1302" max="1302" width="11.5703125" style="71" hidden="1"/>
    <col min="1303" max="1303" width="8.85546875" style="71" hidden="1"/>
    <col min="1304" max="1304" width="5" style="71" hidden="1"/>
    <col min="1305" max="1550" width="9.140625" style="71" hidden="1"/>
    <col min="1551" max="1551" width="34.42578125" style="71" hidden="1"/>
    <col min="1552" max="1552" width="8.42578125" style="71" hidden="1"/>
    <col min="1553" max="1553" width="4.85546875" style="71" hidden="1"/>
    <col min="1554" max="1554" width="11.28515625" style="71" hidden="1"/>
    <col min="1555" max="1555" width="4.85546875" style="71" hidden="1"/>
    <col min="1556" max="1556" width="8.42578125" style="71" hidden="1"/>
    <col min="1557" max="1557" width="4.85546875" style="71" hidden="1"/>
    <col min="1558" max="1558" width="11.5703125" style="71" hidden="1"/>
    <col min="1559" max="1559" width="8.85546875" style="71" hidden="1"/>
    <col min="1560" max="1560" width="5" style="71" hidden="1"/>
    <col min="1561" max="1806" width="9.140625" style="71" hidden="1"/>
    <col min="1807" max="1807" width="34.42578125" style="71" hidden="1"/>
    <col min="1808" max="1808" width="8.42578125" style="71" hidden="1"/>
    <col min="1809" max="1809" width="4.85546875" style="71" hidden="1"/>
    <col min="1810" max="1810" width="11.28515625" style="71" hidden="1"/>
    <col min="1811" max="1811" width="4.85546875" style="71" hidden="1"/>
    <col min="1812" max="1812" width="8.42578125" style="71" hidden="1"/>
    <col min="1813" max="1813" width="4.85546875" style="71" hidden="1"/>
    <col min="1814" max="1814" width="11.5703125" style="71" hidden="1"/>
    <col min="1815" max="1815" width="8.85546875" style="71" hidden="1"/>
    <col min="1816" max="1816" width="5" style="71" hidden="1"/>
    <col min="1817" max="2062" width="9.140625" style="71" hidden="1"/>
    <col min="2063" max="2063" width="34.42578125" style="71" hidden="1"/>
    <col min="2064" max="2064" width="8.42578125" style="71" hidden="1"/>
    <col min="2065" max="2065" width="4.85546875" style="71" hidden="1"/>
    <col min="2066" max="2066" width="11.28515625" style="71" hidden="1"/>
    <col min="2067" max="2067" width="4.85546875" style="71" hidden="1"/>
    <col min="2068" max="2068" width="8.42578125" style="71" hidden="1"/>
    <col min="2069" max="2069" width="4.85546875" style="71" hidden="1"/>
    <col min="2070" max="2070" width="11.5703125" style="71" hidden="1"/>
    <col min="2071" max="2071" width="8.85546875" style="71" hidden="1"/>
    <col min="2072" max="2072" width="5" style="71" hidden="1"/>
    <col min="2073" max="2318" width="9.140625" style="71" hidden="1"/>
    <col min="2319" max="2319" width="34.42578125" style="71" hidden="1"/>
    <col min="2320" max="2320" width="8.42578125" style="71" hidden="1"/>
    <col min="2321" max="2321" width="4.85546875" style="71" hidden="1"/>
    <col min="2322" max="2322" width="11.28515625" style="71" hidden="1"/>
    <col min="2323" max="2323" width="4.85546875" style="71" hidden="1"/>
    <col min="2324" max="2324" width="8.42578125" style="71" hidden="1"/>
    <col min="2325" max="2325" width="4.85546875" style="71" hidden="1"/>
    <col min="2326" max="2326" width="11.5703125" style="71" hidden="1"/>
    <col min="2327" max="2327" width="8.85546875" style="71" hidden="1"/>
    <col min="2328" max="2328" width="5" style="71" hidden="1"/>
    <col min="2329" max="2574" width="9.140625" style="71" hidden="1"/>
    <col min="2575" max="2575" width="34.42578125" style="71" hidden="1"/>
    <col min="2576" max="2576" width="8.42578125" style="71" hidden="1"/>
    <col min="2577" max="2577" width="4.85546875" style="71" hidden="1"/>
    <col min="2578" max="2578" width="11.28515625" style="71" hidden="1"/>
    <col min="2579" max="2579" width="4.85546875" style="71" hidden="1"/>
    <col min="2580" max="2580" width="8.42578125" style="71" hidden="1"/>
    <col min="2581" max="2581" width="4.85546875" style="71" hidden="1"/>
    <col min="2582" max="2582" width="11.5703125" style="71" hidden="1"/>
    <col min="2583" max="2583" width="8.85546875" style="71" hidden="1"/>
    <col min="2584" max="2584" width="5" style="71" hidden="1"/>
    <col min="2585" max="2830" width="9.140625" style="71" hidden="1"/>
    <col min="2831" max="2831" width="34.42578125" style="71" hidden="1"/>
    <col min="2832" max="2832" width="8.42578125" style="71" hidden="1"/>
    <col min="2833" max="2833" width="4.85546875" style="71" hidden="1"/>
    <col min="2834" max="2834" width="11.28515625" style="71" hidden="1"/>
    <col min="2835" max="2835" width="4.85546875" style="71" hidden="1"/>
    <col min="2836" max="2836" width="8.42578125" style="71" hidden="1"/>
    <col min="2837" max="2837" width="4.85546875" style="71" hidden="1"/>
    <col min="2838" max="2838" width="11.5703125" style="71" hidden="1"/>
    <col min="2839" max="2839" width="8.85546875" style="71" hidden="1"/>
    <col min="2840" max="2840" width="5" style="71" hidden="1"/>
    <col min="2841" max="3086" width="9.140625" style="71" hidden="1"/>
    <col min="3087" max="3087" width="34.42578125" style="71" hidden="1"/>
    <col min="3088" max="3088" width="8.42578125" style="71" hidden="1"/>
    <col min="3089" max="3089" width="4.85546875" style="71" hidden="1"/>
    <col min="3090" max="3090" width="11.28515625" style="71" hidden="1"/>
    <col min="3091" max="3091" width="4.85546875" style="71" hidden="1"/>
    <col min="3092" max="3092" width="8.42578125" style="71" hidden="1"/>
    <col min="3093" max="3093" width="4.85546875" style="71" hidden="1"/>
    <col min="3094" max="3094" width="11.5703125" style="71" hidden="1"/>
    <col min="3095" max="3095" width="8.85546875" style="71" hidden="1"/>
    <col min="3096" max="3096" width="5" style="71" hidden="1"/>
    <col min="3097" max="3342" width="9.140625" style="71" hidden="1"/>
    <col min="3343" max="3343" width="34.42578125" style="71" hidden="1"/>
    <col min="3344" max="3344" width="8.42578125" style="71" hidden="1"/>
    <col min="3345" max="3345" width="4.85546875" style="71" hidden="1"/>
    <col min="3346" max="3346" width="11.28515625" style="71" hidden="1"/>
    <col min="3347" max="3347" width="4.85546875" style="71" hidden="1"/>
    <col min="3348" max="3348" width="8.42578125" style="71" hidden="1"/>
    <col min="3349" max="3349" width="4.85546875" style="71" hidden="1"/>
    <col min="3350" max="3350" width="11.5703125" style="71" hidden="1"/>
    <col min="3351" max="3351" width="8.85546875" style="71" hidden="1"/>
    <col min="3352" max="3352" width="5" style="71" hidden="1"/>
    <col min="3353" max="3598" width="9.140625" style="71" hidden="1"/>
    <col min="3599" max="3599" width="34.42578125" style="71" hidden="1"/>
    <col min="3600" max="3600" width="8.42578125" style="71" hidden="1"/>
    <col min="3601" max="3601" width="4.85546875" style="71" hidden="1"/>
    <col min="3602" max="3602" width="11.28515625" style="71" hidden="1"/>
    <col min="3603" max="3603" width="4.85546875" style="71" hidden="1"/>
    <col min="3604" max="3604" width="8.42578125" style="71" hidden="1"/>
    <col min="3605" max="3605" width="4.85546875" style="71" hidden="1"/>
    <col min="3606" max="3606" width="11.5703125" style="71" hidden="1"/>
    <col min="3607" max="3607" width="8.85546875" style="71" hidden="1"/>
    <col min="3608" max="3608" width="5" style="71" hidden="1"/>
    <col min="3609" max="3854" width="9.140625" style="71" hidden="1"/>
    <col min="3855" max="3855" width="34.42578125" style="71" hidden="1"/>
    <col min="3856" max="3856" width="8.42578125" style="71" hidden="1"/>
    <col min="3857" max="3857" width="4.85546875" style="71" hidden="1"/>
    <col min="3858" max="3858" width="11.28515625" style="71" hidden="1"/>
    <col min="3859" max="3859" width="4.85546875" style="71" hidden="1"/>
    <col min="3860" max="3860" width="8.42578125" style="71" hidden="1"/>
    <col min="3861" max="3861" width="4.85546875" style="71" hidden="1"/>
    <col min="3862" max="3862" width="11.5703125" style="71" hidden="1"/>
    <col min="3863" max="3863" width="8.85546875" style="71" hidden="1"/>
    <col min="3864" max="3864" width="5" style="71" hidden="1"/>
    <col min="3865" max="4110" width="9.140625" style="71" hidden="1"/>
    <col min="4111" max="4111" width="34.42578125" style="71" hidden="1"/>
    <col min="4112" max="4112" width="8.42578125" style="71" hidden="1"/>
    <col min="4113" max="4113" width="4.85546875" style="71" hidden="1"/>
    <col min="4114" max="4114" width="11.28515625" style="71" hidden="1"/>
    <col min="4115" max="4115" width="4.85546875" style="71" hidden="1"/>
    <col min="4116" max="4116" width="8.42578125" style="71" hidden="1"/>
    <col min="4117" max="4117" width="4.85546875" style="71" hidden="1"/>
    <col min="4118" max="4118" width="11.5703125" style="71" hidden="1"/>
    <col min="4119" max="4119" width="8.85546875" style="71" hidden="1"/>
    <col min="4120" max="4120" width="5" style="71" hidden="1"/>
    <col min="4121" max="4366" width="9.140625" style="71" hidden="1"/>
    <col min="4367" max="4367" width="34.42578125" style="71" hidden="1"/>
    <col min="4368" max="4368" width="8.42578125" style="71" hidden="1"/>
    <col min="4369" max="4369" width="4.85546875" style="71" hidden="1"/>
    <col min="4370" max="4370" width="11.28515625" style="71" hidden="1"/>
    <col min="4371" max="4371" width="4.85546875" style="71" hidden="1"/>
    <col min="4372" max="4372" width="8.42578125" style="71" hidden="1"/>
    <col min="4373" max="4373" width="4.85546875" style="71" hidden="1"/>
    <col min="4374" max="4374" width="11.5703125" style="71" hidden="1"/>
    <col min="4375" max="4375" width="8.85546875" style="71" hidden="1"/>
    <col min="4376" max="4376" width="5" style="71" hidden="1"/>
    <col min="4377" max="4622" width="9.140625" style="71" hidden="1"/>
    <col min="4623" max="4623" width="34.42578125" style="71" hidden="1"/>
    <col min="4624" max="4624" width="8.42578125" style="71" hidden="1"/>
    <col min="4625" max="4625" width="4.85546875" style="71" hidden="1"/>
    <col min="4626" max="4626" width="11.28515625" style="71" hidden="1"/>
    <col min="4627" max="4627" width="4.85546875" style="71" hidden="1"/>
    <col min="4628" max="4628" width="8.42578125" style="71" hidden="1"/>
    <col min="4629" max="4629" width="4.85546875" style="71" hidden="1"/>
    <col min="4630" max="4630" width="11.5703125" style="71" hidden="1"/>
    <col min="4631" max="4631" width="8.85546875" style="71" hidden="1"/>
    <col min="4632" max="4632" width="5" style="71" hidden="1"/>
    <col min="4633" max="4878" width="9.140625" style="71" hidden="1"/>
    <col min="4879" max="4879" width="34.42578125" style="71" hidden="1"/>
    <col min="4880" max="4880" width="8.42578125" style="71" hidden="1"/>
    <col min="4881" max="4881" width="4.85546875" style="71" hidden="1"/>
    <col min="4882" max="4882" width="11.28515625" style="71" hidden="1"/>
    <col min="4883" max="4883" width="4.85546875" style="71" hidden="1"/>
    <col min="4884" max="4884" width="8.42578125" style="71" hidden="1"/>
    <col min="4885" max="4885" width="4.85546875" style="71" hidden="1"/>
    <col min="4886" max="4886" width="11.5703125" style="71" hidden="1"/>
    <col min="4887" max="4887" width="8.85546875" style="71" hidden="1"/>
    <col min="4888" max="4888" width="5" style="71" hidden="1"/>
    <col min="4889" max="5134" width="9.140625" style="71" hidden="1"/>
    <col min="5135" max="5135" width="34.42578125" style="71" hidden="1"/>
    <col min="5136" max="5136" width="8.42578125" style="71" hidden="1"/>
    <col min="5137" max="5137" width="4.85546875" style="71" hidden="1"/>
    <col min="5138" max="5138" width="11.28515625" style="71" hidden="1"/>
    <col min="5139" max="5139" width="4.85546875" style="71" hidden="1"/>
    <col min="5140" max="5140" width="8.42578125" style="71" hidden="1"/>
    <col min="5141" max="5141" width="4.85546875" style="71" hidden="1"/>
    <col min="5142" max="5142" width="11.5703125" style="71" hidden="1"/>
    <col min="5143" max="5143" width="8.85546875" style="71" hidden="1"/>
    <col min="5144" max="5144" width="5" style="71" hidden="1"/>
    <col min="5145" max="5390" width="9.140625" style="71" hidden="1"/>
    <col min="5391" max="5391" width="34.42578125" style="71" hidden="1"/>
    <col min="5392" max="5392" width="8.42578125" style="71" hidden="1"/>
    <col min="5393" max="5393" width="4.85546875" style="71" hidden="1"/>
    <col min="5394" max="5394" width="11.28515625" style="71" hidden="1"/>
    <col min="5395" max="5395" width="4.85546875" style="71" hidden="1"/>
    <col min="5396" max="5396" width="8.42578125" style="71" hidden="1"/>
    <col min="5397" max="5397" width="4.85546875" style="71" hidden="1"/>
    <col min="5398" max="5398" width="11.5703125" style="71" hidden="1"/>
    <col min="5399" max="5399" width="8.85546875" style="71" hidden="1"/>
    <col min="5400" max="5400" width="5" style="71" hidden="1"/>
    <col min="5401" max="5646" width="9.140625" style="71" hidden="1"/>
    <col min="5647" max="5647" width="34.42578125" style="71" hidden="1"/>
    <col min="5648" max="5648" width="8.42578125" style="71" hidden="1"/>
    <col min="5649" max="5649" width="4.85546875" style="71" hidden="1"/>
    <col min="5650" max="5650" width="11.28515625" style="71" hidden="1"/>
    <col min="5651" max="5651" width="4.85546875" style="71" hidden="1"/>
    <col min="5652" max="5652" width="8.42578125" style="71" hidden="1"/>
    <col min="5653" max="5653" width="4.85546875" style="71" hidden="1"/>
    <col min="5654" max="5654" width="11.5703125" style="71" hidden="1"/>
    <col min="5655" max="5655" width="8.85546875" style="71" hidden="1"/>
    <col min="5656" max="5656" width="5" style="71" hidden="1"/>
    <col min="5657" max="5902" width="9.140625" style="71" hidden="1"/>
    <col min="5903" max="5903" width="34.42578125" style="71" hidden="1"/>
    <col min="5904" max="5904" width="8.42578125" style="71" hidden="1"/>
    <col min="5905" max="5905" width="4.85546875" style="71" hidden="1"/>
    <col min="5906" max="5906" width="11.28515625" style="71" hidden="1"/>
    <col min="5907" max="5907" width="4.85546875" style="71" hidden="1"/>
    <col min="5908" max="5908" width="8.42578125" style="71" hidden="1"/>
    <col min="5909" max="5909" width="4.85546875" style="71" hidden="1"/>
    <col min="5910" max="5910" width="11.5703125" style="71" hidden="1"/>
    <col min="5911" max="5911" width="8.85546875" style="71" hidden="1"/>
    <col min="5912" max="5912" width="5" style="71" hidden="1"/>
    <col min="5913" max="6158" width="9.140625" style="71" hidden="1"/>
    <col min="6159" max="6159" width="34.42578125" style="71" hidden="1"/>
    <col min="6160" max="6160" width="8.42578125" style="71" hidden="1"/>
    <col min="6161" max="6161" width="4.85546875" style="71" hidden="1"/>
    <col min="6162" max="6162" width="11.28515625" style="71" hidden="1"/>
    <col min="6163" max="6163" width="4.85546875" style="71" hidden="1"/>
    <col min="6164" max="6164" width="8.42578125" style="71" hidden="1"/>
    <col min="6165" max="6165" width="4.85546875" style="71" hidden="1"/>
    <col min="6166" max="6166" width="11.5703125" style="71" hidden="1"/>
    <col min="6167" max="6167" width="8.85546875" style="71" hidden="1"/>
    <col min="6168" max="6168" width="5" style="71" hidden="1"/>
    <col min="6169" max="6414" width="9.140625" style="71" hidden="1"/>
    <col min="6415" max="6415" width="34.42578125" style="71" hidden="1"/>
    <col min="6416" max="6416" width="8.42578125" style="71" hidden="1"/>
    <col min="6417" max="6417" width="4.85546875" style="71" hidden="1"/>
    <col min="6418" max="6418" width="11.28515625" style="71" hidden="1"/>
    <col min="6419" max="6419" width="4.85546875" style="71" hidden="1"/>
    <col min="6420" max="6420" width="8.42578125" style="71" hidden="1"/>
    <col min="6421" max="6421" width="4.85546875" style="71" hidden="1"/>
    <col min="6422" max="6422" width="11.5703125" style="71" hidden="1"/>
    <col min="6423" max="6423" width="8.85546875" style="71" hidden="1"/>
    <col min="6424" max="6424" width="5" style="71" hidden="1"/>
    <col min="6425" max="6670" width="9.140625" style="71" hidden="1"/>
    <col min="6671" max="6671" width="34.42578125" style="71" hidden="1"/>
    <col min="6672" max="6672" width="8.42578125" style="71" hidden="1"/>
    <col min="6673" max="6673" width="4.85546875" style="71" hidden="1"/>
    <col min="6674" max="6674" width="11.28515625" style="71" hidden="1"/>
    <col min="6675" max="6675" width="4.85546875" style="71" hidden="1"/>
    <col min="6676" max="6676" width="8.42578125" style="71" hidden="1"/>
    <col min="6677" max="6677" width="4.85546875" style="71" hidden="1"/>
    <col min="6678" max="6678" width="11.5703125" style="71" hidden="1"/>
    <col min="6679" max="6679" width="8.85546875" style="71" hidden="1"/>
    <col min="6680" max="6680" width="5" style="71" hidden="1"/>
    <col min="6681" max="6926" width="9.140625" style="71" hidden="1"/>
    <col min="6927" max="6927" width="34.42578125" style="71" hidden="1"/>
    <col min="6928" max="6928" width="8.42578125" style="71" hidden="1"/>
    <col min="6929" max="6929" width="4.85546875" style="71" hidden="1"/>
    <col min="6930" max="6930" width="11.28515625" style="71" hidden="1"/>
    <col min="6931" max="6931" width="4.85546875" style="71" hidden="1"/>
    <col min="6932" max="6932" width="8.42578125" style="71" hidden="1"/>
    <col min="6933" max="6933" width="4.85546875" style="71" hidden="1"/>
    <col min="6934" max="6934" width="11.5703125" style="71" hidden="1"/>
    <col min="6935" max="6935" width="8.85546875" style="71" hidden="1"/>
    <col min="6936" max="6936" width="5" style="71" hidden="1"/>
    <col min="6937" max="7182" width="9.140625" style="71" hidden="1"/>
    <col min="7183" max="7183" width="34.42578125" style="71" hidden="1"/>
    <col min="7184" max="7184" width="8.42578125" style="71" hidden="1"/>
    <col min="7185" max="7185" width="4.85546875" style="71" hidden="1"/>
    <col min="7186" max="7186" width="11.28515625" style="71" hidden="1"/>
    <col min="7187" max="7187" width="4.85546875" style="71" hidden="1"/>
    <col min="7188" max="7188" width="8.42578125" style="71" hidden="1"/>
    <col min="7189" max="7189" width="4.85546875" style="71" hidden="1"/>
    <col min="7190" max="7190" width="11.5703125" style="71" hidden="1"/>
    <col min="7191" max="7191" width="8.85546875" style="71" hidden="1"/>
    <col min="7192" max="7192" width="5" style="71" hidden="1"/>
    <col min="7193" max="7438" width="9.140625" style="71" hidden="1"/>
    <col min="7439" max="7439" width="34.42578125" style="71" hidden="1"/>
    <col min="7440" max="7440" width="8.42578125" style="71" hidden="1"/>
    <col min="7441" max="7441" width="4.85546875" style="71" hidden="1"/>
    <col min="7442" max="7442" width="11.28515625" style="71" hidden="1"/>
    <col min="7443" max="7443" width="4.85546875" style="71" hidden="1"/>
    <col min="7444" max="7444" width="8.42578125" style="71" hidden="1"/>
    <col min="7445" max="7445" width="4.85546875" style="71" hidden="1"/>
    <col min="7446" max="7446" width="11.5703125" style="71" hidden="1"/>
    <col min="7447" max="7447" width="8.85546875" style="71" hidden="1"/>
    <col min="7448" max="7448" width="5" style="71" hidden="1"/>
    <col min="7449" max="7694" width="9.140625" style="71" hidden="1"/>
    <col min="7695" max="7695" width="34.42578125" style="71" hidden="1"/>
    <col min="7696" max="7696" width="8.42578125" style="71" hidden="1"/>
    <col min="7697" max="7697" width="4.85546875" style="71" hidden="1"/>
    <col min="7698" max="7698" width="11.28515625" style="71" hidden="1"/>
    <col min="7699" max="7699" width="4.85546875" style="71" hidden="1"/>
    <col min="7700" max="7700" width="8.42578125" style="71" hidden="1"/>
    <col min="7701" max="7701" width="4.85546875" style="71" hidden="1"/>
    <col min="7702" max="7702" width="11.5703125" style="71" hidden="1"/>
    <col min="7703" max="7703" width="8.85546875" style="71" hidden="1"/>
    <col min="7704" max="7704" width="5" style="71" hidden="1"/>
    <col min="7705" max="7950" width="9.140625" style="71" hidden="1"/>
    <col min="7951" max="7951" width="34.42578125" style="71" hidden="1"/>
    <col min="7952" max="7952" width="8.42578125" style="71" hidden="1"/>
    <col min="7953" max="7953" width="4.85546875" style="71" hidden="1"/>
    <col min="7954" max="7954" width="11.28515625" style="71" hidden="1"/>
    <col min="7955" max="7955" width="4.85546875" style="71" hidden="1"/>
    <col min="7956" max="7956" width="8.42578125" style="71" hidden="1"/>
    <col min="7957" max="7957" width="4.85546875" style="71" hidden="1"/>
    <col min="7958" max="7958" width="11.5703125" style="71" hidden="1"/>
    <col min="7959" max="7959" width="8.85546875" style="71" hidden="1"/>
    <col min="7960" max="7960" width="5" style="71" hidden="1"/>
    <col min="7961" max="8206" width="9.140625" style="71" hidden="1"/>
    <col min="8207" max="8207" width="34.42578125" style="71" hidden="1"/>
    <col min="8208" max="8208" width="8.42578125" style="71" hidden="1"/>
    <col min="8209" max="8209" width="4.85546875" style="71" hidden="1"/>
    <col min="8210" max="8210" width="11.28515625" style="71" hidden="1"/>
    <col min="8211" max="8211" width="4.85546875" style="71" hidden="1"/>
    <col min="8212" max="8212" width="8.42578125" style="71" hidden="1"/>
    <col min="8213" max="8213" width="4.85546875" style="71" hidden="1"/>
    <col min="8214" max="8214" width="11.5703125" style="71" hidden="1"/>
    <col min="8215" max="8215" width="8.85546875" style="71" hidden="1"/>
    <col min="8216" max="8216" width="5" style="71" hidden="1"/>
    <col min="8217" max="8462" width="9.140625" style="71" hidden="1"/>
    <col min="8463" max="8463" width="34.42578125" style="71" hidden="1"/>
    <col min="8464" max="8464" width="8.42578125" style="71" hidden="1"/>
    <col min="8465" max="8465" width="4.85546875" style="71" hidden="1"/>
    <col min="8466" max="8466" width="11.28515625" style="71" hidden="1"/>
    <col min="8467" max="8467" width="4.85546875" style="71" hidden="1"/>
    <col min="8468" max="8468" width="8.42578125" style="71" hidden="1"/>
    <col min="8469" max="8469" width="4.85546875" style="71" hidden="1"/>
    <col min="8470" max="8470" width="11.5703125" style="71" hidden="1"/>
    <col min="8471" max="8471" width="8.85546875" style="71" hidden="1"/>
    <col min="8472" max="8472" width="5" style="71" hidden="1"/>
    <col min="8473" max="8718" width="9.140625" style="71" hidden="1"/>
    <col min="8719" max="8719" width="34.42578125" style="71" hidden="1"/>
    <col min="8720" max="8720" width="8.42578125" style="71" hidden="1"/>
    <col min="8721" max="8721" width="4.85546875" style="71" hidden="1"/>
    <col min="8722" max="8722" width="11.28515625" style="71" hidden="1"/>
    <col min="8723" max="8723" width="4.85546875" style="71" hidden="1"/>
    <col min="8724" max="8724" width="8.42578125" style="71" hidden="1"/>
    <col min="8725" max="8725" width="4.85546875" style="71" hidden="1"/>
    <col min="8726" max="8726" width="11.5703125" style="71" hidden="1"/>
    <col min="8727" max="8727" width="8.85546875" style="71" hidden="1"/>
    <col min="8728" max="8728" width="5" style="71" hidden="1"/>
    <col min="8729" max="8974" width="9.140625" style="71" hidden="1"/>
    <col min="8975" max="8975" width="34.42578125" style="71" hidden="1"/>
    <col min="8976" max="8976" width="8.42578125" style="71" hidden="1"/>
    <col min="8977" max="8977" width="4.85546875" style="71" hidden="1"/>
    <col min="8978" max="8978" width="11.28515625" style="71" hidden="1"/>
    <col min="8979" max="8979" width="4.85546875" style="71" hidden="1"/>
    <col min="8980" max="8980" width="8.42578125" style="71" hidden="1"/>
    <col min="8981" max="8981" width="4.85546875" style="71" hidden="1"/>
    <col min="8982" max="8982" width="11.5703125" style="71" hidden="1"/>
    <col min="8983" max="8983" width="8.85546875" style="71" hidden="1"/>
    <col min="8984" max="8984" width="5" style="71" hidden="1"/>
    <col min="8985" max="9230" width="9.140625" style="71" hidden="1"/>
    <col min="9231" max="9231" width="34.42578125" style="71" hidden="1"/>
    <col min="9232" max="9232" width="8.42578125" style="71" hidden="1"/>
    <col min="9233" max="9233" width="4.85546875" style="71" hidden="1"/>
    <col min="9234" max="9234" width="11.28515625" style="71" hidden="1"/>
    <col min="9235" max="9235" width="4.85546875" style="71" hidden="1"/>
    <col min="9236" max="9236" width="8.42578125" style="71" hidden="1"/>
    <col min="9237" max="9237" width="4.85546875" style="71" hidden="1"/>
    <col min="9238" max="9238" width="11.5703125" style="71" hidden="1"/>
    <col min="9239" max="9239" width="8.85546875" style="71" hidden="1"/>
    <col min="9240" max="9240" width="5" style="71" hidden="1"/>
    <col min="9241" max="9486" width="9.140625" style="71" hidden="1"/>
    <col min="9487" max="9487" width="34.42578125" style="71" hidden="1"/>
    <col min="9488" max="9488" width="8.42578125" style="71" hidden="1"/>
    <col min="9489" max="9489" width="4.85546875" style="71" hidden="1"/>
    <col min="9490" max="9490" width="11.28515625" style="71" hidden="1"/>
    <col min="9491" max="9491" width="4.85546875" style="71" hidden="1"/>
    <col min="9492" max="9492" width="8.42578125" style="71" hidden="1"/>
    <col min="9493" max="9493" width="4.85546875" style="71" hidden="1"/>
    <col min="9494" max="9494" width="11.5703125" style="71" hidden="1"/>
    <col min="9495" max="9495" width="8.85546875" style="71" hidden="1"/>
    <col min="9496" max="9496" width="5" style="71" hidden="1"/>
    <col min="9497" max="9742" width="9.140625" style="71" hidden="1"/>
    <col min="9743" max="9743" width="34.42578125" style="71" hidden="1"/>
    <col min="9744" max="9744" width="8.42578125" style="71" hidden="1"/>
    <col min="9745" max="9745" width="4.85546875" style="71" hidden="1"/>
    <col min="9746" max="9746" width="11.28515625" style="71" hidden="1"/>
    <col min="9747" max="9747" width="4.85546875" style="71" hidden="1"/>
    <col min="9748" max="9748" width="8.42578125" style="71" hidden="1"/>
    <col min="9749" max="9749" width="4.85546875" style="71" hidden="1"/>
    <col min="9750" max="9750" width="11.5703125" style="71" hidden="1"/>
    <col min="9751" max="9751" width="8.85546875" style="71" hidden="1"/>
    <col min="9752" max="9752" width="5" style="71" hidden="1"/>
    <col min="9753" max="9998" width="9.140625" style="71" hidden="1"/>
    <col min="9999" max="9999" width="34.42578125" style="71" hidden="1"/>
    <col min="10000" max="10000" width="8.42578125" style="71" hidden="1"/>
    <col min="10001" max="10001" width="4.85546875" style="71" hidden="1"/>
    <col min="10002" max="10002" width="11.28515625" style="71" hidden="1"/>
    <col min="10003" max="10003" width="4.85546875" style="71" hidden="1"/>
    <col min="10004" max="10004" width="8.42578125" style="71" hidden="1"/>
    <col min="10005" max="10005" width="4.85546875" style="71" hidden="1"/>
    <col min="10006" max="10006" width="11.5703125" style="71" hidden="1"/>
    <col min="10007" max="10007" width="8.85546875" style="71" hidden="1"/>
    <col min="10008" max="10008" width="5" style="71" hidden="1"/>
    <col min="10009" max="10254" width="9.140625" style="71" hidden="1"/>
    <col min="10255" max="10255" width="34.42578125" style="71" hidden="1"/>
    <col min="10256" max="10256" width="8.42578125" style="71" hidden="1"/>
    <col min="10257" max="10257" width="4.85546875" style="71" hidden="1"/>
    <col min="10258" max="10258" width="11.28515625" style="71" hidden="1"/>
    <col min="10259" max="10259" width="4.85546875" style="71" hidden="1"/>
    <col min="10260" max="10260" width="8.42578125" style="71" hidden="1"/>
    <col min="10261" max="10261" width="4.85546875" style="71" hidden="1"/>
    <col min="10262" max="10262" width="11.5703125" style="71" hidden="1"/>
    <col min="10263" max="10263" width="8.85546875" style="71" hidden="1"/>
    <col min="10264" max="10264" width="5" style="71" hidden="1"/>
    <col min="10265" max="10510" width="9.140625" style="71" hidden="1"/>
    <col min="10511" max="10511" width="34.42578125" style="71" hidden="1"/>
    <col min="10512" max="10512" width="8.42578125" style="71" hidden="1"/>
    <col min="10513" max="10513" width="4.85546875" style="71" hidden="1"/>
    <col min="10514" max="10514" width="11.28515625" style="71" hidden="1"/>
    <col min="10515" max="10515" width="4.85546875" style="71" hidden="1"/>
    <col min="10516" max="10516" width="8.42578125" style="71" hidden="1"/>
    <col min="10517" max="10517" width="4.85546875" style="71" hidden="1"/>
    <col min="10518" max="10518" width="11.5703125" style="71" hidden="1"/>
    <col min="10519" max="10519" width="8.85546875" style="71" hidden="1"/>
    <col min="10520" max="10520" width="5" style="71" hidden="1"/>
    <col min="10521" max="10766" width="9.140625" style="71" hidden="1"/>
    <col min="10767" max="10767" width="34.42578125" style="71" hidden="1"/>
    <col min="10768" max="10768" width="8.42578125" style="71" hidden="1"/>
    <col min="10769" max="10769" width="4.85546875" style="71" hidden="1"/>
    <col min="10770" max="10770" width="11.28515625" style="71" hidden="1"/>
    <col min="10771" max="10771" width="4.85546875" style="71" hidden="1"/>
    <col min="10772" max="10772" width="8.42578125" style="71" hidden="1"/>
    <col min="10773" max="10773" width="4.85546875" style="71" hidden="1"/>
    <col min="10774" max="10774" width="11.5703125" style="71" hidden="1"/>
    <col min="10775" max="10775" width="8.85546875" style="71" hidden="1"/>
    <col min="10776" max="10776" width="5" style="71" hidden="1"/>
    <col min="10777" max="11022" width="9.140625" style="71" hidden="1"/>
    <col min="11023" max="11023" width="34.42578125" style="71" hidden="1"/>
    <col min="11024" max="11024" width="8.42578125" style="71" hidden="1"/>
    <col min="11025" max="11025" width="4.85546875" style="71" hidden="1"/>
    <col min="11026" max="11026" width="11.28515625" style="71" hidden="1"/>
    <col min="11027" max="11027" width="4.85546875" style="71" hidden="1"/>
    <col min="11028" max="11028" width="8.42578125" style="71" hidden="1"/>
    <col min="11029" max="11029" width="4.85546875" style="71" hidden="1"/>
    <col min="11030" max="11030" width="11.5703125" style="71" hidden="1"/>
    <col min="11031" max="11031" width="8.85546875" style="71" hidden="1"/>
    <col min="11032" max="11032" width="5" style="71" hidden="1"/>
    <col min="11033" max="11278" width="9.140625" style="71" hidden="1"/>
    <col min="11279" max="11279" width="34.42578125" style="71" hidden="1"/>
    <col min="11280" max="11280" width="8.42578125" style="71" hidden="1"/>
    <col min="11281" max="11281" width="4.85546875" style="71" hidden="1"/>
    <col min="11282" max="11282" width="11.28515625" style="71" hidden="1"/>
    <col min="11283" max="11283" width="4.85546875" style="71" hidden="1"/>
    <col min="11284" max="11284" width="8.42578125" style="71" hidden="1"/>
    <col min="11285" max="11285" width="4.85546875" style="71" hidden="1"/>
    <col min="11286" max="11286" width="11.5703125" style="71" hidden="1"/>
    <col min="11287" max="11287" width="8.85546875" style="71" hidden="1"/>
    <col min="11288" max="11288" width="5" style="71" hidden="1"/>
    <col min="11289" max="11534" width="9.140625" style="71" hidden="1"/>
    <col min="11535" max="11535" width="34.42578125" style="71" hidden="1"/>
    <col min="11536" max="11536" width="8.42578125" style="71" hidden="1"/>
    <col min="11537" max="11537" width="4.85546875" style="71" hidden="1"/>
    <col min="11538" max="11538" width="11.28515625" style="71" hidden="1"/>
    <col min="11539" max="11539" width="4.85546875" style="71" hidden="1"/>
    <col min="11540" max="11540" width="8.42578125" style="71" hidden="1"/>
    <col min="11541" max="11541" width="4.85546875" style="71" hidden="1"/>
    <col min="11542" max="11542" width="11.5703125" style="71" hidden="1"/>
    <col min="11543" max="11543" width="8.85546875" style="71" hidden="1"/>
    <col min="11544" max="11544" width="5" style="71" hidden="1"/>
    <col min="11545" max="11790" width="9.140625" style="71" hidden="1"/>
    <col min="11791" max="11791" width="34.42578125" style="71" hidden="1"/>
    <col min="11792" max="11792" width="8.42578125" style="71" hidden="1"/>
    <col min="11793" max="11793" width="4.85546875" style="71" hidden="1"/>
    <col min="11794" max="11794" width="11.28515625" style="71" hidden="1"/>
    <col min="11795" max="11795" width="4.85546875" style="71" hidden="1"/>
    <col min="11796" max="11796" width="8.42578125" style="71" hidden="1"/>
    <col min="11797" max="11797" width="4.85546875" style="71" hidden="1"/>
    <col min="11798" max="11798" width="11.5703125" style="71" hidden="1"/>
    <col min="11799" max="11799" width="8.85546875" style="71" hidden="1"/>
    <col min="11800" max="11800" width="5" style="71" hidden="1"/>
    <col min="11801" max="12046" width="9.140625" style="71" hidden="1"/>
    <col min="12047" max="12047" width="34.42578125" style="71" hidden="1"/>
    <col min="12048" max="12048" width="8.42578125" style="71" hidden="1"/>
    <col min="12049" max="12049" width="4.85546875" style="71" hidden="1"/>
    <col min="12050" max="12050" width="11.28515625" style="71" hidden="1"/>
    <col min="12051" max="12051" width="4.85546875" style="71" hidden="1"/>
    <col min="12052" max="12052" width="8.42578125" style="71" hidden="1"/>
    <col min="12053" max="12053" width="4.85546875" style="71" hidden="1"/>
    <col min="12054" max="12054" width="11.5703125" style="71" hidden="1"/>
    <col min="12055" max="12055" width="8.85546875" style="71" hidden="1"/>
    <col min="12056" max="12056" width="5" style="71" hidden="1"/>
    <col min="12057" max="12302" width="9.140625" style="71" hidden="1"/>
    <col min="12303" max="12303" width="34.42578125" style="71" hidden="1"/>
    <col min="12304" max="12304" width="8.42578125" style="71" hidden="1"/>
    <col min="12305" max="12305" width="4.85546875" style="71" hidden="1"/>
    <col min="12306" max="12306" width="11.28515625" style="71" hidden="1"/>
    <col min="12307" max="12307" width="4.85546875" style="71" hidden="1"/>
    <col min="12308" max="12308" width="8.42578125" style="71" hidden="1"/>
    <col min="12309" max="12309" width="4.85546875" style="71" hidden="1"/>
    <col min="12310" max="12310" width="11.5703125" style="71" hidden="1"/>
    <col min="12311" max="12311" width="8.85546875" style="71" hidden="1"/>
    <col min="12312" max="12312" width="5" style="71" hidden="1"/>
    <col min="12313" max="12558" width="9.140625" style="71" hidden="1"/>
    <col min="12559" max="12559" width="34.42578125" style="71" hidden="1"/>
    <col min="12560" max="12560" width="8.42578125" style="71" hidden="1"/>
    <col min="12561" max="12561" width="4.85546875" style="71" hidden="1"/>
    <col min="12562" max="12562" width="11.28515625" style="71" hidden="1"/>
    <col min="12563" max="12563" width="4.85546875" style="71" hidden="1"/>
    <col min="12564" max="12564" width="8.42578125" style="71" hidden="1"/>
    <col min="12565" max="12565" width="4.85546875" style="71" hidden="1"/>
    <col min="12566" max="12566" width="11.5703125" style="71" hidden="1"/>
    <col min="12567" max="12567" width="8.85546875" style="71" hidden="1"/>
    <col min="12568" max="12568" width="5" style="71" hidden="1"/>
    <col min="12569" max="12814" width="9.140625" style="71" hidden="1"/>
    <col min="12815" max="12815" width="34.42578125" style="71" hidden="1"/>
    <col min="12816" max="12816" width="8.42578125" style="71" hidden="1"/>
    <col min="12817" max="12817" width="4.85546875" style="71" hidden="1"/>
    <col min="12818" max="12818" width="11.28515625" style="71" hidden="1"/>
    <col min="12819" max="12819" width="4.85546875" style="71" hidden="1"/>
    <col min="12820" max="12820" width="8.42578125" style="71" hidden="1"/>
    <col min="12821" max="12821" width="4.85546875" style="71" hidden="1"/>
    <col min="12822" max="12822" width="11.5703125" style="71" hidden="1"/>
    <col min="12823" max="12823" width="8.85546875" style="71" hidden="1"/>
    <col min="12824" max="12824" width="5" style="71" hidden="1"/>
    <col min="12825" max="13070" width="9.140625" style="71" hidden="1"/>
    <col min="13071" max="13071" width="34.42578125" style="71" hidden="1"/>
    <col min="13072" max="13072" width="8.42578125" style="71" hidden="1"/>
    <col min="13073" max="13073" width="4.85546875" style="71" hidden="1"/>
    <col min="13074" max="13074" width="11.28515625" style="71" hidden="1"/>
    <col min="13075" max="13075" width="4.85546875" style="71" hidden="1"/>
    <col min="13076" max="13076" width="8.42578125" style="71" hidden="1"/>
    <col min="13077" max="13077" width="4.85546875" style="71" hidden="1"/>
    <col min="13078" max="13078" width="11.5703125" style="71" hidden="1"/>
    <col min="13079" max="13079" width="8.85546875" style="71" hidden="1"/>
    <col min="13080" max="13080" width="5" style="71" hidden="1"/>
    <col min="13081" max="13326" width="9.140625" style="71" hidden="1"/>
    <col min="13327" max="13327" width="34.42578125" style="71" hidden="1"/>
    <col min="13328" max="13328" width="8.42578125" style="71" hidden="1"/>
    <col min="13329" max="13329" width="4.85546875" style="71" hidden="1"/>
    <col min="13330" max="13330" width="11.28515625" style="71" hidden="1"/>
    <col min="13331" max="13331" width="4.85546875" style="71" hidden="1"/>
    <col min="13332" max="13332" width="8.42578125" style="71" hidden="1"/>
    <col min="13333" max="13333" width="4.85546875" style="71" hidden="1"/>
    <col min="13334" max="13334" width="11.5703125" style="71" hidden="1"/>
    <col min="13335" max="13335" width="8.85546875" style="71" hidden="1"/>
    <col min="13336" max="13336" width="5" style="71" hidden="1"/>
    <col min="13337" max="13582" width="9.140625" style="71" hidden="1"/>
    <col min="13583" max="13583" width="34.42578125" style="71" hidden="1"/>
    <col min="13584" max="13584" width="8.42578125" style="71" hidden="1"/>
    <col min="13585" max="13585" width="4.85546875" style="71" hidden="1"/>
    <col min="13586" max="13586" width="11.28515625" style="71" hidden="1"/>
    <col min="13587" max="13587" width="4.85546875" style="71" hidden="1"/>
    <col min="13588" max="13588" width="8.42578125" style="71" hidden="1"/>
    <col min="13589" max="13589" width="4.85546875" style="71" hidden="1"/>
    <col min="13590" max="13590" width="11.5703125" style="71" hidden="1"/>
    <col min="13591" max="13591" width="8.85546875" style="71" hidden="1"/>
    <col min="13592" max="13592" width="5" style="71" hidden="1"/>
    <col min="13593" max="13838" width="9.140625" style="71" hidden="1"/>
    <col min="13839" max="13839" width="34.42578125" style="71" hidden="1"/>
    <col min="13840" max="13840" width="8.42578125" style="71" hidden="1"/>
    <col min="13841" max="13841" width="4.85546875" style="71" hidden="1"/>
    <col min="13842" max="13842" width="11.28515625" style="71" hidden="1"/>
    <col min="13843" max="13843" width="4.85546875" style="71" hidden="1"/>
    <col min="13844" max="13844" width="8.42578125" style="71" hidden="1"/>
    <col min="13845" max="13845" width="4.85546875" style="71" hidden="1"/>
    <col min="13846" max="13846" width="11.5703125" style="71" hidden="1"/>
    <col min="13847" max="13847" width="8.85546875" style="71" hidden="1"/>
    <col min="13848" max="13848" width="5" style="71" hidden="1"/>
    <col min="13849" max="14094" width="9.140625" style="71" hidden="1"/>
    <col min="14095" max="14095" width="34.42578125" style="71" hidden="1"/>
    <col min="14096" max="14096" width="8.42578125" style="71" hidden="1"/>
    <col min="14097" max="14097" width="4.85546875" style="71" hidden="1"/>
    <col min="14098" max="14098" width="11.28515625" style="71" hidden="1"/>
    <col min="14099" max="14099" width="4.85546875" style="71" hidden="1"/>
    <col min="14100" max="14100" width="8.42578125" style="71" hidden="1"/>
    <col min="14101" max="14101" width="4.85546875" style="71" hidden="1"/>
    <col min="14102" max="14102" width="11.5703125" style="71" hidden="1"/>
    <col min="14103" max="14103" width="8.85546875" style="71" hidden="1"/>
    <col min="14104" max="14104" width="5" style="71" hidden="1"/>
    <col min="14105" max="14350" width="9.140625" style="71" hidden="1"/>
    <col min="14351" max="14351" width="34.42578125" style="71" hidden="1"/>
    <col min="14352" max="14352" width="8.42578125" style="71" hidden="1"/>
    <col min="14353" max="14353" width="4.85546875" style="71" hidden="1"/>
    <col min="14354" max="14354" width="11.28515625" style="71" hidden="1"/>
    <col min="14355" max="14355" width="4.85546875" style="71" hidden="1"/>
    <col min="14356" max="14356" width="8.42578125" style="71" hidden="1"/>
    <col min="14357" max="14357" width="4.85546875" style="71" hidden="1"/>
    <col min="14358" max="14358" width="11.5703125" style="71" hidden="1"/>
    <col min="14359" max="14359" width="8.85546875" style="71" hidden="1"/>
    <col min="14360" max="14360" width="5" style="71" hidden="1"/>
    <col min="14361" max="14606" width="9.140625" style="71" hidden="1"/>
    <col min="14607" max="14607" width="34.42578125" style="71" hidden="1"/>
    <col min="14608" max="14608" width="8.42578125" style="71" hidden="1"/>
    <col min="14609" max="14609" width="4.85546875" style="71" hidden="1"/>
    <col min="14610" max="14610" width="11.28515625" style="71" hidden="1"/>
    <col min="14611" max="14611" width="4.85546875" style="71" hidden="1"/>
    <col min="14612" max="14612" width="8.42578125" style="71" hidden="1"/>
    <col min="14613" max="14613" width="4.85546875" style="71" hidden="1"/>
    <col min="14614" max="14614" width="11.5703125" style="71" hidden="1"/>
    <col min="14615" max="14615" width="8.85546875" style="71" hidden="1"/>
    <col min="14616" max="14616" width="5" style="71" hidden="1"/>
    <col min="14617" max="14862" width="9.140625" style="71" hidden="1"/>
    <col min="14863" max="14863" width="34.42578125" style="71" hidden="1"/>
    <col min="14864" max="14864" width="8.42578125" style="71" hidden="1"/>
    <col min="14865" max="14865" width="4.85546875" style="71" hidden="1"/>
    <col min="14866" max="14866" width="11.28515625" style="71" hidden="1"/>
    <col min="14867" max="14867" width="4.85546875" style="71" hidden="1"/>
    <col min="14868" max="14868" width="8.42578125" style="71" hidden="1"/>
    <col min="14869" max="14869" width="4.85546875" style="71" hidden="1"/>
    <col min="14870" max="14870" width="11.5703125" style="71" hidden="1"/>
    <col min="14871" max="14871" width="8.85546875" style="71" hidden="1"/>
    <col min="14872" max="14872" width="5" style="71" hidden="1"/>
    <col min="14873" max="15118" width="9.140625" style="71" hidden="1"/>
    <col min="15119" max="15119" width="34.42578125" style="71" hidden="1"/>
    <col min="15120" max="15120" width="8.42578125" style="71" hidden="1"/>
    <col min="15121" max="15121" width="4.85546875" style="71" hidden="1"/>
    <col min="15122" max="15122" width="11.28515625" style="71" hidden="1"/>
    <col min="15123" max="15123" width="4.85546875" style="71" hidden="1"/>
    <col min="15124" max="15124" width="8.42578125" style="71" hidden="1"/>
    <col min="15125" max="15125" width="4.85546875" style="71" hidden="1"/>
    <col min="15126" max="15126" width="11.5703125" style="71" hidden="1"/>
    <col min="15127" max="15127" width="8.85546875" style="71" hidden="1"/>
    <col min="15128" max="15128" width="5" style="71" hidden="1"/>
    <col min="15129" max="15374" width="9.140625" style="71" hidden="1"/>
    <col min="15375" max="15375" width="34.42578125" style="71" hidden="1"/>
    <col min="15376" max="15376" width="8.42578125" style="71" hidden="1"/>
    <col min="15377" max="15377" width="4.85546875" style="71" hidden="1"/>
    <col min="15378" max="15378" width="11.28515625" style="71" hidden="1"/>
    <col min="15379" max="15379" width="4.85546875" style="71" hidden="1"/>
    <col min="15380" max="15380" width="8.42578125" style="71" hidden="1"/>
    <col min="15381" max="15381" width="4.85546875" style="71" hidden="1"/>
    <col min="15382" max="15382" width="11.5703125" style="71" hidden="1"/>
    <col min="15383" max="15383" width="8.85546875" style="71" hidden="1"/>
    <col min="15384" max="15384" width="5" style="71" hidden="1"/>
    <col min="15385" max="15630" width="9.140625" style="71" hidden="1"/>
    <col min="15631" max="15631" width="34.42578125" style="71" hidden="1"/>
    <col min="15632" max="15632" width="8.42578125" style="71" hidden="1"/>
    <col min="15633" max="15633" width="4.85546875" style="71" hidden="1"/>
    <col min="15634" max="15634" width="11.28515625" style="71" hidden="1"/>
    <col min="15635" max="15635" width="4.85546875" style="71" hidden="1"/>
    <col min="15636" max="15636" width="8.42578125" style="71" hidden="1"/>
    <col min="15637" max="15637" width="4.85546875" style="71" hidden="1"/>
    <col min="15638" max="15638" width="11.5703125" style="71" hidden="1"/>
    <col min="15639" max="15639" width="8.85546875" style="71" hidden="1"/>
    <col min="15640" max="15640" width="5" style="71" hidden="1"/>
    <col min="15641" max="15886" width="9.140625" style="71" hidden="1"/>
    <col min="15887" max="15887" width="34.42578125" style="71" hidden="1"/>
    <col min="15888" max="15888" width="8.42578125" style="71" hidden="1"/>
    <col min="15889" max="15889" width="4.85546875" style="71" hidden="1"/>
    <col min="15890" max="15890" width="11.28515625" style="71" hidden="1"/>
    <col min="15891" max="15891" width="4.85546875" style="71" hidden="1"/>
    <col min="15892" max="15892" width="8.42578125" style="71" hidden="1"/>
    <col min="15893" max="15893" width="4.85546875" style="71" hidden="1"/>
    <col min="15894" max="15894" width="11.5703125" style="71" hidden="1"/>
    <col min="15895" max="15895" width="8.85546875" style="71" hidden="1"/>
    <col min="15896" max="15896" width="5" style="71" hidden="1"/>
    <col min="15897" max="16142" width="9.140625" style="71" hidden="1"/>
    <col min="16143" max="16143" width="34.42578125" style="71" hidden="1"/>
    <col min="16144" max="16144" width="8.42578125" style="71" hidden="1"/>
    <col min="16145" max="16145" width="4.85546875" style="71" hidden="1"/>
    <col min="16146" max="16146" width="11.28515625" style="71" hidden="1"/>
    <col min="16147" max="16147" width="4.85546875" style="71" hidden="1"/>
    <col min="16148" max="16148" width="8.42578125" style="71" hidden="1"/>
    <col min="16149" max="16149" width="4.85546875" style="71" hidden="1"/>
    <col min="16150" max="16150" width="11.5703125" style="71" hidden="1"/>
    <col min="16151" max="16151" width="8.85546875" style="71" hidden="1"/>
    <col min="16152" max="16152" width="5" style="71" hidden="1"/>
    <col min="16153" max="16384" width="9.140625" style="71" hidden="1"/>
  </cols>
  <sheetData>
    <row r="1" spans="1:41" s="16" customFormat="1" ht="15.75" x14ac:dyDescent="0.2">
      <c r="B1" s="47"/>
      <c r="C1" s="47"/>
      <c r="D1" s="47"/>
      <c r="E1" s="47"/>
      <c r="F1" s="47"/>
      <c r="G1" s="47"/>
      <c r="H1" s="47"/>
      <c r="I1" s="47"/>
      <c r="J1" s="47"/>
      <c r="K1" s="47"/>
      <c r="L1" s="312"/>
      <c r="M1" s="47"/>
    </row>
    <row r="2" spans="1:41" s="16" customFormat="1" ht="26.25" x14ac:dyDescent="0.2">
      <c r="B2" s="42"/>
      <c r="C2" s="42"/>
      <c r="D2" s="42"/>
      <c r="E2" s="42"/>
      <c r="F2" s="42"/>
      <c r="G2" s="42"/>
      <c r="H2" s="42"/>
      <c r="I2" s="42"/>
      <c r="J2" s="42"/>
      <c r="K2" s="42"/>
      <c r="L2" s="226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spans="1:41" s="16" customFormat="1" ht="18.75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L3" s="227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spans="1:41" ht="26.25" x14ac:dyDescent="0.2">
      <c r="A4" s="42" t="s">
        <v>4</v>
      </c>
      <c r="Q4" s="74"/>
    </row>
    <row r="5" spans="1:41" ht="18.75" x14ac:dyDescent="0.2">
      <c r="A5" s="44" t="s">
        <v>167</v>
      </c>
      <c r="D5" s="21" t="str">
        <f>"4T "&amp;D7</f>
        <v>4T 2019</v>
      </c>
      <c r="E5" s="21" t="str">
        <f>"4T "&amp;E7</f>
        <v>4T 2020</v>
      </c>
      <c r="F5" s="21" t="str">
        <f>"4T "&amp;F7</f>
        <v>4T 2021</v>
      </c>
      <c r="G5" s="21" t="str">
        <f>"4T "&amp;G7</f>
        <v>4T 2022</v>
      </c>
      <c r="H5" s="21" t="str">
        <f>"4T "&amp;H7</f>
        <v>4T 2023</v>
      </c>
      <c r="I5" s="21" t="s">
        <v>300</v>
      </c>
      <c r="J5" s="21" t="s">
        <v>320</v>
      </c>
      <c r="N5" s="48" t="str">
        <f>RIGHT(N7,4)</f>
        <v>2019</v>
      </c>
      <c r="O5" s="48" t="str">
        <f t="shared" ref="O5:Z5" si="0">RIGHT(O7,4)</f>
        <v>2019</v>
      </c>
      <c r="P5" s="48" t="str">
        <f t="shared" si="0"/>
        <v>2019</v>
      </c>
      <c r="Q5" s="48" t="str">
        <f t="shared" si="0"/>
        <v>2019</v>
      </c>
      <c r="R5" s="48" t="str">
        <f t="shared" si="0"/>
        <v>2020</v>
      </c>
      <c r="S5" s="48" t="str">
        <f t="shared" si="0"/>
        <v>2020</v>
      </c>
      <c r="T5" s="48" t="str">
        <f t="shared" si="0"/>
        <v>2020</v>
      </c>
      <c r="U5" s="48" t="str">
        <f t="shared" si="0"/>
        <v>2020</v>
      </c>
      <c r="V5" s="48" t="str">
        <f t="shared" si="0"/>
        <v>2021</v>
      </c>
      <c r="W5" s="48" t="str">
        <f t="shared" si="0"/>
        <v>2021</v>
      </c>
      <c r="X5" s="48" t="str">
        <f t="shared" si="0"/>
        <v>2021</v>
      </c>
      <c r="Y5" s="48" t="str">
        <f t="shared" si="0"/>
        <v>2021</v>
      </c>
      <c r="Z5" s="48" t="str">
        <f t="shared" si="0"/>
        <v>2022</v>
      </c>
      <c r="AA5" s="48" t="str">
        <f t="shared" ref="AA5:AB5" si="1">RIGHT(AA7,4)</f>
        <v>2022</v>
      </c>
      <c r="AB5" s="48" t="str">
        <f t="shared" si="1"/>
        <v>2022</v>
      </c>
      <c r="AC5" s="48">
        <v>2022</v>
      </c>
      <c r="AD5" s="48">
        <v>2023</v>
      </c>
      <c r="AE5" s="48">
        <v>2023</v>
      </c>
      <c r="AF5" s="48">
        <v>2023</v>
      </c>
      <c r="AG5" s="48">
        <v>2023</v>
      </c>
      <c r="AH5" s="48">
        <v>2024</v>
      </c>
      <c r="AI5" s="48">
        <v>2024</v>
      </c>
      <c r="AJ5" s="48">
        <v>2024</v>
      </c>
      <c r="AK5" s="48">
        <v>2024</v>
      </c>
      <c r="AL5" s="48">
        <v>2025</v>
      </c>
      <c r="AM5" s="48">
        <v>2025</v>
      </c>
      <c r="AN5" s="48">
        <v>2025</v>
      </c>
      <c r="AO5" s="48">
        <v>2025</v>
      </c>
    </row>
    <row r="6" spans="1:41" s="1" customFormat="1" ht="5.25" customHeight="1" x14ac:dyDescent="0.2">
      <c r="B6" s="15"/>
      <c r="C6" s="15"/>
      <c r="D6" s="22"/>
      <c r="E6" s="22"/>
      <c r="F6" s="22"/>
      <c r="G6" s="22"/>
      <c r="H6" s="22"/>
      <c r="I6" s="22"/>
      <c r="J6" s="22"/>
      <c r="K6" s="15"/>
      <c r="L6" s="319"/>
      <c r="M6" s="15"/>
      <c r="N6" s="22"/>
      <c r="O6" s="22"/>
      <c r="P6" s="22"/>
      <c r="Q6" s="22"/>
      <c r="R6" s="15"/>
      <c r="S6" s="22"/>
      <c r="T6" s="22"/>
      <c r="U6" s="22"/>
      <c r="V6" s="15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ht="15.75" x14ac:dyDescent="0.2">
      <c r="A7" s="22" t="s">
        <v>7</v>
      </c>
      <c r="B7" s="75"/>
      <c r="C7" s="75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75"/>
      <c r="L7" s="320"/>
      <c r="M7" s="75"/>
      <c r="N7" s="9" t="s">
        <v>8</v>
      </c>
      <c r="O7" s="9" t="s">
        <v>9</v>
      </c>
      <c r="P7" s="9" t="s">
        <v>10</v>
      </c>
      <c r="Q7" s="9" t="s">
        <v>11</v>
      </c>
      <c r="R7" s="9" t="s">
        <v>12</v>
      </c>
      <c r="S7" s="9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18</v>
      </c>
      <c r="Y7" s="9" t="s">
        <v>19</v>
      </c>
      <c r="Z7" s="9" t="s">
        <v>20</v>
      </c>
      <c r="AA7" s="9" t="s">
        <v>21</v>
      </c>
      <c r="AB7" s="9" t="s">
        <v>22</v>
      </c>
      <c r="AC7" s="9" t="s">
        <v>23</v>
      </c>
      <c r="AD7" s="9" t="s">
        <v>251</v>
      </c>
      <c r="AE7" s="9" t="s">
        <v>254</v>
      </c>
      <c r="AF7" s="9" t="s">
        <v>263</v>
      </c>
      <c r="AG7" s="9" t="s">
        <v>283</v>
      </c>
      <c r="AH7" s="9" t="s">
        <v>288</v>
      </c>
      <c r="AI7" s="9" t="s">
        <v>296</v>
      </c>
      <c r="AJ7" s="9" t="s">
        <v>298</v>
      </c>
      <c r="AK7" s="9" t="s">
        <v>300</v>
      </c>
      <c r="AL7" s="9" t="s">
        <v>304</v>
      </c>
      <c r="AM7" s="9" t="s">
        <v>312</v>
      </c>
      <c r="AN7" s="9" t="s">
        <v>318</v>
      </c>
      <c r="AO7" s="9" t="s">
        <v>320</v>
      </c>
    </row>
    <row r="8" spans="1:41" s="1" customFormat="1" ht="5.25" customHeigh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319"/>
      <c r="M8" s="15"/>
      <c r="N8" s="22"/>
      <c r="O8" s="22"/>
      <c r="P8" s="22"/>
      <c r="Q8" s="22"/>
      <c r="R8" s="15"/>
      <c r="S8" s="22"/>
      <c r="T8" s="22"/>
      <c r="U8" s="22"/>
      <c r="V8" s="15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41" s="1" customFormat="1" ht="5.25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319"/>
      <c r="M9" s="15"/>
      <c r="N9" s="22"/>
      <c r="O9" s="22"/>
      <c r="P9" s="22"/>
      <c r="Q9" s="22"/>
      <c r="R9" s="15"/>
      <c r="S9" s="22"/>
      <c r="T9" s="22"/>
      <c r="U9" s="22"/>
      <c r="V9" s="1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41" s="185" customFormat="1" ht="15.75" x14ac:dyDescent="0.2">
      <c r="A10" s="184" t="s">
        <v>168</v>
      </c>
      <c r="D10" s="186">
        <f t="shared" ref="D10:J10" si="2">D12+D25</f>
        <v>265508</v>
      </c>
      <c r="E10" s="186">
        <f t="shared" si="2"/>
        <v>55466</v>
      </c>
      <c r="F10" s="186">
        <f t="shared" si="2"/>
        <v>91384</v>
      </c>
      <c r="G10" s="186">
        <f t="shared" si="2"/>
        <v>273464</v>
      </c>
      <c r="H10" s="186">
        <f t="shared" si="2"/>
        <v>54895</v>
      </c>
      <c r="I10" s="186">
        <f t="shared" si="2"/>
        <v>184625</v>
      </c>
      <c r="J10" s="186">
        <f t="shared" si="2"/>
        <v>231302</v>
      </c>
      <c r="L10" s="331"/>
      <c r="N10" s="186">
        <f t="shared" ref="N10:AO10" si="3">N12+N25</f>
        <v>295218</v>
      </c>
      <c r="O10" s="186">
        <f t="shared" si="3"/>
        <v>342791</v>
      </c>
      <c r="P10" s="186">
        <f t="shared" si="3"/>
        <v>200268</v>
      </c>
      <c r="Q10" s="186">
        <f t="shared" si="3"/>
        <v>265508</v>
      </c>
      <c r="R10" s="186">
        <f t="shared" si="3"/>
        <v>257828</v>
      </c>
      <c r="S10" s="186">
        <f t="shared" si="3"/>
        <v>219141</v>
      </c>
      <c r="T10" s="186">
        <f t="shared" si="3"/>
        <v>101033</v>
      </c>
      <c r="U10" s="186">
        <f t="shared" si="3"/>
        <v>55466</v>
      </c>
      <c r="V10" s="186">
        <f t="shared" si="3"/>
        <v>24115</v>
      </c>
      <c r="W10" s="186">
        <f t="shared" si="3"/>
        <v>40817</v>
      </c>
      <c r="X10" s="186">
        <f t="shared" si="3"/>
        <v>75536</v>
      </c>
      <c r="Y10" s="186">
        <f t="shared" si="3"/>
        <v>91384</v>
      </c>
      <c r="Z10" s="186">
        <f t="shared" si="3"/>
        <v>83965</v>
      </c>
      <c r="AA10" s="186">
        <f t="shared" si="3"/>
        <v>118369</v>
      </c>
      <c r="AB10" s="186">
        <f t="shared" si="3"/>
        <v>234361</v>
      </c>
      <c r="AC10" s="186">
        <f t="shared" si="3"/>
        <v>273464</v>
      </c>
      <c r="AD10" s="186">
        <f t="shared" si="3"/>
        <v>242953</v>
      </c>
      <c r="AE10" s="186">
        <f t="shared" si="3"/>
        <v>253729</v>
      </c>
      <c r="AF10" s="186">
        <f t="shared" si="3"/>
        <v>23462</v>
      </c>
      <c r="AG10" s="186">
        <f t="shared" si="3"/>
        <v>54895</v>
      </c>
      <c r="AH10" s="186">
        <f t="shared" si="3"/>
        <v>86377</v>
      </c>
      <c r="AI10" s="186">
        <f t="shared" si="3"/>
        <v>148323</v>
      </c>
      <c r="AJ10" s="186">
        <f t="shared" si="3"/>
        <v>147137</v>
      </c>
      <c r="AK10" s="186">
        <f t="shared" si="3"/>
        <v>184625</v>
      </c>
      <c r="AL10" s="186">
        <f t="shared" si="3"/>
        <v>132931</v>
      </c>
      <c r="AM10" s="186">
        <f t="shared" si="3"/>
        <v>159386</v>
      </c>
      <c r="AN10" s="186">
        <f t="shared" si="3"/>
        <v>186556</v>
      </c>
      <c r="AO10" s="186">
        <f t="shared" si="3"/>
        <v>231302</v>
      </c>
    </row>
    <row r="11" spans="1:41" ht="15.75" x14ac:dyDescent="0.2">
      <c r="A11" s="90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321"/>
      <c r="M11" s="82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</row>
    <row r="12" spans="1:41" s="185" customFormat="1" ht="15.75" x14ac:dyDescent="0.2">
      <c r="A12" s="187" t="s">
        <v>169</v>
      </c>
      <c r="D12" s="188">
        <f t="shared" ref="D12:J12" si="4">SUM(D13:D23)</f>
        <v>241983</v>
      </c>
      <c r="E12" s="188">
        <f t="shared" si="4"/>
        <v>33960</v>
      </c>
      <c r="F12" s="188">
        <f t="shared" si="4"/>
        <v>62936</v>
      </c>
      <c r="G12" s="188">
        <f t="shared" si="4"/>
        <v>233166</v>
      </c>
      <c r="H12" s="188">
        <f t="shared" si="4"/>
        <v>47619</v>
      </c>
      <c r="I12" s="188">
        <f t="shared" si="4"/>
        <v>149144</v>
      </c>
      <c r="J12" s="188">
        <f t="shared" si="4"/>
        <v>208648</v>
      </c>
      <c r="L12" s="305"/>
      <c r="N12" s="188">
        <f t="shared" ref="N12:AO12" si="5">SUM(N13:N23)</f>
        <v>165049</v>
      </c>
      <c r="O12" s="188">
        <f t="shared" si="5"/>
        <v>202075</v>
      </c>
      <c r="P12" s="188">
        <f t="shared" si="5"/>
        <v>118146</v>
      </c>
      <c r="Q12" s="188">
        <f t="shared" si="5"/>
        <v>241983</v>
      </c>
      <c r="R12" s="188">
        <f t="shared" si="5"/>
        <v>215986</v>
      </c>
      <c r="S12" s="188">
        <f t="shared" si="5"/>
        <v>173487</v>
      </c>
      <c r="T12" s="188">
        <f t="shared" si="5"/>
        <v>57118</v>
      </c>
      <c r="U12" s="188">
        <f t="shared" si="5"/>
        <v>33960</v>
      </c>
      <c r="V12" s="188">
        <f t="shared" si="5"/>
        <v>18257</v>
      </c>
      <c r="W12" s="188">
        <f t="shared" si="5"/>
        <v>23232</v>
      </c>
      <c r="X12" s="188">
        <f t="shared" si="5"/>
        <v>48049</v>
      </c>
      <c r="Y12" s="188">
        <f t="shared" si="5"/>
        <v>62936</v>
      </c>
      <c r="Z12" s="188">
        <f t="shared" si="5"/>
        <v>59787</v>
      </c>
      <c r="AA12" s="188">
        <f t="shared" si="5"/>
        <v>70770</v>
      </c>
      <c r="AB12" s="188">
        <f t="shared" si="5"/>
        <v>193090</v>
      </c>
      <c r="AC12" s="188">
        <f t="shared" si="5"/>
        <v>233166</v>
      </c>
      <c r="AD12" s="188">
        <f t="shared" si="5"/>
        <v>208541</v>
      </c>
      <c r="AE12" s="188">
        <f t="shared" si="5"/>
        <v>253729</v>
      </c>
      <c r="AF12" s="188">
        <f t="shared" si="5"/>
        <v>23462</v>
      </c>
      <c r="AG12" s="188">
        <f t="shared" si="5"/>
        <v>47619</v>
      </c>
      <c r="AH12" s="188">
        <f t="shared" si="5"/>
        <v>71173</v>
      </c>
      <c r="AI12" s="188">
        <f t="shared" si="5"/>
        <v>108849</v>
      </c>
      <c r="AJ12" s="188">
        <f t="shared" si="5"/>
        <v>107806</v>
      </c>
      <c r="AK12" s="188">
        <f t="shared" si="5"/>
        <v>149144</v>
      </c>
      <c r="AL12" s="188">
        <f t="shared" si="5"/>
        <v>108798</v>
      </c>
      <c r="AM12" s="188">
        <f t="shared" si="5"/>
        <v>148419</v>
      </c>
      <c r="AN12" s="188">
        <f t="shared" si="5"/>
        <v>164956</v>
      </c>
      <c r="AO12" s="188">
        <f t="shared" si="5"/>
        <v>208648</v>
      </c>
    </row>
    <row r="13" spans="1:41" ht="15.75" x14ac:dyDescent="0.2">
      <c r="A13" s="220" t="s">
        <v>170</v>
      </c>
      <c r="B13" s="83"/>
      <c r="C13" s="83"/>
      <c r="D13" s="178">
        <f t="shared" ref="D13:G23" si="6">INDEX($N13:$AC13,MATCH(D$5,$N$7:$AC$7,0))</f>
        <v>1326</v>
      </c>
      <c r="E13" s="178">
        <f t="shared" si="6"/>
        <v>970</v>
      </c>
      <c r="F13" s="178">
        <f t="shared" si="6"/>
        <v>5788</v>
      </c>
      <c r="G13" s="178">
        <f t="shared" si="6"/>
        <v>7235</v>
      </c>
      <c r="H13" s="178">
        <f>INDEX($N13:$AG13,MATCH(H$5,$N$7:$AG$7,0))</f>
        <v>8094</v>
      </c>
      <c r="I13" s="178">
        <f>INDEX($N13:$AP13,MATCH(I$5,$N$7:$AP$7,0))</f>
        <v>33136</v>
      </c>
      <c r="J13" s="178">
        <f>INDEX($N13:$AP13,MATCH(J$5,$N$7:$AP$7,0))</f>
        <v>44116</v>
      </c>
      <c r="K13" s="83"/>
      <c r="L13" s="322"/>
      <c r="M13" s="83"/>
      <c r="N13" s="176">
        <v>1656</v>
      </c>
      <c r="O13" s="176">
        <v>1281</v>
      </c>
      <c r="P13" s="176">
        <v>1324</v>
      </c>
      <c r="Q13" s="176">
        <v>1326</v>
      </c>
      <c r="R13" s="176">
        <v>1326</v>
      </c>
      <c r="S13" s="176">
        <v>1282</v>
      </c>
      <c r="T13" s="176">
        <v>1139</v>
      </c>
      <c r="U13" s="176">
        <v>970</v>
      </c>
      <c r="V13" s="176">
        <v>698</v>
      </c>
      <c r="W13" s="176">
        <v>632</v>
      </c>
      <c r="X13" s="176">
        <v>488</v>
      </c>
      <c r="Y13" s="176">
        <v>5788</v>
      </c>
      <c r="Z13" s="176">
        <v>13649</v>
      </c>
      <c r="AA13" s="176">
        <v>4863</v>
      </c>
      <c r="AB13" s="176">
        <v>8556</v>
      </c>
      <c r="AC13" s="176">
        <v>7235</v>
      </c>
      <c r="AD13" s="176">
        <v>14775</v>
      </c>
      <c r="AE13" s="176">
        <v>13822</v>
      </c>
      <c r="AF13" s="176">
        <v>10323</v>
      </c>
      <c r="AG13" s="176">
        <v>8094</v>
      </c>
      <c r="AH13" s="176">
        <v>14825</v>
      </c>
      <c r="AI13" s="176">
        <v>22720</v>
      </c>
      <c r="AJ13" s="176">
        <v>23416</v>
      </c>
      <c r="AK13" s="176">
        <v>33136</v>
      </c>
      <c r="AL13" s="176">
        <v>44953</v>
      </c>
      <c r="AM13" s="176">
        <v>41507</v>
      </c>
      <c r="AN13" s="176">
        <v>46838</v>
      </c>
      <c r="AO13" s="176">
        <v>44116</v>
      </c>
    </row>
    <row r="14" spans="1:41" ht="15.75" x14ac:dyDescent="0.2">
      <c r="A14" s="220" t="s">
        <v>171</v>
      </c>
      <c r="B14" s="83"/>
      <c r="C14" s="83"/>
      <c r="D14" s="178">
        <f t="shared" si="6"/>
        <v>99312</v>
      </c>
      <c r="E14" s="178">
        <f t="shared" si="6"/>
        <v>19926</v>
      </c>
      <c r="F14" s="178">
        <f t="shared" si="6"/>
        <v>34906</v>
      </c>
      <c r="G14" s="178">
        <f t="shared" si="6"/>
        <v>0</v>
      </c>
      <c r="H14" s="178">
        <f t="shared" ref="H14:H23" si="7">INDEX($N14:$AG14,MATCH(H$5,$N$7:$AG$7,0))</f>
        <v>6201</v>
      </c>
      <c r="I14" s="178">
        <f t="shared" ref="I14:J23" si="8">INDEX($N14:$AP14,MATCH(I$5,$N$7:$AP$7,0))</f>
        <v>86790</v>
      </c>
      <c r="J14" s="178">
        <f t="shared" si="8"/>
        <v>105844</v>
      </c>
      <c r="K14" s="83"/>
      <c r="L14" s="322"/>
      <c r="M14" s="83"/>
      <c r="N14" s="176">
        <v>100878</v>
      </c>
      <c r="O14" s="176">
        <v>134967</v>
      </c>
      <c r="P14" s="176">
        <v>98208</v>
      </c>
      <c r="Q14" s="176">
        <v>99312</v>
      </c>
      <c r="R14" s="176">
        <v>102628</v>
      </c>
      <c r="S14" s="176">
        <v>87402</v>
      </c>
      <c r="T14" s="176">
        <v>35247</v>
      </c>
      <c r="U14" s="176">
        <v>19926</v>
      </c>
      <c r="V14" s="176">
        <v>13949</v>
      </c>
      <c r="W14" s="176">
        <v>7688</v>
      </c>
      <c r="X14" s="176">
        <v>36493</v>
      </c>
      <c r="Y14" s="176">
        <v>34906</v>
      </c>
      <c r="Z14" s="176">
        <v>33881</v>
      </c>
      <c r="AA14" s="176">
        <v>33894</v>
      </c>
      <c r="AB14" s="176">
        <v>0</v>
      </c>
      <c r="AC14" s="176">
        <v>0</v>
      </c>
      <c r="AD14" s="176">
        <v>0</v>
      </c>
      <c r="AE14" s="176">
        <v>0</v>
      </c>
      <c r="AF14" s="176">
        <v>1912</v>
      </c>
      <c r="AG14" s="176">
        <v>6201</v>
      </c>
      <c r="AH14" s="176">
        <v>48186</v>
      </c>
      <c r="AI14" s="176">
        <v>57684</v>
      </c>
      <c r="AJ14" s="176">
        <v>76416</v>
      </c>
      <c r="AK14" s="176">
        <v>86790</v>
      </c>
      <c r="AL14" s="176">
        <v>55233</v>
      </c>
      <c r="AM14" s="176">
        <v>62949</v>
      </c>
      <c r="AN14" s="176">
        <v>97217</v>
      </c>
      <c r="AO14" s="176">
        <v>105844</v>
      </c>
    </row>
    <row r="15" spans="1:41" ht="15.75" x14ac:dyDescent="0.2">
      <c r="A15" s="221" t="s">
        <v>172</v>
      </c>
      <c r="B15" s="83"/>
      <c r="C15" s="83"/>
      <c r="D15" s="178">
        <f t="shared" si="6"/>
        <v>1381</v>
      </c>
      <c r="E15" s="178">
        <f t="shared" si="6"/>
        <v>1096</v>
      </c>
      <c r="F15" s="178">
        <f t="shared" si="6"/>
        <v>0</v>
      </c>
      <c r="G15" s="178">
        <f t="shared" si="6"/>
        <v>0</v>
      </c>
      <c r="H15" s="178">
        <f t="shared" si="7"/>
        <v>0</v>
      </c>
      <c r="I15" s="178">
        <f t="shared" si="8"/>
        <v>0</v>
      </c>
      <c r="J15" s="178">
        <f t="shared" si="8"/>
        <v>0</v>
      </c>
      <c r="K15" s="83"/>
      <c r="L15" s="322"/>
      <c r="M15" s="83"/>
      <c r="N15" s="176">
        <v>1288</v>
      </c>
      <c r="O15" s="176">
        <v>1171</v>
      </c>
      <c r="P15" s="176">
        <v>1238</v>
      </c>
      <c r="Q15" s="176">
        <v>1381</v>
      </c>
      <c r="R15" s="176">
        <v>1598</v>
      </c>
      <c r="S15" s="176">
        <v>1431</v>
      </c>
      <c r="T15" s="176">
        <v>1266</v>
      </c>
      <c r="U15" s="176">
        <v>1096</v>
      </c>
      <c r="V15" s="176">
        <v>0</v>
      </c>
      <c r="W15" s="176">
        <v>0</v>
      </c>
      <c r="X15" s="176">
        <v>0</v>
      </c>
      <c r="Y15" s="176">
        <v>0</v>
      </c>
      <c r="Z15" s="176">
        <v>0</v>
      </c>
      <c r="AA15" s="176">
        <v>0</v>
      </c>
      <c r="AB15" s="176">
        <v>0</v>
      </c>
      <c r="AC15" s="176">
        <v>0</v>
      </c>
      <c r="AD15" s="176">
        <v>0</v>
      </c>
      <c r="AE15" s="176">
        <v>0</v>
      </c>
      <c r="AF15" s="176">
        <v>0</v>
      </c>
      <c r="AG15" s="176">
        <v>0</v>
      </c>
      <c r="AH15" s="176">
        <v>0</v>
      </c>
      <c r="AI15" s="176">
        <v>0</v>
      </c>
      <c r="AJ15" s="176">
        <v>0</v>
      </c>
      <c r="AK15" s="176">
        <v>0</v>
      </c>
      <c r="AL15" s="176">
        <v>0</v>
      </c>
      <c r="AM15" s="176">
        <v>0</v>
      </c>
      <c r="AN15" s="176">
        <v>0</v>
      </c>
      <c r="AO15" s="176">
        <v>0</v>
      </c>
    </row>
    <row r="16" spans="1:41" ht="15.75" x14ac:dyDescent="0.2">
      <c r="A16" s="220" t="s">
        <v>173</v>
      </c>
      <c r="B16" s="83"/>
      <c r="C16" s="83"/>
      <c r="D16" s="178">
        <f t="shared" si="6"/>
        <v>0</v>
      </c>
      <c r="E16" s="178">
        <f t="shared" si="6"/>
        <v>0</v>
      </c>
      <c r="F16" s="178">
        <f t="shared" si="6"/>
        <v>0</v>
      </c>
      <c r="G16" s="178">
        <f t="shared" si="6"/>
        <v>0</v>
      </c>
      <c r="H16" s="178">
        <f t="shared" si="7"/>
        <v>0</v>
      </c>
      <c r="I16" s="178">
        <f t="shared" si="8"/>
        <v>0</v>
      </c>
      <c r="J16" s="178">
        <f t="shared" si="8"/>
        <v>0</v>
      </c>
      <c r="K16" s="83"/>
      <c r="L16" s="322"/>
      <c r="M16" s="83"/>
      <c r="N16" s="176">
        <v>50356</v>
      </c>
      <c r="O16" s="176">
        <v>53767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v>0</v>
      </c>
      <c r="AE16" s="176">
        <v>0</v>
      </c>
      <c r="AF16" s="176">
        <v>0</v>
      </c>
      <c r="AG16" s="176">
        <v>0</v>
      </c>
      <c r="AH16" s="176">
        <v>0</v>
      </c>
      <c r="AI16" s="176">
        <v>0</v>
      </c>
      <c r="AJ16" s="176">
        <v>0</v>
      </c>
      <c r="AK16" s="176">
        <v>0</v>
      </c>
      <c r="AL16" s="176">
        <v>0</v>
      </c>
      <c r="AM16" s="176">
        <v>0</v>
      </c>
      <c r="AN16" s="176">
        <v>0</v>
      </c>
      <c r="AO16" s="176">
        <v>0</v>
      </c>
    </row>
    <row r="17" spans="1:41" ht="15.75" x14ac:dyDescent="0.2">
      <c r="A17" s="220" t="s">
        <v>174</v>
      </c>
      <c r="B17" s="83"/>
      <c r="C17" s="83"/>
      <c r="D17" s="178">
        <f t="shared" si="6"/>
        <v>10888</v>
      </c>
      <c r="E17" s="178">
        <f t="shared" si="6"/>
        <v>0</v>
      </c>
      <c r="F17" s="178">
        <f t="shared" si="6"/>
        <v>0</v>
      </c>
      <c r="G17" s="178">
        <f t="shared" si="6"/>
        <v>0</v>
      </c>
      <c r="H17" s="178">
        <f t="shared" si="7"/>
        <v>0</v>
      </c>
      <c r="I17" s="178">
        <f t="shared" si="8"/>
        <v>0</v>
      </c>
      <c r="J17" s="178">
        <f t="shared" si="8"/>
        <v>0</v>
      </c>
      <c r="K17" s="83"/>
      <c r="L17" s="322"/>
      <c r="M17" s="83"/>
      <c r="N17" s="176">
        <v>10871</v>
      </c>
      <c r="O17" s="176">
        <v>10889</v>
      </c>
      <c r="P17" s="176">
        <v>10894</v>
      </c>
      <c r="Q17" s="176">
        <v>10888</v>
      </c>
      <c r="R17" s="176">
        <v>10875</v>
      </c>
      <c r="S17" s="176">
        <v>11197</v>
      </c>
      <c r="T17" s="176">
        <v>15525</v>
      </c>
      <c r="U17" s="176">
        <v>0</v>
      </c>
      <c r="V17" s="176">
        <v>0</v>
      </c>
      <c r="W17" s="176">
        <v>0</v>
      </c>
      <c r="X17" s="176">
        <v>0</v>
      </c>
      <c r="Y17" s="176">
        <v>0</v>
      </c>
      <c r="Z17" s="176">
        <v>0</v>
      </c>
      <c r="AA17" s="176">
        <v>0</v>
      </c>
      <c r="AB17" s="176">
        <v>0</v>
      </c>
      <c r="AC17" s="176">
        <v>0</v>
      </c>
      <c r="AD17" s="176">
        <v>0</v>
      </c>
      <c r="AE17" s="176">
        <v>0</v>
      </c>
      <c r="AF17" s="176">
        <v>0</v>
      </c>
      <c r="AG17" s="176">
        <v>0</v>
      </c>
      <c r="AH17" s="176">
        <v>0</v>
      </c>
      <c r="AI17" s="176">
        <v>0</v>
      </c>
      <c r="AJ17" s="176">
        <v>0</v>
      </c>
      <c r="AK17" s="176">
        <v>0</v>
      </c>
      <c r="AL17" s="176">
        <v>0</v>
      </c>
      <c r="AM17" s="176">
        <v>0</v>
      </c>
      <c r="AN17" s="176">
        <v>0</v>
      </c>
      <c r="AO17" s="176">
        <v>0</v>
      </c>
    </row>
    <row r="18" spans="1:41" ht="15.75" x14ac:dyDescent="0.2">
      <c r="A18" s="220" t="s">
        <v>175</v>
      </c>
      <c r="B18" s="83"/>
      <c r="C18" s="83"/>
      <c r="D18" s="178">
        <f t="shared" si="6"/>
        <v>110884</v>
      </c>
      <c r="E18" s="178">
        <f t="shared" si="6"/>
        <v>0</v>
      </c>
      <c r="F18" s="178">
        <f t="shared" si="6"/>
        <v>0</v>
      </c>
      <c r="G18" s="178">
        <f t="shared" si="6"/>
        <v>0</v>
      </c>
      <c r="H18" s="178">
        <f t="shared" si="7"/>
        <v>0</v>
      </c>
      <c r="I18" s="178">
        <f t="shared" si="8"/>
        <v>0</v>
      </c>
      <c r="J18" s="178">
        <f t="shared" si="8"/>
        <v>0</v>
      </c>
      <c r="K18" s="83"/>
      <c r="L18" s="322"/>
      <c r="M18" s="83"/>
      <c r="N18" s="176">
        <v>0</v>
      </c>
      <c r="O18" s="176">
        <v>0</v>
      </c>
      <c r="P18" s="176">
        <v>0</v>
      </c>
      <c r="Q18" s="176">
        <v>110884</v>
      </c>
      <c r="R18" s="176">
        <v>93614</v>
      </c>
      <c r="S18" s="176">
        <v>56955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6">
        <v>0</v>
      </c>
      <c r="Z18" s="176">
        <v>0</v>
      </c>
      <c r="AA18" s="176">
        <v>0</v>
      </c>
      <c r="AB18" s="176">
        <v>0</v>
      </c>
      <c r="AC18" s="176">
        <v>0</v>
      </c>
      <c r="AD18" s="176">
        <v>0</v>
      </c>
      <c r="AE18" s="176">
        <v>0</v>
      </c>
      <c r="AF18" s="176">
        <v>0</v>
      </c>
      <c r="AG18" s="176">
        <v>0</v>
      </c>
      <c r="AH18" s="176">
        <v>0</v>
      </c>
      <c r="AI18" s="176">
        <v>0</v>
      </c>
      <c r="AJ18" s="176">
        <v>0</v>
      </c>
      <c r="AK18" s="176">
        <v>0</v>
      </c>
      <c r="AL18" s="176">
        <v>0</v>
      </c>
      <c r="AM18" s="176">
        <v>0</v>
      </c>
      <c r="AN18" s="176">
        <v>0</v>
      </c>
      <c r="AO18" s="176">
        <v>0</v>
      </c>
    </row>
    <row r="19" spans="1:41" ht="15.75" x14ac:dyDescent="0.2">
      <c r="A19" s="220" t="s">
        <v>176</v>
      </c>
      <c r="B19" s="83"/>
      <c r="C19" s="83"/>
      <c r="D19" s="178">
        <f t="shared" si="6"/>
        <v>18192</v>
      </c>
      <c r="E19" s="178">
        <f t="shared" si="6"/>
        <v>11968</v>
      </c>
      <c r="F19" s="178">
        <f t="shared" si="6"/>
        <v>22072</v>
      </c>
      <c r="G19" s="178">
        <f t="shared" si="6"/>
        <v>206333</v>
      </c>
      <c r="H19" s="178">
        <f t="shared" si="7"/>
        <v>0</v>
      </c>
      <c r="I19" s="178">
        <f t="shared" si="8"/>
        <v>0</v>
      </c>
      <c r="J19" s="178">
        <f t="shared" si="8"/>
        <v>0</v>
      </c>
      <c r="K19" s="83"/>
      <c r="L19" s="322"/>
      <c r="M19" s="83"/>
      <c r="N19" s="176">
        <v>0</v>
      </c>
      <c r="O19" s="176">
        <v>0</v>
      </c>
      <c r="P19" s="176">
        <v>6482</v>
      </c>
      <c r="Q19" s="176">
        <v>18192</v>
      </c>
      <c r="R19" s="176">
        <v>5945</v>
      </c>
      <c r="S19" s="176">
        <v>15220</v>
      </c>
      <c r="T19" s="176">
        <v>3941</v>
      </c>
      <c r="U19" s="176">
        <v>11968</v>
      </c>
      <c r="V19" s="176">
        <v>3610</v>
      </c>
      <c r="W19" s="176">
        <v>13144</v>
      </c>
      <c r="X19" s="176">
        <v>6872</v>
      </c>
      <c r="Y19" s="176">
        <v>22072</v>
      </c>
      <c r="Z19" s="176">
        <v>11289</v>
      </c>
      <c r="AA19" s="176">
        <v>32118</v>
      </c>
      <c r="AB19" s="176">
        <v>183489</v>
      </c>
      <c r="AC19" s="176">
        <v>206333</v>
      </c>
      <c r="AD19" s="176">
        <v>182988</v>
      </c>
      <c r="AE19" s="176">
        <v>205427</v>
      </c>
      <c r="AF19" s="176">
        <v>0</v>
      </c>
      <c r="AG19" s="176">
        <v>0</v>
      </c>
      <c r="AH19" s="176">
        <v>0</v>
      </c>
      <c r="AI19" s="176">
        <v>0</v>
      </c>
      <c r="AJ19" s="176">
        <v>0</v>
      </c>
      <c r="AK19" s="176">
        <v>0</v>
      </c>
      <c r="AL19" s="176">
        <v>0</v>
      </c>
      <c r="AM19" s="176">
        <v>0</v>
      </c>
      <c r="AN19" s="176">
        <v>0</v>
      </c>
      <c r="AO19" s="176">
        <v>0</v>
      </c>
    </row>
    <row r="20" spans="1:41" ht="15.75" x14ac:dyDescent="0.2">
      <c r="A20" s="220" t="s">
        <v>177</v>
      </c>
      <c r="B20" s="83"/>
      <c r="C20" s="83"/>
      <c r="D20" s="178">
        <f t="shared" si="6"/>
        <v>0</v>
      </c>
      <c r="E20" s="178">
        <f t="shared" si="6"/>
        <v>0</v>
      </c>
      <c r="F20" s="178">
        <f t="shared" si="6"/>
        <v>118</v>
      </c>
      <c r="G20" s="178">
        <f t="shared" si="6"/>
        <v>112</v>
      </c>
      <c r="H20" s="178">
        <f t="shared" si="7"/>
        <v>72</v>
      </c>
      <c r="I20" s="178">
        <f t="shared" si="8"/>
        <v>59</v>
      </c>
      <c r="J20" s="178">
        <f t="shared" si="8"/>
        <v>19718</v>
      </c>
      <c r="K20" s="83"/>
      <c r="L20" s="322"/>
      <c r="M20" s="83"/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6">
        <v>0</v>
      </c>
      <c r="U20" s="176">
        <v>0</v>
      </c>
      <c r="V20" s="176">
        <v>0</v>
      </c>
      <c r="W20" s="176">
        <v>1768</v>
      </c>
      <c r="X20" s="176">
        <v>4196</v>
      </c>
      <c r="Y20" s="176">
        <v>118</v>
      </c>
      <c r="Z20" s="176">
        <v>1002</v>
      </c>
      <c r="AA20" s="176">
        <v>91</v>
      </c>
      <c r="AB20" s="176">
        <v>1029</v>
      </c>
      <c r="AC20" s="176">
        <v>112</v>
      </c>
      <c r="AD20" s="176">
        <v>1042</v>
      </c>
      <c r="AE20" s="176">
        <v>94</v>
      </c>
      <c r="AF20" s="176">
        <v>1081</v>
      </c>
      <c r="AG20" s="176">
        <v>72</v>
      </c>
      <c r="AH20" s="176">
        <v>1023</v>
      </c>
      <c r="AI20" s="176">
        <v>66</v>
      </c>
      <c r="AJ20" s="176">
        <v>1095</v>
      </c>
      <c r="AK20" s="176">
        <v>59</v>
      </c>
      <c r="AL20" s="176">
        <v>1059</v>
      </c>
      <c r="AM20" s="176">
        <v>9729</v>
      </c>
      <c r="AN20" s="176">
        <v>10900</v>
      </c>
      <c r="AO20" s="176">
        <v>19718</v>
      </c>
    </row>
    <row r="21" spans="1:41" ht="15.75" x14ac:dyDescent="0.2">
      <c r="A21" s="220" t="s">
        <v>178</v>
      </c>
      <c r="B21" s="83"/>
      <c r="C21" s="83"/>
      <c r="D21" s="178">
        <f t="shared" si="6"/>
        <v>0</v>
      </c>
      <c r="E21" s="178">
        <f t="shared" si="6"/>
        <v>0</v>
      </c>
      <c r="F21" s="178">
        <f t="shared" si="6"/>
        <v>0</v>
      </c>
      <c r="G21" s="178">
        <f t="shared" si="6"/>
        <v>19617</v>
      </c>
      <c r="H21" s="178">
        <f t="shared" si="7"/>
        <v>34188</v>
      </c>
      <c r="I21" s="178">
        <f t="shared" si="8"/>
        <v>29815</v>
      </c>
      <c r="J21" s="178">
        <f t="shared" si="8"/>
        <v>40061</v>
      </c>
      <c r="K21" s="83"/>
      <c r="L21" s="322"/>
      <c r="M21" s="83"/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6">
        <v>0</v>
      </c>
      <c r="Z21" s="176">
        <v>0</v>
      </c>
      <c r="AA21" s="176">
        <v>0</v>
      </c>
      <c r="AB21" s="176">
        <v>0</v>
      </c>
      <c r="AC21" s="176">
        <v>19617</v>
      </c>
      <c r="AD21" s="176">
        <v>9494</v>
      </c>
      <c r="AE21" s="176">
        <v>35171</v>
      </c>
      <c r="AF21" s="176">
        <v>10758</v>
      </c>
      <c r="AG21" s="176">
        <v>34188</v>
      </c>
      <c r="AH21" s="176">
        <v>8015</v>
      </c>
      <c r="AI21" s="176">
        <v>29208</v>
      </c>
      <c r="AJ21" s="176">
        <v>7606</v>
      </c>
      <c r="AK21" s="176">
        <v>29815</v>
      </c>
      <c r="AL21" s="176">
        <v>8276</v>
      </c>
      <c r="AM21" s="176">
        <v>35227</v>
      </c>
      <c r="AN21" s="176">
        <v>10921</v>
      </c>
      <c r="AO21" s="176">
        <v>40061</v>
      </c>
    </row>
    <row r="22" spans="1:41" ht="15.75" x14ac:dyDescent="0.2">
      <c r="A22" s="220" t="s">
        <v>323</v>
      </c>
      <c r="B22" s="83"/>
      <c r="C22" s="83"/>
      <c r="D22" s="178">
        <f t="shared" ref="D22:I22" si="9">INDEX($N22:$AP22,MATCH(D$5,$N$7:$AP$7,0))</f>
        <v>0</v>
      </c>
      <c r="E22" s="178">
        <f t="shared" si="9"/>
        <v>0</v>
      </c>
      <c r="F22" s="178">
        <f t="shared" si="9"/>
        <v>0</v>
      </c>
      <c r="G22" s="178">
        <f t="shared" si="9"/>
        <v>0</v>
      </c>
      <c r="H22" s="178">
        <f t="shared" si="9"/>
        <v>0</v>
      </c>
      <c r="I22" s="178">
        <f t="shared" si="9"/>
        <v>0</v>
      </c>
      <c r="J22" s="178">
        <f t="shared" si="8"/>
        <v>1173</v>
      </c>
      <c r="K22" s="83"/>
      <c r="L22" s="322"/>
      <c r="M22" s="83"/>
      <c r="N22" s="176">
        <v>0</v>
      </c>
      <c r="O22" s="176">
        <v>0</v>
      </c>
      <c r="P22" s="176">
        <v>0</v>
      </c>
      <c r="Q22" s="176">
        <v>0</v>
      </c>
      <c r="R22" s="176">
        <v>0</v>
      </c>
      <c r="S22" s="176">
        <v>0</v>
      </c>
      <c r="T22" s="176">
        <v>0</v>
      </c>
      <c r="U22" s="176">
        <v>0</v>
      </c>
      <c r="V22" s="176">
        <v>0</v>
      </c>
      <c r="W22" s="176">
        <v>0</v>
      </c>
      <c r="X22" s="176">
        <v>0</v>
      </c>
      <c r="Y22" s="176">
        <v>0</v>
      </c>
      <c r="Z22" s="176">
        <v>0</v>
      </c>
      <c r="AA22" s="176">
        <v>0</v>
      </c>
      <c r="AB22" s="176">
        <v>0</v>
      </c>
      <c r="AC22" s="176">
        <v>0</v>
      </c>
      <c r="AD22" s="176">
        <v>0</v>
      </c>
      <c r="AE22" s="176">
        <v>0</v>
      </c>
      <c r="AF22" s="176">
        <v>0</v>
      </c>
      <c r="AG22" s="176">
        <v>0</v>
      </c>
      <c r="AH22" s="176">
        <v>0</v>
      </c>
      <c r="AI22" s="176">
        <v>0</v>
      </c>
      <c r="AJ22" s="176">
        <v>0</v>
      </c>
      <c r="AK22" s="176">
        <v>0</v>
      </c>
      <c r="AL22" s="176">
        <v>0</v>
      </c>
      <c r="AM22" s="176">
        <v>0</v>
      </c>
      <c r="AN22" s="176">
        <v>0</v>
      </c>
      <c r="AO22" s="176">
        <v>1173</v>
      </c>
    </row>
    <row r="23" spans="1:41" ht="15.75" x14ac:dyDescent="0.2">
      <c r="A23" s="220" t="s">
        <v>179</v>
      </c>
      <c r="B23" s="83"/>
      <c r="C23" s="83"/>
      <c r="D23" s="178">
        <f t="shared" si="6"/>
        <v>0</v>
      </c>
      <c r="E23" s="178">
        <f t="shared" si="6"/>
        <v>0</v>
      </c>
      <c r="F23" s="178">
        <f t="shared" si="6"/>
        <v>52</v>
      </c>
      <c r="G23" s="178">
        <f t="shared" si="6"/>
        <v>-131</v>
      </c>
      <c r="H23" s="178">
        <f t="shared" si="7"/>
        <v>-936</v>
      </c>
      <c r="I23" s="178">
        <f t="shared" si="8"/>
        <v>-656</v>
      </c>
      <c r="J23" s="178">
        <f t="shared" si="8"/>
        <v>-2264</v>
      </c>
      <c r="K23" s="83"/>
      <c r="L23" s="322"/>
      <c r="M23" s="83"/>
      <c r="N23" s="176">
        <f>'02. BP'!N50-'02. BP'!N21</f>
        <v>0</v>
      </c>
      <c r="O23" s="176">
        <f>'02. BP'!O50-'02. BP'!O21</f>
        <v>0</v>
      </c>
      <c r="P23" s="176">
        <f>'02. BP'!P50-'02. BP'!P21</f>
        <v>0</v>
      </c>
      <c r="Q23" s="176">
        <f>'02. BP'!Q50-'02. BP'!Q21</f>
        <v>0</v>
      </c>
      <c r="R23" s="176">
        <f>'02. BP'!R50-'02. BP'!R21</f>
        <v>0</v>
      </c>
      <c r="S23" s="176">
        <f>'02. BP'!S50-'02. BP'!S21</f>
        <v>0</v>
      </c>
      <c r="T23" s="176">
        <f>'02. BP'!T50-'02. BP'!T21</f>
        <v>0</v>
      </c>
      <c r="U23" s="176">
        <f>'02. BP'!U50-'02. BP'!U21</f>
        <v>0</v>
      </c>
      <c r="V23" s="176">
        <f>'02. BP'!V50-'02. BP'!V21</f>
        <v>0</v>
      </c>
      <c r="W23" s="176">
        <f>'02. BP'!W50-'02. BP'!W21</f>
        <v>0</v>
      </c>
      <c r="X23" s="176">
        <f>'02. BP'!X50-'02. BP'!X21</f>
        <v>0</v>
      </c>
      <c r="Y23" s="176">
        <f>'02. BP'!Y50-'02. BP'!Y21</f>
        <v>52</v>
      </c>
      <c r="Z23" s="176">
        <f>'02. BP'!Z50-'02. BP'!Z21</f>
        <v>-34</v>
      </c>
      <c r="AA23" s="176">
        <v>-196</v>
      </c>
      <c r="AB23" s="176">
        <v>16</v>
      </c>
      <c r="AC23" s="176">
        <v>-131</v>
      </c>
      <c r="AD23" s="176">
        <v>242</v>
      </c>
      <c r="AE23" s="176">
        <v>-785</v>
      </c>
      <c r="AF23" s="176">
        <v>-612</v>
      </c>
      <c r="AG23" s="176">
        <v>-936</v>
      </c>
      <c r="AH23" s="176">
        <v>-876</v>
      </c>
      <c r="AI23" s="176">
        <v>-829</v>
      </c>
      <c r="AJ23" s="176">
        <v>-727</v>
      </c>
      <c r="AK23" s="176">
        <v>-656</v>
      </c>
      <c r="AL23" s="176">
        <v>-723</v>
      </c>
      <c r="AM23" s="176">
        <v>-993</v>
      </c>
      <c r="AN23" s="176">
        <v>-920</v>
      </c>
      <c r="AO23" s="176">
        <v>-2264</v>
      </c>
    </row>
    <row r="24" spans="1:41" ht="15.75" x14ac:dyDescent="0.2">
      <c r="A24" s="189"/>
      <c r="B24" s="83"/>
      <c r="C24" s="83"/>
      <c r="D24" s="12"/>
      <c r="E24" s="12"/>
      <c r="F24" s="12"/>
      <c r="G24" s="12"/>
      <c r="H24" s="12"/>
      <c r="I24" s="12"/>
      <c r="J24" s="12"/>
      <c r="K24" s="83"/>
      <c r="L24" s="322"/>
      <c r="M24" s="83"/>
      <c r="N24" s="236"/>
      <c r="O24" s="236"/>
      <c r="P24" s="236"/>
      <c r="Q24" s="237"/>
      <c r="R24" s="237"/>
      <c r="S24" s="237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</row>
    <row r="25" spans="1:41" s="74" customFormat="1" ht="15.75" x14ac:dyDescent="0.2">
      <c r="A25" s="187" t="s">
        <v>180</v>
      </c>
      <c r="B25" s="190"/>
      <c r="C25" s="190"/>
      <c r="D25" s="188">
        <f>SUM(D26:D31)</f>
        <v>23525</v>
      </c>
      <c r="E25" s="188">
        <f t="shared" ref="E25:I25" si="10">SUM(E26:E31)</f>
        <v>21506</v>
      </c>
      <c r="F25" s="188">
        <f t="shared" si="10"/>
        <v>28448</v>
      </c>
      <c r="G25" s="188">
        <f t="shared" si="10"/>
        <v>40298</v>
      </c>
      <c r="H25" s="188">
        <f t="shared" si="10"/>
        <v>7276</v>
      </c>
      <c r="I25" s="188">
        <f t="shared" si="10"/>
        <v>35481</v>
      </c>
      <c r="J25" s="188">
        <f t="shared" ref="J25" si="11">SUM(J26:J31)</f>
        <v>22654</v>
      </c>
      <c r="K25" s="190"/>
      <c r="L25" s="323"/>
      <c r="M25" s="190"/>
      <c r="N25" s="188">
        <f t="shared" ref="N25" si="12">SUM(N26:N31)</f>
        <v>130169</v>
      </c>
      <c r="O25" s="188">
        <f t="shared" ref="O25" si="13">SUM(O26:O31)</f>
        <v>140716</v>
      </c>
      <c r="P25" s="188">
        <f t="shared" ref="P25" si="14">SUM(P26:P31)</f>
        <v>82122</v>
      </c>
      <c r="Q25" s="188">
        <f t="shared" ref="Q25" si="15">SUM(Q26:Q31)</f>
        <v>23525</v>
      </c>
      <c r="R25" s="188">
        <f t="shared" ref="R25" si="16">SUM(R26:R31)</f>
        <v>41842</v>
      </c>
      <c r="S25" s="188">
        <f t="shared" ref="S25" si="17">SUM(S26:S31)</f>
        <v>45654</v>
      </c>
      <c r="T25" s="188">
        <f t="shared" ref="T25" si="18">SUM(T26:T31)</f>
        <v>43915</v>
      </c>
      <c r="U25" s="188">
        <f t="shared" ref="U25" si="19">SUM(U26:U31)</f>
        <v>21506</v>
      </c>
      <c r="V25" s="188">
        <f t="shared" ref="V25" si="20">SUM(V26:V31)</f>
        <v>5858</v>
      </c>
      <c r="W25" s="188">
        <f t="shared" ref="W25" si="21">SUM(W26:W31)</f>
        <v>17585</v>
      </c>
      <c r="X25" s="188">
        <f t="shared" ref="X25" si="22">SUM(X26:X31)</f>
        <v>27487</v>
      </c>
      <c r="Y25" s="188">
        <f t="shared" ref="Y25" si="23">SUM(Y26:Y31)</f>
        <v>28448</v>
      </c>
      <c r="Z25" s="188">
        <f t="shared" ref="Z25:AO25" si="24">SUM(Z26:Z31)</f>
        <v>24178</v>
      </c>
      <c r="AA25" s="188">
        <f t="shared" si="24"/>
        <v>47599</v>
      </c>
      <c r="AB25" s="188">
        <f t="shared" si="24"/>
        <v>41271</v>
      </c>
      <c r="AC25" s="188">
        <f t="shared" si="24"/>
        <v>40298</v>
      </c>
      <c r="AD25" s="188">
        <f t="shared" si="24"/>
        <v>34412</v>
      </c>
      <c r="AE25" s="188">
        <f t="shared" si="24"/>
        <v>0</v>
      </c>
      <c r="AF25" s="188">
        <f t="shared" si="24"/>
        <v>0</v>
      </c>
      <c r="AG25" s="188">
        <f t="shared" si="24"/>
        <v>7276</v>
      </c>
      <c r="AH25" s="188">
        <f t="shared" si="24"/>
        <v>15204</v>
      </c>
      <c r="AI25" s="188">
        <f t="shared" si="24"/>
        <v>39474</v>
      </c>
      <c r="AJ25" s="188">
        <f t="shared" si="24"/>
        <v>39331</v>
      </c>
      <c r="AK25" s="188">
        <f t="shared" si="24"/>
        <v>35481</v>
      </c>
      <c r="AL25" s="188">
        <f t="shared" si="24"/>
        <v>24133</v>
      </c>
      <c r="AM25" s="188">
        <f t="shared" si="24"/>
        <v>10967</v>
      </c>
      <c r="AN25" s="188">
        <f t="shared" si="24"/>
        <v>21600</v>
      </c>
      <c r="AO25" s="188">
        <f t="shared" si="24"/>
        <v>22654</v>
      </c>
    </row>
    <row r="26" spans="1:41" ht="15.75" x14ac:dyDescent="0.2">
      <c r="A26" s="220" t="s">
        <v>181</v>
      </c>
      <c r="B26" s="83"/>
      <c r="C26" s="83"/>
      <c r="D26" s="178">
        <f t="shared" ref="D26:G31" si="25">INDEX($N26:$AC26,MATCH(D$5,$N$7:$AC$7,0))</f>
        <v>22353</v>
      </c>
      <c r="E26" s="178">
        <f t="shared" si="25"/>
        <v>21254</v>
      </c>
      <c r="F26" s="178">
        <f t="shared" si="25"/>
        <v>28448</v>
      </c>
      <c r="G26" s="178">
        <f t="shared" si="25"/>
        <v>40298</v>
      </c>
      <c r="H26" s="178">
        <f t="shared" ref="H26:H31" si="26">INDEX($N26:$AG26,MATCH(H$5,$N$7:$AG$7,0))</f>
        <v>7276</v>
      </c>
      <c r="I26" s="178">
        <f>INDEX($N26:$AP26,MATCH(I$5,$N$7:$AP$7,0))</f>
        <v>35481</v>
      </c>
      <c r="J26" s="178">
        <f>INDEX($N26:$AP26,MATCH(J$5,$N$7:$AP$7,0))</f>
        <v>22654</v>
      </c>
      <c r="K26" s="83"/>
      <c r="L26" s="322"/>
      <c r="M26" s="83"/>
      <c r="N26" s="176">
        <v>21520</v>
      </c>
      <c r="O26" s="176">
        <v>21377</v>
      </c>
      <c r="P26" s="176">
        <v>22899</v>
      </c>
      <c r="Q26" s="176">
        <v>22353</v>
      </c>
      <c r="R26" s="176">
        <v>40347</v>
      </c>
      <c r="S26" s="176">
        <v>45124</v>
      </c>
      <c r="T26" s="176">
        <v>43506</v>
      </c>
      <c r="U26" s="176">
        <v>21254</v>
      </c>
      <c r="V26" s="176">
        <v>5720</v>
      </c>
      <c r="W26" s="176">
        <v>17585</v>
      </c>
      <c r="X26" s="176">
        <v>27487</v>
      </c>
      <c r="Y26" s="176">
        <v>28448</v>
      </c>
      <c r="Z26" s="176">
        <v>24178</v>
      </c>
      <c r="AA26" s="176">
        <v>47599</v>
      </c>
      <c r="AB26" s="176">
        <v>41271</v>
      </c>
      <c r="AC26" s="176">
        <v>40298</v>
      </c>
      <c r="AD26" s="176">
        <v>34412</v>
      </c>
      <c r="AE26" s="176">
        <v>0</v>
      </c>
      <c r="AF26" s="176">
        <v>0</v>
      </c>
      <c r="AG26" s="176">
        <v>7276</v>
      </c>
      <c r="AH26" s="176">
        <v>15204</v>
      </c>
      <c r="AI26" s="176">
        <v>39474</v>
      </c>
      <c r="AJ26" s="176">
        <v>39331</v>
      </c>
      <c r="AK26" s="176">
        <v>35481</v>
      </c>
      <c r="AL26" s="176">
        <v>24133</v>
      </c>
      <c r="AM26" s="176">
        <v>10967</v>
      </c>
      <c r="AN26" s="176">
        <v>21600</v>
      </c>
      <c r="AO26" s="176">
        <v>22654</v>
      </c>
    </row>
    <row r="27" spans="1:41" ht="14.25" customHeight="1" x14ac:dyDescent="0.2">
      <c r="A27" s="220" t="s">
        <v>182</v>
      </c>
      <c r="B27" s="83"/>
      <c r="C27" s="83"/>
      <c r="D27" s="178">
        <f t="shared" si="25"/>
        <v>0</v>
      </c>
      <c r="E27" s="178">
        <f t="shared" si="25"/>
        <v>0</v>
      </c>
      <c r="F27" s="178">
        <f t="shared" si="25"/>
        <v>0</v>
      </c>
      <c r="G27" s="178">
        <f t="shared" si="25"/>
        <v>0</v>
      </c>
      <c r="H27" s="178">
        <f t="shared" si="26"/>
        <v>0</v>
      </c>
      <c r="I27" s="178">
        <f t="shared" ref="I27:J31" si="27">INDEX($N27:$AP27,MATCH(I$5,$N$7:$AP$7,0))</f>
        <v>0</v>
      </c>
      <c r="J27" s="178">
        <f t="shared" si="27"/>
        <v>0</v>
      </c>
      <c r="K27" s="83"/>
      <c r="L27" s="322"/>
      <c r="M27" s="83"/>
      <c r="N27" s="176">
        <v>53634</v>
      </c>
      <c r="O27" s="176">
        <v>52588</v>
      </c>
      <c r="P27" s="176">
        <v>57248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76">
        <v>0</v>
      </c>
      <c r="AN27" s="176">
        <v>0</v>
      </c>
      <c r="AO27" s="176">
        <v>0</v>
      </c>
    </row>
    <row r="28" spans="1:41" ht="14.25" customHeight="1" x14ac:dyDescent="0.2">
      <c r="A28" s="220" t="s">
        <v>183</v>
      </c>
      <c r="B28" s="83"/>
      <c r="C28" s="83"/>
      <c r="D28" s="178">
        <f t="shared" si="25"/>
        <v>0</v>
      </c>
      <c r="E28" s="178">
        <f t="shared" si="25"/>
        <v>0</v>
      </c>
      <c r="F28" s="178">
        <f t="shared" si="25"/>
        <v>0</v>
      </c>
      <c r="G28" s="178">
        <f t="shared" si="25"/>
        <v>0</v>
      </c>
      <c r="H28" s="178">
        <f t="shared" si="26"/>
        <v>0</v>
      </c>
      <c r="I28" s="178">
        <f t="shared" si="27"/>
        <v>0</v>
      </c>
      <c r="J28" s="178">
        <f t="shared" si="27"/>
        <v>0</v>
      </c>
      <c r="K28" s="83"/>
      <c r="L28" s="322"/>
      <c r="M28" s="83"/>
      <c r="N28" s="176">
        <v>2662</v>
      </c>
      <c r="O28" s="176">
        <v>2641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6">
        <v>0</v>
      </c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v>0</v>
      </c>
      <c r="AE28" s="176">
        <v>0</v>
      </c>
      <c r="AF28" s="176">
        <v>0</v>
      </c>
      <c r="AG28" s="176">
        <v>0</v>
      </c>
      <c r="AH28" s="176">
        <v>0</v>
      </c>
      <c r="AI28" s="176">
        <v>0</v>
      </c>
      <c r="AJ28" s="176">
        <v>0</v>
      </c>
      <c r="AK28" s="176">
        <v>0</v>
      </c>
      <c r="AL28" s="176">
        <v>0</v>
      </c>
      <c r="AM28" s="176">
        <v>0</v>
      </c>
      <c r="AN28" s="176">
        <v>0</v>
      </c>
      <c r="AO28" s="176">
        <v>0</v>
      </c>
    </row>
    <row r="29" spans="1:41" ht="14.25" customHeight="1" x14ac:dyDescent="0.2">
      <c r="A29" s="219" t="s">
        <v>184</v>
      </c>
      <c r="D29" s="178">
        <f t="shared" si="25"/>
        <v>0</v>
      </c>
      <c r="E29" s="178">
        <f t="shared" si="25"/>
        <v>0</v>
      </c>
      <c r="F29" s="178">
        <f t="shared" si="25"/>
        <v>0</v>
      </c>
      <c r="G29" s="178">
        <f t="shared" si="25"/>
        <v>0</v>
      </c>
      <c r="H29" s="178">
        <f t="shared" si="26"/>
        <v>0</v>
      </c>
      <c r="I29" s="178">
        <f t="shared" si="27"/>
        <v>0</v>
      </c>
      <c r="J29" s="178">
        <f t="shared" si="27"/>
        <v>0</v>
      </c>
      <c r="N29" s="176">
        <v>50456</v>
      </c>
      <c r="O29" s="176">
        <v>62234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v>0</v>
      </c>
      <c r="AE29" s="176">
        <v>0</v>
      </c>
      <c r="AF29" s="176">
        <v>0</v>
      </c>
      <c r="AG29" s="176">
        <v>0</v>
      </c>
      <c r="AH29" s="176">
        <v>0</v>
      </c>
      <c r="AI29" s="176">
        <v>0</v>
      </c>
      <c r="AJ29" s="176">
        <v>0</v>
      </c>
      <c r="AK29" s="176">
        <v>0</v>
      </c>
      <c r="AL29" s="176">
        <v>0</v>
      </c>
      <c r="AM29" s="176">
        <v>0</v>
      </c>
      <c r="AN29" s="176">
        <v>0</v>
      </c>
      <c r="AO29" s="176">
        <v>0</v>
      </c>
    </row>
    <row r="30" spans="1:41" ht="15.75" x14ac:dyDescent="0.2">
      <c r="A30" s="219" t="s">
        <v>185</v>
      </c>
      <c r="D30" s="178">
        <f t="shared" si="25"/>
        <v>390</v>
      </c>
      <c r="E30" s="178">
        <f t="shared" si="25"/>
        <v>252</v>
      </c>
      <c r="F30" s="178">
        <f t="shared" si="25"/>
        <v>0</v>
      </c>
      <c r="G30" s="178">
        <f t="shared" si="25"/>
        <v>0</v>
      </c>
      <c r="H30" s="178">
        <f t="shared" si="26"/>
        <v>0</v>
      </c>
      <c r="I30" s="178">
        <f t="shared" si="27"/>
        <v>0</v>
      </c>
      <c r="J30" s="178">
        <f t="shared" si="27"/>
        <v>0</v>
      </c>
      <c r="N30" s="176">
        <v>377</v>
      </c>
      <c r="O30" s="176">
        <v>371</v>
      </c>
      <c r="P30" s="176">
        <v>402</v>
      </c>
      <c r="Q30" s="176">
        <v>390</v>
      </c>
      <c r="R30" s="176">
        <v>503</v>
      </c>
      <c r="S30" s="176">
        <v>530</v>
      </c>
      <c r="T30" s="176">
        <v>409</v>
      </c>
      <c r="U30" s="176">
        <v>252</v>
      </c>
      <c r="V30" s="176">
        <v>138</v>
      </c>
      <c r="W30" s="176">
        <v>0</v>
      </c>
      <c r="X30" s="176">
        <v>0</v>
      </c>
      <c r="Y30" s="176">
        <v>0</v>
      </c>
      <c r="Z30" s="176">
        <v>0</v>
      </c>
      <c r="AA30" s="176">
        <v>0</v>
      </c>
      <c r="AB30" s="176">
        <v>0</v>
      </c>
      <c r="AC30" s="176">
        <v>0</v>
      </c>
      <c r="AD30" s="176">
        <v>0</v>
      </c>
      <c r="AE30" s="176">
        <v>0</v>
      </c>
      <c r="AF30" s="176">
        <v>0</v>
      </c>
      <c r="AG30" s="176">
        <v>0</v>
      </c>
      <c r="AH30" s="176">
        <v>0</v>
      </c>
      <c r="AI30" s="176">
        <v>0</v>
      </c>
      <c r="AJ30" s="176">
        <v>0</v>
      </c>
      <c r="AK30" s="176">
        <v>0</v>
      </c>
      <c r="AL30" s="176">
        <v>0</v>
      </c>
      <c r="AM30" s="176">
        <v>0</v>
      </c>
      <c r="AN30" s="176">
        <v>0</v>
      </c>
      <c r="AO30" s="176">
        <v>0</v>
      </c>
    </row>
    <row r="31" spans="1:41" ht="15.75" x14ac:dyDescent="0.2">
      <c r="A31" s="219" t="s">
        <v>186</v>
      </c>
      <c r="D31" s="178">
        <f t="shared" si="25"/>
        <v>782</v>
      </c>
      <c r="E31" s="178">
        <f t="shared" si="25"/>
        <v>0</v>
      </c>
      <c r="F31" s="178">
        <f t="shared" si="25"/>
        <v>0</v>
      </c>
      <c r="G31" s="178">
        <f t="shared" si="25"/>
        <v>0</v>
      </c>
      <c r="H31" s="178">
        <f t="shared" si="26"/>
        <v>0</v>
      </c>
      <c r="I31" s="178">
        <f t="shared" si="27"/>
        <v>0</v>
      </c>
      <c r="J31" s="178">
        <f t="shared" si="27"/>
        <v>0</v>
      </c>
      <c r="N31" s="176">
        <v>1520</v>
      </c>
      <c r="O31" s="176">
        <v>1505</v>
      </c>
      <c r="P31" s="176">
        <v>1573</v>
      </c>
      <c r="Q31" s="176">
        <v>782</v>
      </c>
      <c r="R31" s="176">
        <v>992</v>
      </c>
      <c r="S31" s="176">
        <v>0</v>
      </c>
      <c r="T31" s="176">
        <v>0</v>
      </c>
      <c r="U31" s="176">
        <v>0</v>
      </c>
      <c r="V31" s="176">
        <v>0</v>
      </c>
      <c r="W31" s="176">
        <v>0</v>
      </c>
      <c r="X31" s="176">
        <v>0</v>
      </c>
      <c r="Y31" s="176">
        <v>0</v>
      </c>
      <c r="Z31" s="176">
        <v>0</v>
      </c>
      <c r="AA31" s="176">
        <v>0</v>
      </c>
      <c r="AB31" s="176">
        <v>0</v>
      </c>
      <c r="AC31" s="176">
        <v>0</v>
      </c>
      <c r="AD31" s="176">
        <v>0</v>
      </c>
      <c r="AE31" s="176">
        <v>0</v>
      </c>
      <c r="AF31" s="176">
        <v>0</v>
      </c>
      <c r="AG31" s="176">
        <v>0</v>
      </c>
      <c r="AH31" s="176">
        <v>0</v>
      </c>
      <c r="AI31" s="176">
        <v>0</v>
      </c>
      <c r="AJ31" s="176">
        <v>0</v>
      </c>
      <c r="AK31" s="176">
        <v>0</v>
      </c>
      <c r="AL31" s="176">
        <v>0</v>
      </c>
      <c r="AM31" s="176">
        <v>0</v>
      </c>
      <c r="AN31" s="176">
        <v>0</v>
      </c>
      <c r="AO31" s="176">
        <v>0</v>
      </c>
    </row>
    <row r="32" spans="1:41" ht="15.75" x14ac:dyDescent="0.2">
      <c r="A32" s="189"/>
      <c r="B32" s="83"/>
      <c r="C32" s="83"/>
      <c r="D32" s="12"/>
      <c r="E32" s="12"/>
      <c r="F32" s="12"/>
      <c r="G32" s="12"/>
      <c r="H32" s="12"/>
      <c r="I32" s="12"/>
      <c r="J32" s="12"/>
      <c r="K32" s="83"/>
      <c r="L32" s="322"/>
      <c r="M32" s="83"/>
      <c r="N32" s="236"/>
      <c r="O32" s="236"/>
      <c r="P32" s="236"/>
      <c r="Q32" s="237"/>
      <c r="R32" s="237"/>
      <c r="S32" s="237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</row>
    <row r="33" spans="1:41" s="185" customFormat="1" ht="15.75" x14ac:dyDescent="0.2">
      <c r="A33" s="192" t="s">
        <v>187</v>
      </c>
      <c r="D33" s="186">
        <f>D35+D47</f>
        <v>572802</v>
      </c>
      <c r="E33" s="186">
        <f t="shared" ref="E33:J33" si="28">E35+E47</f>
        <v>532781</v>
      </c>
      <c r="F33" s="186">
        <f t="shared" si="28"/>
        <v>801356</v>
      </c>
      <c r="G33" s="186">
        <f t="shared" si="28"/>
        <v>1517664</v>
      </c>
      <c r="H33" s="186">
        <f t="shared" si="28"/>
        <v>1563770</v>
      </c>
      <c r="I33" s="186">
        <f t="shared" si="28"/>
        <v>1496240</v>
      </c>
      <c r="J33" s="186">
        <f t="shared" si="28"/>
        <v>1552168</v>
      </c>
      <c r="L33" s="303"/>
      <c r="N33" s="186">
        <f t="shared" ref="N33:Z33" si="29">N35+N47</f>
        <v>480945</v>
      </c>
      <c r="O33" s="186">
        <f t="shared" si="29"/>
        <v>418053</v>
      </c>
      <c r="P33" s="186">
        <f t="shared" si="29"/>
        <v>652053</v>
      </c>
      <c r="Q33" s="186">
        <f t="shared" si="29"/>
        <v>572802</v>
      </c>
      <c r="R33" s="186">
        <f t="shared" si="29"/>
        <v>560009</v>
      </c>
      <c r="S33" s="186">
        <f t="shared" si="29"/>
        <v>567739</v>
      </c>
      <c r="T33" s="186">
        <f t="shared" si="29"/>
        <v>539366</v>
      </c>
      <c r="U33" s="186">
        <f t="shared" si="29"/>
        <v>532781</v>
      </c>
      <c r="V33" s="186">
        <f t="shared" si="29"/>
        <v>590967</v>
      </c>
      <c r="W33" s="186">
        <f t="shared" si="29"/>
        <v>591955</v>
      </c>
      <c r="X33" s="186">
        <f t="shared" si="29"/>
        <v>559034</v>
      </c>
      <c r="Y33" s="186">
        <f t="shared" si="29"/>
        <v>801356</v>
      </c>
      <c r="Z33" s="186">
        <f t="shared" si="29"/>
        <v>803174</v>
      </c>
      <c r="AA33" s="186">
        <f t="shared" ref="AA33:AO33" si="30">AA35+AA47</f>
        <v>980793</v>
      </c>
      <c r="AB33" s="186">
        <f t="shared" si="30"/>
        <v>813875</v>
      </c>
      <c r="AC33" s="186">
        <f t="shared" si="30"/>
        <v>1517664</v>
      </c>
      <c r="AD33" s="186">
        <f t="shared" si="30"/>
        <v>1594426</v>
      </c>
      <c r="AE33" s="186">
        <f t="shared" si="30"/>
        <v>1589389</v>
      </c>
      <c r="AF33" s="186">
        <f t="shared" si="30"/>
        <v>1558930</v>
      </c>
      <c r="AG33" s="186">
        <f t="shared" si="30"/>
        <v>1563770</v>
      </c>
      <c r="AH33" s="186">
        <f t="shared" si="30"/>
        <v>1527012</v>
      </c>
      <c r="AI33" s="186">
        <f t="shared" si="30"/>
        <v>1517749</v>
      </c>
      <c r="AJ33" s="186">
        <f t="shared" si="30"/>
        <v>1504923</v>
      </c>
      <c r="AK33" s="186">
        <f t="shared" si="30"/>
        <v>1496240</v>
      </c>
      <c r="AL33" s="186">
        <f t="shared" si="30"/>
        <v>1627444</v>
      </c>
      <c r="AM33" s="186">
        <f t="shared" si="30"/>
        <v>1614753</v>
      </c>
      <c r="AN33" s="186">
        <f t="shared" si="30"/>
        <v>1566413</v>
      </c>
      <c r="AO33" s="186">
        <f t="shared" si="30"/>
        <v>1666713</v>
      </c>
    </row>
    <row r="34" spans="1:41" ht="15.75" x14ac:dyDescent="0.2">
      <c r="A34" s="187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321"/>
      <c r="M34" s="82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</row>
    <row r="35" spans="1:41" s="185" customFormat="1" ht="15.75" x14ac:dyDescent="0.2">
      <c r="A35" s="187" t="s">
        <v>169</v>
      </c>
      <c r="D35" s="188">
        <f>SUM(D36:D45)</f>
        <v>572607</v>
      </c>
      <c r="E35" s="188">
        <f t="shared" ref="E35:I35" si="31">SUM(E36:E45)</f>
        <v>532781</v>
      </c>
      <c r="F35" s="188">
        <f t="shared" si="31"/>
        <v>801356</v>
      </c>
      <c r="G35" s="188">
        <f t="shared" si="31"/>
        <v>1517664</v>
      </c>
      <c r="H35" s="188">
        <f t="shared" si="31"/>
        <v>1563770</v>
      </c>
      <c r="I35" s="188">
        <f t="shared" si="31"/>
        <v>1496240</v>
      </c>
      <c r="J35" s="188">
        <f t="shared" ref="J35" si="32">SUM(J36:J45)</f>
        <v>1552168</v>
      </c>
      <c r="L35" s="331">
        <v>0</v>
      </c>
      <c r="N35" s="188">
        <f>SUM(N36:N45)</f>
        <v>256943</v>
      </c>
      <c r="O35" s="188">
        <f t="shared" ref="O35:Z35" si="33">SUM(O36:O45)</f>
        <v>224368</v>
      </c>
      <c r="P35" s="188">
        <f t="shared" si="33"/>
        <v>595327</v>
      </c>
      <c r="Q35" s="188">
        <f t="shared" si="33"/>
        <v>572607</v>
      </c>
      <c r="R35" s="188">
        <f t="shared" si="33"/>
        <v>559883</v>
      </c>
      <c r="S35" s="188">
        <f t="shared" si="33"/>
        <v>567739</v>
      </c>
      <c r="T35" s="188">
        <f t="shared" si="33"/>
        <v>539366</v>
      </c>
      <c r="U35" s="188">
        <f t="shared" si="33"/>
        <v>532781</v>
      </c>
      <c r="V35" s="188">
        <f t="shared" si="33"/>
        <v>590967</v>
      </c>
      <c r="W35" s="188">
        <f t="shared" si="33"/>
        <v>591955</v>
      </c>
      <c r="X35" s="188">
        <f t="shared" si="33"/>
        <v>559034</v>
      </c>
      <c r="Y35" s="188">
        <f t="shared" si="33"/>
        <v>801356</v>
      </c>
      <c r="Z35" s="188">
        <f t="shared" si="33"/>
        <v>803174</v>
      </c>
      <c r="AA35" s="188">
        <f t="shared" ref="AA35:AF35" si="34">SUM(AA36:AA45)</f>
        <v>980793</v>
      </c>
      <c r="AB35" s="188">
        <f t="shared" si="34"/>
        <v>813875</v>
      </c>
      <c r="AC35" s="188">
        <f t="shared" si="34"/>
        <v>1517664</v>
      </c>
      <c r="AD35" s="188">
        <f t="shared" si="34"/>
        <v>1594426</v>
      </c>
      <c r="AE35" s="188">
        <f t="shared" si="34"/>
        <v>1589389</v>
      </c>
      <c r="AF35" s="188">
        <f t="shared" si="34"/>
        <v>1558930</v>
      </c>
      <c r="AG35" s="188">
        <f t="shared" ref="AG35:AO35" si="35">SUM(AG36:AG45)</f>
        <v>1563770</v>
      </c>
      <c r="AH35" s="188">
        <f t="shared" si="35"/>
        <v>1527012</v>
      </c>
      <c r="AI35" s="188">
        <f t="shared" si="35"/>
        <v>1517749</v>
      </c>
      <c r="AJ35" s="188">
        <f t="shared" si="35"/>
        <v>1504923</v>
      </c>
      <c r="AK35" s="188">
        <f t="shared" si="35"/>
        <v>1496240</v>
      </c>
      <c r="AL35" s="188">
        <f t="shared" si="35"/>
        <v>1627444</v>
      </c>
      <c r="AM35" s="188">
        <f t="shared" si="35"/>
        <v>1614753</v>
      </c>
      <c r="AN35" s="188">
        <f t="shared" si="35"/>
        <v>1566413</v>
      </c>
      <c r="AO35" s="188">
        <f t="shared" si="35"/>
        <v>1666713</v>
      </c>
    </row>
    <row r="36" spans="1:41" ht="15.75" x14ac:dyDescent="0.2">
      <c r="A36" s="220" t="s">
        <v>170</v>
      </c>
      <c r="B36" s="80"/>
      <c r="C36" s="80"/>
      <c r="D36" s="178">
        <f t="shared" ref="D36:G45" si="36">INDEX($N36:$AC36,MATCH(D$5,$N$7:$AC$7,0))</f>
        <v>1275</v>
      </c>
      <c r="E36" s="178">
        <f t="shared" si="36"/>
        <v>315</v>
      </c>
      <c r="F36" s="178">
        <f t="shared" si="36"/>
        <v>236862</v>
      </c>
      <c r="G36" s="178">
        <f t="shared" si="36"/>
        <v>412672</v>
      </c>
      <c r="H36" s="178">
        <f t="shared" ref="H36:H45" si="37">INDEX($N36:$AG36,MATCH(H$5,$N$7:$AG$7,0))</f>
        <v>483856</v>
      </c>
      <c r="I36" s="178">
        <f>INDEX($N36:$AP36,MATCH(I$5,$N$7:$AP$7,0))</f>
        <v>461299</v>
      </c>
      <c r="J36" s="178">
        <f>INDEX($N36:$AP36,MATCH(J$5,$N$7:$AP$7,0))</f>
        <v>424639</v>
      </c>
      <c r="K36" s="80"/>
      <c r="L36" s="324"/>
      <c r="M36" s="80"/>
      <c r="N36" s="176">
        <v>2329</v>
      </c>
      <c r="O36" s="176">
        <v>1997</v>
      </c>
      <c r="P36" s="176">
        <v>1600</v>
      </c>
      <c r="Q36" s="176">
        <v>1275</v>
      </c>
      <c r="R36" s="176">
        <v>947</v>
      </c>
      <c r="S36" s="176">
        <v>662</v>
      </c>
      <c r="T36" s="176">
        <v>476</v>
      </c>
      <c r="U36" s="176">
        <v>315</v>
      </c>
      <c r="V36" s="176">
        <v>256</v>
      </c>
      <c r="W36" s="176">
        <v>509</v>
      </c>
      <c r="X36" s="176">
        <v>425</v>
      </c>
      <c r="Y36" s="176">
        <v>236862</v>
      </c>
      <c r="Z36" s="176">
        <v>236781</v>
      </c>
      <c r="AA36" s="176">
        <v>412803</v>
      </c>
      <c r="AB36" s="176">
        <v>412732</v>
      </c>
      <c r="AC36" s="176">
        <v>412672</v>
      </c>
      <c r="AD36" s="176">
        <v>484001</v>
      </c>
      <c r="AE36" s="176">
        <v>484000</v>
      </c>
      <c r="AF36" s="176">
        <v>484000</v>
      </c>
      <c r="AG36" s="176">
        <v>483856</v>
      </c>
      <c r="AH36" s="176">
        <v>483854</v>
      </c>
      <c r="AI36" s="176">
        <v>472577</v>
      </c>
      <c r="AJ36" s="176">
        <v>472577</v>
      </c>
      <c r="AK36" s="176">
        <v>461299</v>
      </c>
      <c r="AL36" s="176">
        <v>454526</v>
      </c>
      <c r="AM36" s="176">
        <v>443249</v>
      </c>
      <c r="AN36" s="176">
        <v>436476</v>
      </c>
      <c r="AO36" s="176">
        <v>424639</v>
      </c>
    </row>
    <row r="37" spans="1:41" ht="15.75" x14ac:dyDescent="0.2">
      <c r="A37" s="220" t="s">
        <v>171</v>
      </c>
      <c r="B37" s="80"/>
      <c r="C37" s="80"/>
      <c r="D37" s="178">
        <f t="shared" si="36"/>
        <v>64159</v>
      </c>
      <c r="E37" s="178">
        <f t="shared" si="36"/>
        <v>34663</v>
      </c>
      <c r="F37" s="178">
        <f t="shared" si="36"/>
        <v>0</v>
      </c>
      <c r="G37" s="178">
        <f t="shared" si="36"/>
        <v>0</v>
      </c>
      <c r="H37" s="178">
        <f t="shared" si="37"/>
        <v>308270</v>
      </c>
      <c r="I37" s="178">
        <f t="shared" ref="I37:J45" si="38">INDEX($N37:$AP37,MATCH(I$5,$N$7:$AP$7,0))</f>
        <v>254000</v>
      </c>
      <c r="J37" s="178">
        <f t="shared" si="38"/>
        <v>363628</v>
      </c>
      <c r="K37" s="80"/>
      <c r="L37" s="324"/>
      <c r="M37" s="80"/>
      <c r="N37" s="176">
        <v>122108</v>
      </c>
      <c r="O37" s="176">
        <v>102966</v>
      </c>
      <c r="P37" s="176">
        <v>82948</v>
      </c>
      <c r="Q37" s="176">
        <v>64159</v>
      </c>
      <c r="R37" s="176">
        <v>53334</v>
      </c>
      <c r="S37" s="176">
        <v>60982</v>
      </c>
      <c r="T37" s="176">
        <v>36350</v>
      </c>
      <c r="U37" s="176">
        <v>34663</v>
      </c>
      <c r="V37" s="176">
        <v>33600</v>
      </c>
      <c r="W37" s="176">
        <v>33600</v>
      </c>
      <c r="X37" s="176">
        <v>0</v>
      </c>
      <c r="Y37" s="176">
        <v>0</v>
      </c>
      <c r="Z37" s="176">
        <v>0</v>
      </c>
      <c r="AA37" s="176">
        <v>0</v>
      </c>
      <c r="AB37" s="176">
        <v>0</v>
      </c>
      <c r="AC37" s="176">
        <v>0</v>
      </c>
      <c r="AD37" s="176">
        <v>0</v>
      </c>
      <c r="AE37" s="176">
        <v>0</v>
      </c>
      <c r="AF37" s="176">
        <v>302517</v>
      </c>
      <c r="AG37" s="176">
        <v>308270</v>
      </c>
      <c r="AH37" s="176">
        <v>269000</v>
      </c>
      <c r="AI37" s="176">
        <v>269000</v>
      </c>
      <c r="AJ37" s="176">
        <v>254000</v>
      </c>
      <c r="AK37" s="176">
        <v>254000</v>
      </c>
      <c r="AL37" s="176">
        <v>389909</v>
      </c>
      <c r="AM37" s="176">
        <v>398161</v>
      </c>
      <c r="AN37" s="176">
        <v>354560</v>
      </c>
      <c r="AO37" s="176">
        <v>363628</v>
      </c>
    </row>
    <row r="38" spans="1:41" ht="15.75" x14ac:dyDescent="0.2">
      <c r="A38" s="220" t="s">
        <v>173</v>
      </c>
      <c r="B38" s="80"/>
      <c r="C38" s="80"/>
      <c r="D38" s="178">
        <f t="shared" si="36"/>
        <v>0</v>
      </c>
      <c r="E38" s="178">
        <f t="shared" si="36"/>
        <v>0</v>
      </c>
      <c r="F38" s="178">
        <f t="shared" si="36"/>
        <v>0</v>
      </c>
      <c r="G38" s="178">
        <f t="shared" si="36"/>
        <v>0</v>
      </c>
      <c r="H38" s="178">
        <f t="shared" si="37"/>
        <v>0</v>
      </c>
      <c r="I38" s="178">
        <f t="shared" si="38"/>
        <v>0</v>
      </c>
      <c r="J38" s="178">
        <f t="shared" si="38"/>
        <v>0</v>
      </c>
      <c r="K38" s="80"/>
      <c r="L38" s="324"/>
      <c r="M38" s="80"/>
      <c r="N38" s="176">
        <v>111817</v>
      </c>
      <c r="O38" s="176">
        <v>101668</v>
      </c>
      <c r="P38" s="176">
        <v>0</v>
      </c>
      <c r="Q38" s="176">
        <v>0</v>
      </c>
      <c r="R38" s="176">
        <v>0</v>
      </c>
      <c r="S38" s="176">
        <v>0</v>
      </c>
      <c r="T38" s="176">
        <v>0</v>
      </c>
      <c r="U38" s="176">
        <v>0</v>
      </c>
      <c r="V38" s="176">
        <v>0</v>
      </c>
      <c r="W38" s="176">
        <v>0</v>
      </c>
      <c r="X38" s="176">
        <v>0</v>
      </c>
      <c r="Y38" s="176">
        <v>0</v>
      </c>
      <c r="Z38" s="176">
        <v>0</v>
      </c>
      <c r="AA38" s="176">
        <v>0</v>
      </c>
      <c r="AB38" s="176">
        <v>0</v>
      </c>
      <c r="AC38" s="176">
        <v>0</v>
      </c>
      <c r="AD38" s="176">
        <v>0</v>
      </c>
      <c r="AE38" s="176">
        <v>0</v>
      </c>
      <c r="AF38" s="176">
        <v>0</v>
      </c>
      <c r="AG38" s="176">
        <v>0</v>
      </c>
      <c r="AH38" s="176">
        <v>0</v>
      </c>
      <c r="AI38" s="176">
        <v>0</v>
      </c>
      <c r="AJ38" s="176">
        <v>0</v>
      </c>
      <c r="AK38" s="176">
        <v>0</v>
      </c>
      <c r="AL38" s="176">
        <v>0</v>
      </c>
      <c r="AM38" s="176">
        <v>0</v>
      </c>
      <c r="AN38" s="176">
        <v>0</v>
      </c>
      <c r="AO38" s="176">
        <v>0</v>
      </c>
    </row>
    <row r="39" spans="1:41" ht="15.75" x14ac:dyDescent="0.2">
      <c r="A39" s="221" t="s">
        <v>172</v>
      </c>
      <c r="B39" s="80"/>
      <c r="C39" s="80"/>
      <c r="D39" s="178">
        <f t="shared" si="36"/>
        <v>1132</v>
      </c>
      <c r="E39" s="178">
        <f t="shared" si="36"/>
        <v>934</v>
      </c>
      <c r="F39" s="178">
        <f t="shared" si="36"/>
        <v>0</v>
      </c>
      <c r="G39" s="178">
        <f t="shared" si="36"/>
        <v>0</v>
      </c>
      <c r="H39" s="178">
        <f t="shared" si="37"/>
        <v>0</v>
      </c>
      <c r="I39" s="178">
        <f t="shared" si="38"/>
        <v>0</v>
      </c>
      <c r="J39" s="178">
        <f t="shared" si="38"/>
        <v>0</v>
      </c>
      <c r="K39" s="80"/>
      <c r="L39" s="324"/>
      <c r="M39" s="80"/>
      <c r="N39" s="176">
        <v>839</v>
      </c>
      <c r="O39" s="176">
        <v>619</v>
      </c>
      <c r="P39" s="176">
        <v>881</v>
      </c>
      <c r="Q39" s="176">
        <v>1132</v>
      </c>
      <c r="R39" s="176">
        <v>1665</v>
      </c>
      <c r="S39" s="176">
        <v>1412</v>
      </c>
      <c r="T39" s="176">
        <v>1179</v>
      </c>
      <c r="U39" s="176">
        <v>934</v>
      </c>
      <c r="V39" s="176">
        <v>0</v>
      </c>
      <c r="W39" s="176">
        <v>0</v>
      </c>
      <c r="X39" s="176">
        <v>0</v>
      </c>
      <c r="Y39" s="176">
        <v>0</v>
      </c>
      <c r="Z39" s="176">
        <v>0</v>
      </c>
      <c r="AA39" s="176">
        <v>0</v>
      </c>
      <c r="AB39" s="176">
        <v>0</v>
      </c>
      <c r="AC39" s="176">
        <v>0</v>
      </c>
      <c r="AD39" s="176">
        <v>0</v>
      </c>
      <c r="AE39" s="176">
        <v>0</v>
      </c>
      <c r="AF39" s="176">
        <v>0</v>
      </c>
      <c r="AG39" s="176">
        <v>0</v>
      </c>
      <c r="AH39" s="176">
        <v>0</v>
      </c>
      <c r="AI39" s="176">
        <v>0</v>
      </c>
      <c r="AJ39" s="176">
        <v>0</v>
      </c>
      <c r="AK39" s="176">
        <v>0</v>
      </c>
      <c r="AL39" s="176">
        <v>0</v>
      </c>
      <c r="AM39" s="176">
        <v>0</v>
      </c>
      <c r="AN39" s="176">
        <v>0</v>
      </c>
      <c r="AO39" s="176">
        <v>0</v>
      </c>
    </row>
    <row r="40" spans="1:41" ht="15.75" x14ac:dyDescent="0.2">
      <c r="A40" s="220" t="s">
        <v>174</v>
      </c>
      <c r="B40" s="80"/>
      <c r="C40" s="80"/>
      <c r="D40" s="178">
        <f t="shared" si="36"/>
        <v>11706</v>
      </c>
      <c r="E40" s="178">
        <f t="shared" si="36"/>
        <v>0</v>
      </c>
      <c r="F40" s="178">
        <f t="shared" si="36"/>
        <v>0</v>
      </c>
      <c r="G40" s="178">
        <f t="shared" si="36"/>
        <v>0</v>
      </c>
      <c r="H40" s="178">
        <f t="shared" si="37"/>
        <v>0</v>
      </c>
      <c r="I40" s="178">
        <f t="shared" si="38"/>
        <v>0</v>
      </c>
      <c r="J40" s="178">
        <f t="shared" si="38"/>
        <v>0</v>
      </c>
      <c r="K40" s="80"/>
      <c r="L40" s="324"/>
      <c r="M40" s="80"/>
      <c r="N40" s="176">
        <v>19850</v>
      </c>
      <c r="O40" s="176">
        <v>17118</v>
      </c>
      <c r="P40" s="176">
        <v>14406</v>
      </c>
      <c r="Q40" s="176">
        <v>11706</v>
      </c>
      <c r="R40" s="176">
        <v>9005</v>
      </c>
      <c r="S40" s="176">
        <v>9098</v>
      </c>
      <c r="T40" s="176">
        <v>5198</v>
      </c>
      <c r="U40" s="176">
        <v>0</v>
      </c>
      <c r="V40" s="176">
        <v>0</v>
      </c>
      <c r="W40" s="176">
        <v>0</v>
      </c>
      <c r="X40" s="176">
        <v>0</v>
      </c>
      <c r="Y40" s="176">
        <v>0</v>
      </c>
      <c r="Z40" s="176">
        <v>0</v>
      </c>
      <c r="AA40" s="176">
        <v>0</v>
      </c>
      <c r="AB40" s="176">
        <v>0</v>
      </c>
      <c r="AC40" s="176">
        <v>0</v>
      </c>
      <c r="AD40" s="176">
        <v>0</v>
      </c>
      <c r="AE40" s="176">
        <v>0</v>
      </c>
      <c r="AF40" s="176">
        <v>0</v>
      </c>
      <c r="AG40" s="176">
        <v>0</v>
      </c>
      <c r="AH40" s="176">
        <v>0</v>
      </c>
      <c r="AI40" s="176">
        <v>0</v>
      </c>
      <c r="AJ40" s="176">
        <v>0</v>
      </c>
      <c r="AK40" s="176">
        <v>0</v>
      </c>
      <c r="AL40" s="176">
        <v>0</v>
      </c>
      <c r="AM40" s="176">
        <v>0</v>
      </c>
      <c r="AN40" s="176">
        <v>0</v>
      </c>
      <c r="AO40" s="176">
        <v>0</v>
      </c>
    </row>
    <row r="41" spans="1:41" ht="15.75" x14ac:dyDescent="0.2">
      <c r="A41" s="220" t="s">
        <v>176</v>
      </c>
      <c r="B41" s="83"/>
      <c r="C41" s="83"/>
      <c r="D41" s="178">
        <f t="shared" si="36"/>
        <v>494335</v>
      </c>
      <c r="E41" s="178">
        <f t="shared" si="36"/>
        <v>496869</v>
      </c>
      <c r="F41" s="178">
        <f t="shared" si="36"/>
        <v>499836</v>
      </c>
      <c r="G41" s="178">
        <f t="shared" si="36"/>
        <v>334246</v>
      </c>
      <c r="H41" s="178">
        <f t="shared" si="37"/>
        <v>0</v>
      </c>
      <c r="I41" s="178">
        <f t="shared" si="38"/>
        <v>0</v>
      </c>
      <c r="J41" s="178">
        <f t="shared" si="38"/>
        <v>0</v>
      </c>
      <c r="K41" s="83"/>
      <c r="L41" s="322"/>
      <c r="M41" s="83"/>
      <c r="N41" s="176">
        <v>0</v>
      </c>
      <c r="O41" s="176">
        <v>0</v>
      </c>
      <c r="P41" s="176">
        <v>495492</v>
      </c>
      <c r="Q41" s="176">
        <v>494335</v>
      </c>
      <c r="R41" s="176">
        <v>494932</v>
      </c>
      <c r="S41" s="176">
        <v>495585</v>
      </c>
      <c r="T41" s="176">
        <v>496163</v>
      </c>
      <c r="U41" s="176">
        <v>496869</v>
      </c>
      <c r="V41" s="176">
        <v>497564</v>
      </c>
      <c r="W41" s="176">
        <v>498300</v>
      </c>
      <c r="X41" s="176">
        <v>499050</v>
      </c>
      <c r="Y41" s="176">
        <v>499836</v>
      </c>
      <c r="Z41" s="176">
        <v>500614</v>
      </c>
      <c r="AA41" s="176">
        <v>501433</v>
      </c>
      <c r="AB41" s="176">
        <v>333694</v>
      </c>
      <c r="AC41" s="176">
        <v>334246</v>
      </c>
      <c r="AD41" s="176">
        <v>334798</v>
      </c>
      <c r="AE41" s="176">
        <v>335374</v>
      </c>
      <c r="AF41" s="176">
        <v>0</v>
      </c>
      <c r="AG41" s="176">
        <v>0</v>
      </c>
      <c r="AH41" s="176">
        <v>0</v>
      </c>
      <c r="AI41" s="176">
        <v>0</v>
      </c>
      <c r="AJ41" s="176">
        <v>0</v>
      </c>
      <c r="AK41" s="176">
        <v>0</v>
      </c>
      <c r="AL41" s="176">
        <v>0</v>
      </c>
      <c r="AM41" s="176">
        <v>0</v>
      </c>
      <c r="AN41" s="176">
        <v>0</v>
      </c>
      <c r="AO41" s="176">
        <v>0</v>
      </c>
    </row>
    <row r="42" spans="1:41" ht="15.75" x14ac:dyDescent="0.2">
      <c r="A42" s="220" t="s">
        <v>177</v>
      </c>
      <c r="B42" s="83"/>
      <c r="C42" s="83"/>
      <c r="D42" s="178">
        <f t="shared" si="36"/>
        <v>0</v>
      </c>
      <c r="E42" s="178">
        <f t="shared" si="36"/>
        <v>0</v>
      </c>
      <c r="F42" s="178">
        <f t="shared" si="36"/>
        <v>64291</v>
      </c>
      <c r="G42" s="178">
        <f t="shared" si="36"/>
        <v>68104</v>
      </c>
      <c r="H42" s="178">
        <f t="shared" si="37"/>
        <v>71420</v>
      </c>
      <c r="I42" s="178">
        <f t="shared" si="38"/>
        <v>75020</v>
      </c>
      <c r="J42" s="178">
        <f t="shared" si="38"/>
        <v>58769</v>
      </c>
      <c r="K42" s="83"/>
      <c r="L42" s="322"/>
      <c r="M42" s="83"/>
      <c r="N42" s="176">
        <v>0</v>
      </c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  <c r="U42" s="176">
        <v>0</v>
      </c>
      <c r="V42" s="176">
        <v>59547</v>
      </c>
      <c r="W42" s="176">
        <v>59546</v>
      </c>
      <c r="X42" s="176">
        <v>59559</v>
      </c>
      <c r="Y42" s="176">
        <v>64291</v>
      </c>
      <c r="Z42" s="176">
        <v>66017</v>
      </c>
      <c r="AA42" s="176">
        <v>67928</v>
      </c>
      <c r="AB42" s="176">
        <v>67339</v>
      </c>
      <c r="AC42" s="176">
        <v>68104</v>
      </c>
      <c r="AD42" s="176">
        <v>69626</v>
      </c>
      <c r="AE42" s="176">
        <v>70411</v>
      </c>
      <c r="AF42" s="176">
        <v>70779</v>
      </c>
      <c r="AG42" s="176">
        <v>71420</v>
      </c>
      <c r="AH42" s="176">
        <v>72640</v>
      </c>
      <c r="AI42" s="176">
        <v>73418</v>
      </c>
      <c r="AJ42" s="176">
        <v>73919</v>
      </c>
      <c r="AK42" s="176">
        <v>75020</v>
      </c>
      <c r="AL42" s="176">
        <v>76546</v>
      </c>
      <c r="AM42" s="176">
        <v>67709</v>
      </c>
      <c r="AN42" s="176">
        <v>68114</v>
      </c>
      <c r="AO42" s="176">
        <v>58769</v>
      </c>
    </row>
    <row r="43" spans="1:41" ht="15.75" x14ac:dyDescent="0.2">
      <c r="A43" s="220" t="s">
        <v>178</v>
      </c>
      <c r="B43" s="83"/>
      <c r="C43" s="83"/>
      <c r="D43" s="178">
        <f t="shared" si="36"/>
        <v>0</v>
      </c>
      <c r="E43" s="178">
        <f t="shared" si="36"/>
        <v>0</v>
      </c>
      <c r="F43" s="178">
        <f t="shared" si="36"/>
        <v>0</v>
      </c>
      <c r="G43" s="178">
        <f t="shared" si="36"/>
        <v>703558</v>
      </c>
      <c r="H43" s="178">
        <f t="shared" si="37"/>
        <v>706776</v>
      </c>
      <c r="I43" s="178">
        <f t="shared" si="38"/>
        <v>710514</v>
      </c>
      <c r="J43" s="178">
        <f t="shared" si="38"/>
        <v>714864</v>
      </c>
      <c r="K43" s="83"/>
      <c r="L43" s="322"/>
      <c r="M43" s="83"/>
      <c r="N43" s="176">
        <v>0</v>
      </c>
      <c r="O43" s="176">
        <v>0</v>
      </c>
      <c r="P43" s="176">
        <v>0</v>
      </c>
      <c r="Q43" s="176">
        <v>0</v>
      </c>
      <c r="R43" s="176">
        <v>0</v>
      </c>
      <c r="S43" s="176">
        <v>0</v>
      </c>
      <c r="T43" s="176">
        <v>0</v>
      </c>
      <c r="U43" s="176">
        <v>0</v>
      </c>
      <c r="V43" s="176">
        <v>0</v>
      </c>
      <c r="W43" s="176">
        <v>0</v>
      </c>
      <c r="X43" s="176">
        <v>0</v>
      </c>
      <c r="Y43" s="176">
        <v>0</v>
      </c>
      <c r="Z43" s="176">
        <v>0</v>
      </c>
      <c r="AA43" s="176">
        <v>0</v>
      </c>
      <c r="AB43" s="176">
        <v>0</v>
      </c>
      <c r="AC43" s="176">
        <v>703558</v>
      </c>
      <c r="AD43" s="176">
        <v>704310</v>
      </c>
      <c r="AE43" s="176">
        <v>705096</v>
      </c>
      <c r="AF43" s="176">
        <v>705921</v>
      </c>
      <c r="AG43" s="176">
        <v>706776</v>
      </c>
      <c r="AH43" s="176">
        <v>707647</v>
      </c>
      <c r="AI43" s="176">
        <v>708559</v>
      </c>
      <c r="AJ43" s="176">
        <v>709517</v>
      </c>
      <c r="AK43" s="176">
        <v>710514</v>
      </c>
      <c r="AL43" s="176">
        <v>711526</v>
      </c>
      <c r="AM43" s="176">
        <v>712589</v>
      </c>
      <c r="AN43" s="176">
        <v>713705</v>
      </c>
      <c r="AO43" s="176">
        <v>714864</v>
      </c>
    </row>
    <row r="44" spans="1:41" ht="15.75" x14ac:dyDescent="0.2">
      <c r="A44" s="220" t="s">
        <v>323</v>
      </c>
      <c r="B44" s="83"/>
      <c r="C44" s="83"/>
      <c r="D44" s="178"/>
      <c r="E44" s="178"/>
      <c r="F44" s="178"/>
      <c r="G44" s="178"/>
      <c r="H44" s="178"/>
      <c r="I44" s="178"/>
      <c r="J44" s="178"/>
      <c r="K44" s="83"/>
      <c r="L44" s="322"/>
      <c r="M44" s="83"/>
      <c r="N44" s="176">
        <v>0</v>
      </c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76">
        <v>0</v>
      </c>
      <c r="U44" s="176">
        <v>0</v>
      </c>
      <c r="V44" s="176">
        <v>0</v>
      </c>
      <c r="W44" s="176">
        <v>0</v>
      </c>
      <c r="X44" s="176">
        <v>0</v>
      </c>
      <c r="Y44" s="176">
        <v>0</v>
      </c>
      <c r="Z44" s="176">
        <v>0</v>
      </c>
      <c r="AA44" s="176">
        <v>0</v>
      </c>
      <c r="AB44" s="176">
        <v>0</v>
      </c>
      <c r="AC44" s="176">
        <v>0</v>
      </c>
      <c r="AD44" s="176">
        <v>0</v>
      </c>
      <c r="AE44" s="176">
        <v>0</v>
      </c>
      <c r="AF44" s="176">
        <v>0</v>
      </c>
      <c r="AG44" s="176">
        <v>0</v>
      </c>
      <c r="AH44" s="176">
        <v>0</v>
      </c>
      <c r="AI44" s="176">
        <v>0</v>
      </c>
      <c r="AJ44" s="176">
        <v>0</v>
      </c>
      <c r="AK44" s="176">
        <v>0</v>
      </c>
      <c r="AL44" s="176">
        <v>0</v>
      </c>
      <c r="AM44" s="176">
        <v>0</v>
      </c>
      <c r="AN44" s="176">
        <v>0</v>
      </c>
      <c r="AO44" s="176">
        <v>114545</v>
      </c>
    </row>
    <row r="45" spans="1:41" ht="15.75" x14ac:dyDescent="0.2">
      <c r="A45" s="220" t="s">
        <v>179</v>
      </c>
      <c r="B45" s="83"/>
      <c r="C45" s="83"/>
      <c r="D45" s="178">
        <f t="shared" si="36"/>
        <v>0</v>
      </c>
      <c r="E45" s="178">
        <f t="shared" si="36"/>
        <v>0</v>
      </c>
      <c r="F45" s="178">
        <f t="shared" si="36"/>
        <v>367</v>
      </c>
      <c r="G45" s="178">
        <f t="shared" si="36"/>
        <v>-916</v>
      </c>
      <c r="H45" s="178">
        <f t="shared" si="37"/>
        <v>-6552</v>
      </c>
      <c r="I45" s="178">
        <f t="shared" si="38"/>
        <v>-4593</v>
      </c>
      <c r="J45" s="178">
        <f t="shared" si="38"/>
        <v>-9732</v>
      </c>
      <c r="K45" s="83"/>
      <c r="L45" s="322"/>
      <c r="M45" s="83"/>
      <c r="N45" s="176">
        <f>'02. BP'!N57-'02. BP'!N35</f>
        <v>0</v>
      </c>
      <c r="O45" s="176">
        <f>'02. BP'!O57-'02. BP'!O35</f>
        <v>0</v>
      </c>
      <c r="P45" s="176">
        <f>'02. BP'!P57-'02. BP'!P35</f>
        <v>0</v>
      </c>
      <c r="Q45" s="176">
        <f>'02. BP'!Q57-'02. BP'!Q35</f>
        <v>0</v>
      </c>
      <c r="R45" s="176">
        <f>'02. BP'!R57-'02. BP'!R35</f>
        <v>0</v>
      </c>
      <c r="S45" s="176">
        <f>'02. BP'!S57-'02. BP'!S35</f>
        <v>0</v>
      </c>
      <c r="T45" s="176">
        <f>'02. BP'!T57-'02. BP'!T35</f>
        <v>0</v>
      </c>
      <c r="U45" s="176">
        <f>'02. BP'!U57-'02. BP'!U35</f>
        <v>0</v>
      </c>
      <c r="V45" s="176">
        <f>'02. BP'!V57-'02. BP'!V35</f>
        <v>0</v>
      </c>
      <c r="W45" s="176">
        <f>'02. BP'!W57-'02. BP'!W35</f>
        <v>0</v>
      </c>
      <c r="X45" s="176">
        <f>'02. BP'!X57-'02. BP'!X35</f>
        <v>0</v>
      </c>
      <c r="Y45" s="176">
        <f>'02. BP'!Y57-'02. BP'!Y35</f>
        <v>367</v>
      </c>
      <c r="Z45" s="176">
        <f>'02. BP'!Z57-'02. BP'!Z35</f>
        <v>-238</v>
      </c>
      <c r="AA45" s="176">
        <v>-1371</v>
      </c>
      <c r="AB45" s="176">
        <v>110</v>
      </c>
      <c r="AC45" s="176">
        <v>-916</v>
      </c>
      <c r="AD45" s="176">
        <v>1691</v>
      </c>
      <c r="AE45" s="176">
        <v>-5492</v>
      </c>
      <c r="AF45" s="176">
        <v>-4287</v>
      </c>
      <c r="AG45" s="176">
        <v>-6552</v>
      </c>
      <c r="AH45" s="176">
        <v>-6129</v>
      </c>
      <c r="AI45" s="176">
        <v>-5805</v>
      </c>
      <c r="AJ45" s="176">
        <v>-5090</v>
      </c>
      <c r="AK45" s="176">
        <v>-4593</v>
      </c>
      <c r="AL45" s="176">
        <v>-5063</v>
      </c>
      <c r="AM45" s="176">
        <v>-6955</v>
      </c>
      <c r="AN45" s="176">
        <v>-6442</v>
      </c>
      <c r="AO45" s="176">
        <v>-9732</v>
      </c>
    </row>
    <row r="46" spans="1:41" ht="15.75" x14ac:dyDescent="0.2">
      <c r="A46" s="187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321"/>
      <c r="M46" s="82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</row>
    <row r="47" spans="1:41" s="194" customFormat="1" ht="15.75" x14ac:dyDescent="0.2">
      <c r="A47" s="187" t="s">
        <v>180</v>
      </c>
      <c r="B47" s="193"/>
      <c r="C47" s="193"/>
      <c r="D47" s="188">
        <f>SUM(D48:D52)</f>
        <v>195</v>
      </c>
      <c r="E47" s="188">
        <f t="shared" ref="E47:G47" si="39">SUM(E48:E52)</f>
        <v>0</v>
      </c>
      <c r="F47" s="188">
        <f t="shared" si="39"/>
        <v>0</v>
      </c>
      <c r="G47" s="188">
        <f t="shared" si="39"/>
        <v>0</v>
      </c>
      <c r="H47" s="188">
        <f>SUM(H48:H52)</f>
        <v>0</v>
      </c>
      <c r="I47" s="188">
        <f>SUM(I48:I52)</f>
        <v>0</v>
      </c>
      <c r="J47" s="188">
        <f>SUM(J48:J52)</f>
        <v>0</v>
      </c>
      <c r="K47" s="193"/>
      <c r="L47" s="325"/>
      <c r="M47" s="193"/>
      <c r="N47" s="188">
        <f t="shared" ref="N47" si="40">SUM(N48:N52)</f>
        <v>224002</v>
      </c>
      <c r="O47" s="188">
        <f t="shared" ref="O47" si="41">SUM(O48:O52)</f>
        <v>193685</v>
      </c>
      <c r="P47" s="188">
        <f t="shared" ref="P47" si="42">SUM(P48:P52)</f>
        <v>56726</v>
      </c>
      <c r="Q47" s="188">
        <f t="shared" ref="Q47" si="43">SUM(Q48:Q52)</f>
        <v>195</v>
      </c>
      <c r="R47" s="188">
        <f t="shared" ref="R47" si="44">SUM(R48:R52)</f>
        <v>126</v>
      </c>
      <c r="S47" s="188">
        <f t="shared" ref="S47" si="45">SUM(S48:S52)</f>
        <v>0</v>
      </c>
      <c r="T47" s="188">
        <f t="shared" ref="T47" si="46">SUM(T48:T52)</f>
        <v>0</v>
      </c>
      <c r="U47" s="188">
        <f t="shared" ref="U47" si="47">SUM(U48:U52)</f>
        <v>0</v>
      </c>
      <c r="V47" s="188">
        <f t="shared" ref="V47" si="48">SUM(V48:V52)</f>
        <v>0</v>
      </c>
      <c r="W47" s="188">
        <f t="shared" ref="W47" si="49">SUM(W48:W52)</f>
        <v>0</v>
      </c>
      <c r="X47" s="188">
        <f t="shared" ref="X47" si="50">SUM(X48:X52)</f>
        <v>0</v>
      </c>
      <c r="Y47" s="188">
        <f t="shared" ref="Y47" si="51">SUM(Y48:Y52)</f>
        <v>0</v>
      </c>
      <c r="Z47" s="188">
        <f t="shared" ref="Z47:AA47" si="52">SUM(Z48:Z52)</f>
        <v>0</v>
      </c>
      <c r="AA47" s="188">
        <f t="shared" si="52"/>
        <v>0</v>
      </c>
      <c r="AB47" s="188">
        <f t="shared" ref="AB47:AC47" si="53">SUM(AB48:AB52)</f>
        <v>0</v>
      </c>
      <c r="AC47" s="188">
        <f t="shared" si="53"/>
        <v>0</v>
      </c>
      <c r="AD47" s="188">
        <f t="shared" ref="AD47:AO47" si="54">SUM(AD48:AD52)</f>
        <v>0</v>
      </c>
      <c r="AE47" s="188">
        <f t="shared" si="54"/>
        <v>0</v>
      </c>
      <c r="AF47" s="188">
        <f t="shared" si="54"/>
        <v>0</v>
      </c>
      <c r="AG47" s="188">
        <f t="shared" si="54"/>
        <v>0</v>
      </c>
      <c r="AH47" s="188">
        <f t="shared" si="54"/>
        <v>0</v>
      </c>
      <c r="AI47" s="188">
        <f t="shared" si="54"/>
        <v>0</v>
      </c>
      <c r="AJ47" s="188">
        <f t="shared" si="54"/>
        <v>0</v>
      </c>
      <c r="AK47" s="188">
        <f t="shared" si="54"/>
        <v>0</v>
      </c>
      <c r="AL47" s="188">
        <f t="shared" si="54"/>
        <v>0</v>
      </c>
      <c r="AM47" s="188">
        <f t="shared" si="54"/>
        <v>0</v>
      </c>
      <c r="AN47" s="188">
        <f t="shared" si="54"/>
        <v>0</v>
      </c>
      <c r="AO47" s="188">
        <f t="shared" si="54"/>
        <v>0</v>
      </c>
    </row>
    <row r="48" spans="1:41" ht="15.75" x14ac:dyDescent="0.2">
      <c r="A48" s="189" t="s">
        <v>188</v>
      </c>
      <c r="B48" s="83"/>
      <c r="C48" s="83"/>
      <c r="D48" s="178">
        <f t="shared" ref="D48:F52" si="55">INDEX($N48:$AA48,MATCH(D$5,$N$7:$AA$7,0))</f>
        <v>0</v>
      </c>
      <c r="E48" s="178">
        <f t="shared" si="55"/>
        <v>0</v>
      </c>
      <c r="F48" s="178">
        <f t="shared" si="55"/>
        <v>0</v>
      </c>
      <c r="G48" s="178">
        <f>INDEX($N48:$AC48,MATCH(G$5,$N$7:$AC$7,0))</f>
        <v>0</v>
      </c>
      <c r="H48" s="178">
        <f t="shared" ref="H48:H52" si="56">INDEX($N48:$AG48,MATCH(H$5,$N$7:$AG$7,0))</f>
        <v>0</v>
      </c>
      <c r="I48" s="178">
        <f>INDEX($N48:$AP48,MATCH(I$5,$N$7:$AP$7,0))</f>
        <v>0</v>
      </c>
      <c r="J48" s="178">
        <f>INDEX($N48:$AP48,MATCH(J$5,$N$7:$AP$7,0))</f>
        <v>0</v>
      </c>
      <c r="K48" s="83"/>
      <c r="L48" s="322"/>
      <c r="M48" s="83"/>
      <c r="N48" s="176">
        <v>79130</v>
      </c>
      <c r="O48" s="176">
        <v>64962</v>
      </c>
      <c r="P48" s="176">
        <v>56425</v>
      </c>
      <c r="Q48" s="176">
        <v>0</v>
      </c>
      <c r="R48" s="176">
        <v>0</v>
      </c>
      <c r="S48" s="176">
        <v>0</v>
      </c>
      <c r="T48" s="176">
        <v>0</v>
      </c>
      <c r="U48" s="176">
        <v>0</v>
      </c>
      <c r="V48" s="176">
        <v>0</v>
      </c>
      <c r="W48" s="176">
        <v>0</v>
      </c>
      <c r="X48" s="176">
        <v>0</v>
      </c>
      <c r="Y48" s="176">
        <v>0</v>
      </c>
      <c r="Z48" s="176">
        <v>0</v>
      </c>
      <c r="AA48" s="176">
        <v>0</v>
      </c>
      <c r="AB48" s="176">
        <v>0</v>
      </c>
      <c r="AC48" s="176">
        <v>0</v>
      </c>
      <c r="AD48" s="176">
        <v>0</v>
      </c>
      <c r="AE48" s="176">
        <v>0</v>
      </c>
      <c r="AF48" s="176">
        <v>0</v>
      </c>
      <c r="AG48" s="176">
        <v>0</v>
      </c>
      <c r="AH48" s="176">
        <v>0</v>
      </c>
      <c r="AI48" s="176">
        <v>0</v>
      </c>
      <c r="AJ48" s="176">
        <v>0</v>
      </c>
      <c r="AK48" s="176">
        <v>0</v>
      </c>
      <c r="AL48" s="176">
        <v>0</v>
      </c>
      <c r="AM48" s="176">
        <v>0</v>
      </c>
      <c r="AN48" s="176">
        <v>0</v>
      </c>
      <c r="AO48" s="176">
        <v>0</v>
      </c>
    </row>
    <row r="49" spans="1:41" ht="15.75" x14ac:dyDescent="0.2">
      <c r="A49" s="189" t="s">
        <v>189</v>
      </c>
      <c r="B49" s="83"/>
      <c r="C49" s="83"/>
      <c r="D49" s="178">
        <f t="shared" si="55"/>
        <v>0</v>
      </c>
      <c r="E49" s="178">
        <f t="shared" si="55"/>
        <v>0</v>
      </c>
      <c r="F49" s="178">
        <f t="shared" si="55"/>
        <v>0</v>
      </c>
      <c r="G49" s="178">
        <f>INDEX($N49:$AC49,MATCH(G$5,$N$7:$AC$7,0))</f>
        <v>0</v>
      </c>
      <c r="H49" s="178">
        <f t="shared" si="56"/>
        <v>0</v>
      </c>
      <c r="I49" s="178">
        <f t="shared" ref="I49:J52" si="57">INDEX($N49:$AP49,MATCH(I$5,$N$7:$AP$7,0))</f>
        <v>0</v>
      </c>
      <c r="J49" s="178">
        <f t="shared" si="57"/>
        <v>0</v>
      </c>
      <c r="K49" s="83"/>
      <c r="L49" s="322"/>
      <c r="M49" s="83"/>
      <c r="N49" s="176">
        <v>5436</v>
      </c>
      <c r="O49" s="176">
        <v>4855</v>
      </c>
      <c r="P49" s="176">
        <v>0</v>
      </c>
      <c r="Q49" s="176">
        <v>0</v>
      </c>
      <c r="R49" s="176">
        <v>0</v>
      </c>
      <c r="S49" s="176">
        <v>0</v>
      </c>
      <c r="T49" s="176">
        <v>0</v>
      </c>
      <c r="U49" s="176">
        <v>0</v>
      </c>
      <c r="V49" s="176">
        <v>0</v>
      </c>
      <c r="W49" s="176">
        <v>0</v>
      </c>
      <c r="X49" s="176">
        <v>0</v>
      </c>
      <c r="Y49" s="176">
        <v>0</v>
      </c>
      <c r="Z49" s="176">
        <v>0</v>
      </c>
      <c r="AA49" s="176">
        <v>0</v>
      </c>
      <c r="AB49" s="176">
        <v>0</v>
      </c>
      <c r="AC49" s="176">
        <v>0</v>
      </c>
      <c r="AD49" s="176">
        <v>0</v>
      </c>
      <c r="AE49" s="176">
        <v>0</v>
      </c>
      <c r="AF49" s="176">
        <v>0</v>
      </c>
      <c r="AG49" s="176">
        <v>0</v>
      </c>
      <c r="AH49" s="176">
        <v>0</v>
      </c>
      <c r="AI49" s="176">
        <v>0</v>
      </c>
      <c r="AJ49" s="176">
        <v>0</v>
      </c>
      <c r="AK49" s="176">
        <v>0</v>
      </c>
      <c r="AL49" s="176">
        <v>0</v>
      </c>
      <c r="AM49" s="176">
        <v>0</v>
      </c>
      <c r="AN49" s="176">
        <v>0</v>
      </c>
      <c r="AO49" s="176">
        <v>0</v>
      </c>
    </row>
    <row r="50" spans="1:41" ht="15.75" x14ac:dyDescent="0.2">
      <c r="A50" s="191" t="s">
        <v>190</v>
      </c>
      <c r="B50" s="83"/>
      <c r="C50" s="83"/>
      <c r="D50" s="178">
        <f t="shared" si="55"/>
        <v>0</v>
      </c>
      <c r="E50" s="178">
        <f t="shared" si="55"/>
        <v>0</v>
      </c>
      <c r="F50" s="178">
        <f t="shared" si="55"/>
        <v>0</v>
      </c>
      <c r="G50" s="178">
        <f>INDEX($N50:$AC50,MATCH(G$5,$N$7:$AC$7,0))</f>
        <v>0</v>
      </c>
      <c r="H50" s="178">
        <f t="shared" si="56"/>
        <v>0</v>
      </c>
      <c r="I50" s="178">
        <f t="shared" si="57"/>
        <v>0</v>
      </c>
      <c r="J50" s="178">
        <f t="shared" si="57"/>
        <v>0</v>
      </c>
      <c r="K50" s="83"/>
      <c r="L50" s="322"/>
      <c r="M50" s="83"/>
      <c r="N50" s="176">
        <v>138211</v>
      </c>
      <c r="O50" s="176">
        <v>123497</v>
      </c>
      <c r="P50" s="176">
        <v>0</v>
      </c>
      <c r="Q50" s="176">
        <v>0</v>
      </c>
      <c r="R50" s="176">
        <v>0</v>
      </c>
      <c r="S50" s="176">
        <v>0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6">
        <v>0</v>
      </c>
      <c r="Z50" s="176">
        <v>0</v>
      </c>
      <c r="AA50" s="176">
        <v>0</v>
      </c>
      <c r="AB50" s="176">
        <v>0</v>
      </c>
      <c r="AC50" s="176">
        <v>0</v>
      </c>
      <c r="AD50" s="176">
        <v>0</v>
      </c>
      <c r="AE50" s="176">
        <v>0</v>
      </c>
      <c r="AF50" s="176">
        <v>0</v>
      </c>
      <c r="AG50" s="176">
        <v>0</v>
      </c>
      <c r="AH50" s="176">
        <v>0</v>
      </c>
      <c r="AI50" s="176">
        <v>0</v>
      </c>
      <c r="AJ50" s="176">
        <v>0</v>
      </c>
      <c r="AK50" s="176">
        <v>0</v>
      </c>
      <c r="AL50" s="176">
        <v>0</v>
      </c>
      <c r="AM50" s="176">
        <v>0</v>
      </c>
      <c r="AN50" s="176">
        <v>0</v>
      </c>
      <c r="AO50" s="176">
        <v>0</v>
      </c>
    </row>
    <row r="51" spans="1:41" ht="15.75" x14ac:dyDescent="0.2">
      <c r="A51" s="191" t="s">
        <v>191</v>
      </c>
      <c r="B51" s="83"/>
      <c r="C51" s="83"/>
      <c r="D51" s="178">
        <f t="shared" si="55"/>
        <v>0</v>
      </c>
      <c r="E51" s="178">
        <f t="shared" si="55"/>
        <v>0</v>
      </c>
      <c r="F51" s="178">
        <f t="shared" si="55"/>
        <v>0</v>
      </c>
      <c r="G51" s="178">
        <f>INDEX($N51:$AC51,MATCH(G$5,$N$7:$AC$7,0))</f>
        <v>0</v>
      </c>
      <c r="H51" s="178">
        <f t="shared" si="56"/>
        <v>0</v>
      </c>
      <c r="I51" s="178">
        <f t="shared" si="57"/>
        <v>0</v>
      </c>
      <c r="J51" s="178">
        <f t="shared" si="57"/>
        <v>0</v>
      </c>
      <c r="K51" s="83"/>
      <c r="L51" s="322"/>
      <c r="M51" s="83"/>
      <c r="N51" s="176">
        <v>754</v>
      </c>
      <c r="O51" s="176">
        <v>0</v>
      </c>
      <c r="P51" s="176">
        <v>0</v>
      </c>
      <c r="Q51" s="176">
        <v>0</v>
      </c>
      <c r="R51" s="176">
        <v>0</v>
      </c>
      <c r="S51" s="176">
        <v>0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6">
        <v>0</v>
      </c>
      <c r="Z51" s="176">
        <v>0</v>
      </c>
      <c r="AA51" s="176">
        <v>0</v>
      </c>
      <c r="AB51" s="176">
        <v>0</v>
      </c>
      <c r="AC51" s="176">
        <v>0</v>
      </c>
      <c r="AD51" s="176">
        <v>0</v>
      </c>
      <c r="AE51" s="176">
        <v>0</v>
      </c>
      <c r="AF51" s="176">
        <v>0</v>
      </c>
      <c r="AG51" s="176">
        <v>0</v>
      </c>
      <c r="AH51" s="176">
        <v>0</v>
      </c>
      <c r="AI51" s="176">
        <v>0</v>
      </c>
      <c r="AJ51" s="176">
        <v>0</v>
      </c>
      <c r="AK51" s="176">
        <v>0</v>
      </c>
      <c r="AL51" s="176">
        <v>0</v>
      </c>
      <c r="AM51" s="176">
        <v>0</v>
      </c>
      <c r="AN51" s="176">
        <v>0</v>
      </c>
      <c r="AO51" s="176">
        <v>0</v>
      </c>
    </row>
    <row r="52" spans="1:41" ht="15.75" x14ac:dyDescent="0.2">
      <c r="A52" s="191" t="s">
        <v>192</v>
      </c>
      <c r="B52" s="83"/>
      <c r="C52" s="83"/>
      <c r="D52" s="178">
        <f t="shared" si="55"/>
        <v>195</v>
      </c>
      <c r="E52" s="178">
        <f t="shared" si="55"/>
        <v>0</v>
      </c>
      <c r="F52" s="178">
        <f t="shared" si="55"/>
        <v>0</v>
      </c>
      <c r="G52" s="178">
        <f>INDEX($N52:$AC52,MATCH(G$5,$N$7:$AC$7,0))</f>
        <v>0</v>
      </c>
      <c r="H52" s="178">
        <f t="shared" si="56"/>
        <v>0</v>
      </c>
      <c r="I52" s="178">
        <f t="shared" si="57"/>
        <v>0</v>
      </c>
      <c r="J52" s="178">
        <f t="shared" si="57"/>
        <v>0</v>
      </c>
      <c r="K52" s="83"/>
      <c r="L52" s="322"/>
      <c r="M52" s="83"/>
      <c r="N52" s="176">
        <v>471</v>
      </c>
      <c r="O52" s="176">
        <v>371</v>
      </c>
      <c r="P52" s="176">
        <v>301</v>
      </c>
      <c r="Q52" s="176">
        <v>195</v>
      </c>
      <c r="R52" s="176">
        <v>126</v>
      </c>
      <c r="S52" s="176">
        <v>0</v>
      </c>
      <c r="T52" s="176">
        <v>0</v>
      </c>
      <c r="U52" s="176">
        <v>0</v>
      </c>
      <c r="V52" s="176">
        <v>0</v>
      </c>
      <c r="W52" s="176">
        <v>0</v>
      </c>
      <c r="X52" s="176">
        <v>0</v>
      </c>
      <c r="Y52" s="176">
        <v>0</v>
      </c>
      <c r="Z52" s="176">
        <v>0</v>
      </c>
      <c r="AA52" s="176">
        <v>0</v>
      </c>
      <c r="AB52" s="176">
        <v>0</v>
      </c>
      <c r="AC52" s="176">
        <v>0</v>
      </c>
      <c r="AD52" s="176">
        <v>0</v>
      </c>
      <c r="AE52" s="176">
        <v>0</v>
      </c>
      <c r="AF52" s="176">
        <v>0</v>
      </c>
      <c r="AG52" s="176">
        <v>0</v>
      </c>
      <c r="AH52" s="176">
        <v>0</v>
      </c>
      <c r="AI52" s="176">
        <v>0</v>
      </c>
      <c r="AJ52" s="176">
        <v>0</v>
      </c>
      <c r="AK52" s="176">
        <v>0</v>
      </c>
      <c r="AL52" s="176">
        <v>0</v>
      </c>
      <c r="AM52" s="176">
        <v>0</v>
      </c>
      <c r="AN52" s="176">
        <v>0</v>
      </c>
      <c r="AO52" s="176">
        <v>0</v>
      </c>
    </row>
    <row r="53" spans="1:41" ht="15.75" x14ac:dyDescent="0.2">
      <c r="A53" s="191"/>
      <c r="B53" s="83"/>
      <c r="C53" s="83"/>
      <c r="D53" s="12"/>
      <c r="E53" s="12"/>
      <c r="F53" s="12"/>
      <c r="G53" s="12"/>
      <c r="H53" s="12"/>
      <c r="I53" s="12"/>
      <c r="J53" s="12"/>
      <c r="K53" s="83"/>
      <c r="L53" s="322"/>
      <c r="M53" s="83"/>
      <c r="N53" s="238"/>
      <c r="O53" s="238"/>
      <c r="P53" s="238"/>
      <c r="Q53" s="238"/>
      <c r="R53" s="238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</row>
    <row r="54" spans="1:41" ht="15.75" x14ac:dyDescent="0.2">
      <c r="A54" s="184" t="s">
        <v>193</v>
      </c>
      <c r="B54" s="78"/>
      <c r="C54" s="78"/>
      <c r="D54" s="196">
        <f t="shared" ref="D54:J54" si="58">D33+D10</f>
        <v>838310</v>
      </c>
      <c r="E54" s="196">
        <f t="shared" si="58"/>
        <v>588247</v>
      </c>
      <c r="F54" s="196">
        <f t="shared" si="58"/>
        <v>892740</v>
      </c>
      <c r="G54" s="196">
        <f t="shared" si="58"/>
        <v>1791128</v>
      </c>
      <c r="H54" s="196">
        <f t="shared" si="58"/>
        <v>1618665</v>
      </c>
      <c r="I54" s="196">
        <f t="shared" si="58"/>
        <v>1680865</v>
      </c>
      <c r="J54" s="196">
        <f t="shared" si="58"/>
        <v>1783470</v>
      </c>
      <c r="K54" s="78"/>
      <c r="L54" s="326"/>
      <c r="M54" s="78"/>
      <c r="N54" s="196">
        <f t="shared" ref="N54:AO54" si="59">N33+N10</f>
        <v>776163</v>
      </c>
      <c r="O54" s="196">
        <f t="shared" si="59"/>
        <v>760844</v>
      </c>
      <c r="P54" s="196">
        <f t="shared" si="59"/>
        <v>852321</v>
      </c>
      <c r="Q54" s="196">
        <f t="shared" si="59"/>
        <v>838310</v>
      </c>
      <c r="R54" s="196">
        <f t="shared" si="59"/>
        <v>817837</v>
      </c>
      <c r="S54" s="196">
        <f t="shared" si="59"/>
        <v>786880</v>
      </c>
      <c r="T54" s="196">
        <f t="shared" si="59"/>
        <v>640399</v>
      </c>
      <c r="U54" s="196">
        <f t="shared" si="59"/>
        <v>588247</v>
      </c>
      <c r="V54" s="196">
        <f t="shared" si="59"/>
        <v>615082</v>
      </c>
      <c r="W54" s="196">
        <f t="shared" si="59"/>
        <v>632772</v>
      </c>
      <c r="X54" s="196">
        <f t="shared" si="59"/>
        <v>634570</v>
      </c>
      <c r="Y54" s="196">
        <f t="shared" si="59"/>
        <v>892740</v>
      </c>
      <c r="Z54" s="196">
        <f t="shared" si="59"/>
        <v>887139</v>
      </c>
      <c r="AA54" s="196">
        <f t="shared" si="59"/>
        <v>1099162</v>
      </c>
      <c r="AB54" s="196">
        <f t="shared" si="59"/>
        <v>1048236</v>
      </c>
      <c r="AC54" s="196">
        <f t="shared" si="59"/>
        <v>1791128</v>
      </c>
      <c r="AD54" s="196">
        <f t="shared" si="59"/>
        <v>1837379</v>
      </c>
      <c r="AE54" s="196">
        <f t="shared" si="59"/>
        <v>1843118</v>
      </c>
      <c r="AF54" s="196">
        <f t="shared" si="59"/>
        <v>1582392</v>
      </c>
      <c r="AG54" s="196">
        <f t="shared" si="59"/>
        <v>1618665</v>
      </c>
      <c r="AH54" s="196">
        <f t="shared" si="59"/>
        <v>1613389</v>
      </c>
      <c r="AI54" s="196">
        <f t="shared" si="59"/>
        <v>1666072</v>
      </c>
      <c r="AJ54" s="196">
        <f t="shared" si="59"/>
        <v>1652060</v>
      </c>
      <c r="AK54" s="196">
        <f t="shared" si="59"/>
        <v>1680865</v>
      </c>
      <c r="AL54" s="196">
        <f t="shared" si="59"/>
        <v>1760375</v>
      </c>
      <c r="AM54" s="196">
        <f t="shared" si="59"/>
        <v>1774139</v>
      </c>
      <c r="AN54" s="196">
        <f t="shared" si="59"/>
        <v>1752969</v>
      </c>
      <c r="AO54" s="196">
        <f t="shared" si="59"/>
        <v>1898015</v>
      </c>
    </row>
    <row r="55" spans="1:41" ht="15.75" x14ac:dyDescent="0.2">
      <c r="A55" s="90"/>
      <c r="B55" s="78"/>
      <c r="C55" s="78"/>
      <c r="D55" s="89"/>
      <c r="E55" s="89"/>
      <c r="F55" s="89"/>
      <c r="G55" s="89"/>
      <c r="H55" s="89"/>
      <c r="I55" s="89"/>
      <c r="J55" s="89"/>
      <c r="K55" s="78"/>
      <c r="L55" s="326"/>
      <c r="M55" s="7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</row>
    <row r="56" spans="1:41" ht="15.75" x14ac:dyDescent="0.2">
      <c r="A56" s="60"/>
      <c r="B56" s="78"/>
      <c r="C56" s="78"/>
      <c r="D56" s="60"/>
      <c r="E56" s="60"/>
      <c r="F56" s="60"/>
      <c r="G56" s="60"/>
      <c r="H56" s="60"/>
      <c r="I56" s="60"/>
      <c r="J56" s="60"/>
      <c r="K56" s="78"/>
      <c r="L56" s="326"/>
      <c r="M56" s="78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</row>
    <row r="57" spans="1:41" x14ac:dyDescent="0.2">
      <c r="A57" s="97"/>
      <c r="N57" s="77"/>
      <c r="O57" s="77"/>
      <c r="P57" s="77"/>
      <c r="Q57" s="239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</row>
    <row r="58" spans="1:41" s="89" customFormat="1" ht="15.75" x14ac:dyDescent="0.2">
      <c r="A58" s="197" t="s">
        <v>194</v>
      </c>
      <c r="D58" s="198">
        <f t="shared" ref="D58:I58" si="60">SUM(D59:D61)</f>
        <v>109987</v>
      </c>
      <c r="E58" s="198">
        <f t="shared" si="60"/>
        <v>346232</v>
      </c>
      <c r="F58" s="198">
        <f t="shared" si="60"/>
        <v>506268</v>
      </c>
      <c r="G58" s="198">
        <f t="shared" si="60"/>
        <v>1049208</v>
      </c>
      <c r="H58" s="198">
        <f t="shared" si="60"/>
        <v>600981</v>
      </c>
      <c r="I58" s="198">
        <f t="shared" si="60"/>
        <v>604232</v>
      </c>
      <c r="J58" s="198">
        <f t="shared" ref="J58" si="61">SUM(J59:J61)</f>
        <v>839834</v>
      </c>
      <c r="L58" s="304"/>
      <c r="N58" s="198">
        <f>SUM(N59:N61)</f>
        <v>41962</v>
      </c>
      <c r="O58" s="198">
        <f t="shared" ref="O58:Z58" si="62">SUM(O59:O61)</f>
        <v>30546</v>
      </c>
      <c r="P58" s="198">
        <f t="shared" si="62"/>
        <v>80731</v>
      </c>
      <c r="Q58" s="198">
        <f t="shared" si="62"/>
        <v>109987</v>
      </c>
      <c r="R58" s="198">
        <f t="shared" si="62"/>
        <v>98588</v>
      </c>
      <c r="S58" s="198">
        <f t="shared" si="62"/>
        <v>108208</v>
      </c>
      <c r="T58" s="198">
        <f t="shared" si="62"/>
        <v>377371</v>
      </c>
      <c r="U58" s="198">
        <f t="shared" si="62"/>
        <v>346232</v>
      </c>
      <c r="V58" s="198">
        <f t="shared" si="62"/>
        <v>399820</v>
      </c>
      <c r="W58" s="198">
        <f t="shared" si="62"/>
        <v>374605</v>
      </c>
      <c r="X58" s="198">
        <f t="shared" si="62"/>
        <v>363177</v>
      </c>
      <c r="Y58" s="198">
        <f t="shared" si="62"/>
        <v>506268</v>
      </c>
      <c r="Z58" s="198">
        <f t="shared" si="62"/>
        <v>409199</v>
      </c>
      <c r="AA58" s="198">
        <f t="shared" ref="AA58:AI58" si="63">SUM(AA59:AA61)</f>
        <v>479397</v>
      </c>
      <c r="AB58" s="198">
        <f t="shared" si="63"/>
        <v>398504</v>
      </c>
      <c r="AC58" s="198">
        <f t="shared" si="63"/>
        <v>1049208</v>
      </c>
      <c r="AD58" s="198">
        <f t="shared" si="63"/>
        <v>1033819</v>
      </c>
      <c r="AE58" s="198">
        <f t="shared" si="63"/>
        <v>861955</v>
      </c>
      <c r="AF58" s="198">
        <f t="shared" si="63"/>
        <v>538080</v>
      </c>
      <c r="AG58" s="198">
        <f t="shared" si="63"/>
        <v>600981</v>
      </c>
      <c r="AH58" s="198">
        <f t="shared" si="63"/>
        <v>607515</v>
      </c>
      <c r="AI58" s="198">
        <f t="shared" si="63"/>
        <v>614358</v>
      </c>
      <c r="AJ58" s="198">
        <f t="shared" ref="AJ58:AO58" si="64">SUM(AJ59:AJ61)</f>
        <v>586089</v>
      </c>
      <c r="AK58" s="198">
        <f t="shared" si="64"/>
        <v>604232</v>
      </c>
      <c r="AL58" s="198">
        <f t="shared" si="64"/>
        <v>667138</v>
      </c>
      <c r="AM58" s="198">
        <f t="shared" si="64"/>
        <v>627105</v>
      </c>
      <c r="AN58" s="198">
        <f t="shared" si="64"/>
        <v>681453</v>
      </c>
      <c r="AO58" s="198">
        <f t="shared" si="64"/>
        <v>839834</v>
      </c>
    </row>
    <row r="59" spans="1:41" ht="15.75" x14ac:dyDescent="0.2">
      <c r="A59" s="219" t="s">
        <v>195</v>
      </c>
      <c r="D59" s="178">
        <f t="shared" ref="D59:F61" si="65">INDEX($N59:$AA59,MATCH(D$5,$N$7:$AA$7,0))</f>
        <v>80822</v>
      </c>
      <c r="E59" s="178">
        <f t="shared" si="65"/>
        <v>54260</v>
      </c>
      <c r="F59" s="178">
        <f t="shared" si="65"/>
        <v>30410</v>
      </c>
      <c r="G59" s="178">
        <f>INDEX($N59:$AC59,MATCH(G$5,$N$7:$AC$7,0))</f>
        <v>735194</v>
      </c>
      <c r="H59" s="178">
        <f t="shared" ref="H59:H61" si="66">INDEX($N59:$AG59,MATCH(H$5,$N$7:$AG$7,0))</f>
        <v>484152</v>
      </c>
      <c r="I59" s="178">
        <f>INDEX($N59:$AP59,MATCH(I$5,$N$7:$AP$7,0))</f>
        <v>604232</v>
      </c>
      <c r="J59" s="178">
        <f>INDEX($N59:$AP59,MATCH(J$5,$N$7:$AP$7,0))</f>
        <v>839834</v>
      </c>
      <c r="N59" s="178">
        <f>'02. BP'!N13</f>
        <v>41962</v>
      </c>
      <c r="O59" s="178">
        <f>'02. BP'!O13</f>
        <v>30546</v>
      </c>
      <c r="P59" s="178">
        <f>'02. BP'!P13</f>
        <v>19003</v>
      </c>
      <c r="Q59" s="178">
        <f>'02. BP'!Q13</f>
        <v>80822</v>
      </c>
      <c r="R59" s="178">
        <f>'02. BP'!R13</f>
        <v>68719</v>
      </c>
      <c r="S59" s="178">
        <f>'02. BP'!S13</f>
        <v>108208</v>
      </c>
      <c r="T59" s="178">
        <f>'02. BP'!T13</f>
        <v>86424</v>
      </c>
      <c r="U59" s="178">
        <f>'02. BP'!U13</f>
        <v>54260</v>
      </c>
      <c r="V59" s="178">
        <f>'02. BP'!V13</f>
        <v>46406</v>
      </c>
      <c r="W59" s="178">
        <f>'02. BP'!W13</f>
        <v>34894</v>
      </c>
      <c r="X59" s="178">
        <f>'02. BP'!X13</f>
        <v>41720</v>
      </c>
      <c r="Y59" s="178">
        <f>'02. BP'!Y13</f>
        <v>30410</v>
      </c>
      <c r="Z59" s="178">
        <f>'02. BP'!Z13</f>
        <v>42974</v>
      </c>
      <c r="AA59" s="178">
        <f>'02. BP'!AA13</f>
        <v>37691</v>
      </c>
      <c r="AB59" s="178">
        <f>'02. BP'!AB13</f>
        <v>48397</v>
      </c>
      <c r="AC59" s="178">
        <f>'02. BP'!AC13</f>
        <v>735194</v>
      </c>
      <c r="AD59" s="178">
        <f>'02. BP'!AD13</f>
        <v>493889</v>
      </c>
      <c r="AE59" s="178">
        <f>'02. BP'!AE13</f>
        <v>368120</v>
      </c>
      <c r="AF59" s="178">
        <v>440770</v>
      </c>
      <c r="AG59" s="178">
        <f>'02. BP'!AG13</f>
        <v>484152</v>
      </c>
      <c r="AH59" s="178">
        <f>'02. BP'!AH13</f>
        <v>505444</v>
      </c>
      <c r="AI59" s="178">
        <f>'02. BP'!AI13</f>
        <v>599309</v>
      </c>
      <c r="AJ59" s="178">
        <f>'02. BP'!AJ13</f>
        <v>508948</v>
      </c>
      <c r="AK59" s="178">
        <f>'02. BP'!AK13</f>
        <v>604232</v>
      </c>
      <c r="AL59" s="178">
        <f>'02. BP'!AL13</f>
        <v>667138</v>
      </c>
      <c r="AM59" s="178">
        <f>'02. BP'!AM13</f>
        <v>613937</v>
      </c>
      <c r="AN59" s="178">
        <f>'02. BP'!AN13</f>
        <v>681453</v>
      </c>
      <c r="AO59" s="178">
        <f>'02. BP'!AO13</f>
        <v>839834</v>
      </c>
    </row>
    <row r="60" spans="1:41" ht="15.75" x14ac:dyDescent="0.2">
      <c r="A60" s="219" t="s">
        <v>150</v>
      </c>
      <c r="D60" s="178">
        <f t="shared" si="65"/>
        <v>0</v>
      </c>
      <c r="E60" s="178">
        <f t="shared" si="65"/>
        <v>291972</v>
      </c>
      <c r="F60" s="178">
        <f t="shared" si="65"/>
        <v>475858</v>
      </c>
      <c r="G60" s="178">
        <f>INDEX($N60:$AC60,MATCH(G$5,$N$7:$AC$7,0))</f>
        <v>314014</v>
      </c>
      <c r="H60" s="178">
        <f t="shared" si="66"/>
        <v>116829</v>
      </c>
      <c r="I60" s="178">
        <f t="shared" ref="I60:J61" si="67">INDEX($N60:$AP60,MATCH(I$5,$N$7:$AP$7,0))</f>
        <v>0</v>
      </c>
      <c r="J60" s="178">
        <f t="shared" si="67"/>
        <v>0</v>
      </c>
      <c r="N60" s="178">
        <f>'02. BP'!N14</f>
        <v>0</v>
      </c>
      <c r="O60" s="178">
        <f>'02. BP'!O14</f>
        <v>0</v>
      </c>
      <c r="P60" s="178">
        <f>'02. BP'!P14</f>
        <v>0</v>
      </c>
      <c r="Q60" s="178">
        <f>'02. BP'!Q14</f>
        <v>0</v>
      </c>
      <c r="R60" s="178">
        <f>'02. BP'!R14</f>
        <v>0</v>
      </c>
      <c r="S60" s="178">
        <f>'02. BP'!S14</f>
        <v>0</v>
      </c>
      <c r="T60" s="178">
        <f>'02. BP'!T14</f>
        <v>290947</v>
      </c>
      <c r="U60" s="178">
        <f>'02. BP'!U14</f>
        <v>291972</v>
      </c>
      <c r="V60" s="178">
        <f>'02. BP'!V14</f>
        <v>353414</v>
      </c>
      <c r="W60" s="178">
        <f>'02. BP'!W14</f>
        <v>339711</v>
      </c>
      <c r="X60" s="178">
        <f>'02. BP'!X14</f>
        <v>321457</v>
      </c>
      <c r="Y60" s="178">
        <f>'02. BP'!Y14</f>
        <v>475858</v>
      </c>
      <c r="Z60" s="178">
        <f>'02. BP'!Z14</f>
        <v>366225</v>
      </c>
      <c r="AA60" s="178">
        <f>'02. BP'!AA14</f>
        <v>441706</v>
      </c>
      <c r="AB60" s="178">
        <f>'02. BP'!AB14</f>
        <v>350107</v>
      </c>
      <c r="AC60" s="178">
        <f>'02. BP'!AC14</f>
        <v>314014</v>
      </c>
      <c r="AD60" s="178">
        <f>'02. BP'!AD14</f>
        <v>539930</v>
      </c>
      <c r="AE60" s="178">
        <f>'02. BP'!AE14</f>
        <v>493835</v>
      </c>
      <c r="AF60" s="178">
        <f>'02. BP'!AF14</f>
        <v>97310</v>
      </c>
      <c r="AG60" s="178">
        <f>'02. BP'!AG14</f>
        <v>116829</v>
      </c>
      <c r="AH60" s="178">
        <f>'02. BP'!AH14</f>
        <v>102071</v>
      </c>
      <c r="AI60" s="178">
        <f>'02. BP'!AI14</f>
        <v>15049</v>
      </c>
      <c r="AJ60" s="178">
        <f>'02. BP'!AJ14</f>
        <v>77141</v>
      </c>
      <c r="AK60" s="178">
        <f>'02. BP'!AK14</f>
        <v>0</v>
      </c>
      <c r="AL60" s="178">
        <f>'02. BP'!AL14</f>
        <v>0</v>
      </c>
      <c r="AM60" s="178">
        <f>'02. BP'!AM14</f>
        <v>13168</v>
      </c>
      <c r="AN60" s="178">
        <f>'02. BP'!AN14</f>
        <v>0</v>
      </c>
      <c r="AO60" s="178">
        <f>'02. BP'!AO14</f>
        <v>0</v>
      </c>
    </row>
    <row r="61" spans="1:41" ht="15.75" x14ac:dyDescent="0.2">
      <c r="A61" s="219" t="s">
        <v>152</v>
      </c>
      <c r="D61" s="178">
        <f t="shared" si="65"/>
        <v>29165</v>
      </c>
      <c r="E61" s="178">
        <f t="shared" si="65"/>
        <v>0</v>
      </c>
      <c r="F61" s="178">
        <f t="shared" si="65"/>
        <v>0</v>
      </c>
      <c r="G61" s="178">
        <f>INDEX($N61:$AC61,MATCH(G$5,$N$7:$AC$7,0))</f>
        <v>0</v>
      </c>
      <c r="H61" s="178">
        <f t="shared" si="66"/>
        <v>0</v>
      </c>
      <c r="I61" s="178">
        <f t="shared" si="67"/>
        <v>0</v>
      </c>
      <c r="J61" s="178">
        <f t="shared" si="67"/>
        <v>0</v>
      </c>
      <c r="N61" s="178">
        <f>'02. BP'!N19</f>
        <v>0</v>
      </c>
      <c r="O61" s="178">
        <f>'02. BP'!O19</f>
        <v>0</v>
      </c>
      <c r="P61" s="178">
        <f>'02. BP'!P19</f>
        <v>61728</v>
      </c>
      <c r="Q61" s="178">
        <f>'02. BP'!Q19</f>
        <v>29165</v>
      </c>
      <c r="R61" s="178">
        <f>'02. BP'!R19</f>
        <v>29869</v>
      </c>
      <c r="S61" s="178">
        <f>'02. BP'!S19</f>
        <v>0</v>
      </c>
      <c r="T61" s="178">
        <f>'02. BP'!T19</f>
        <v>0</v>
      </c>
      <c r="U61" s="178">
        <f>'02. BP'!U19</f>
        <v>0</v>
      </c>
      <c r="V61" s="178">
        <f>'02. BP'!V19</f>
        <v>0</v>
      </c>
      <c r="W61" s="178">
        <f>'02. BP'!W19</f>
        <v>0</v>
      </c>
      <c r="X61" s="178">
        <f>'02. BP'!X19</f>
        <v>0</v>
      </c>
      <c r="Y61" s="178">
        <f>'02. BP'!Y19</f>
        <v>0</v>
      </c>
      <c r="Z61" s="178">
        <f>'02. BP'!Z19</f>
        <v>0</v>
      </c>
      <c r="AA61" s="178">
        <f>'02. BP'!AA19</f>
        <v>0</v>
      </c>
      <c r="AB61" s="178">
        <f>'02. BP'!AB19</f>
        <v>0</v>
      </c>
      <c r="AC61" s="178">
        <f>'02. BP'!AC19</f>
        <v>0</v>
      </c>
      <c r="AD61" s="178">
        <f>'02. BP'!AD19</f>
        <v>0</v>
      </c>
      <c r="AE61" s="178">
        <f>'02. BP'!AE19</f>
        <v>0</v>
      </c>
      <c r="AF61" s="178">
        <f>'02. BP'!AF19</f>
        <v>0</v>
      </c>
      <c r="AG61" s="178">
        <v>0</v>
      </c>
      <c r="AH61" s="178">
        <v>0</v>
      </c>
      <c r="AI61" s="178">
        <v>0</v>
      </c>
      <c r="AJ61" s="178">
        <v>0</v>
      </c>
      <c r="AK61" s="178">
        <v>0</v>
      </c>
      <c r="AL61" s="178">
        <v>0</v>
      </c>
      <c r="AM61" s="178">
        <v>0</v>
      </c>
      <c r="AN61" s="178">
        <v>0</v>
      </c>
      <c r="AO61" s="178">
        <v>0</v>
      </c>
    </row>
    <row r="62" spans="1:41" x14ac:dyDescent="0.2">
      <c r="A62" s="97"/>
      <c r="N62" s="77"/>
      <c r="O62" s="77"/>
      <c r="P62" s="77"/>
      <c r="Q62" s="239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</row>
    <row r="63" spans="1:41" s="74" customFormat="1" ht="15.75" x14ac:dyDescent="0.2">
      <c r="A63" s="117" t="s">
        <v>196</v>
      </c>
      <c r="B63" s="199"/>
      <c r="C63" s="199"/>
      <c r="D63" s="200">
        <f t="shared" ref="D63:I63" si="68">D54-D58</f>
        <v>728323</v>
      </c>
      <c r="E63" s="200">
        <f t="shared" si="68"/>
        <v>242015</v>
      </c>
      <c r="F63" s="200">
        <f t="shared" si="68"/>
        <v>386472</v>
      </c>
      <c r="G63" s="200">
        <f t="shared" si="68"/>
        <v>741920</v>
      </c>
      <c r="H63" s="200">
        <f t="shared" si="68"/>
        <v>1017684</v>
      </c>
      <c r="I63" s="200">
        <f t="shared" si="68"/>
        <v>1076633</v>
      </c>
      <c r="J63" s="200">
        <f t="shared" ref="J63" si="69">J54-J58</f>
        <v>943636</v>
      </c>
      <c r="K63" s="199"/>
      <c r="L63" s="327"/>
      <c r="M63" s="199"/>
      <c r="N63" s="200">
        <f>N54-N58</f>
        <v>734201</v>
      </c>
      <c r="O63" s="200">
        <f t="shared" ref="O63:Z63" si="70">O54-O58</f>
        <v>730298</v>
      </c>
      <c r="P63" s="200">
        <f t="shared" si="70"/>
        <v>771590</v>
      </c>
      <c r="Q63" s="200">
        <f t="shared" si="70"/>
        <v>728323</v>
      </c>
      <c r="R63" s="200">
        <f t="shared" si="70"/>
        <v>719249</v>
      </c>
      <c r="S63" s="200">
        <f t="shared" si="70"/>
        <v>678672</v>
      </c>
      <c r="T63" s="200">
        <f t="shared" si="70"/>
        <v>263028</v>
      </c>
      <c r="U63" s="200">
        <f t="shared" si="70"/>
        <v>242015</v>
      </c>
      <c r="V63" s="200">
        <f t="shared" si="70"/>
        <v>215262</v>
      </c>
      <c r="W63" s="200">
        <f t="shared" si="70"/>
        <v>258167</v>
      </c>
      <c r="X63" s="200">
        <f t="shared" si="70"/>
        <v>271393</v>
      </c>
      <c r="Y63" s="200">
        <f t="shared" si="70"/>
        <v>386472</v>
      </c>
      <c r="Z63" s="200">
        <f t="shared" si="70"/>
        <v>477940</v>
      </c>
      <c r="AA63" s="200">
        <f t="shared" ref="AA63:AB63" si="71">AA54-AA58</f>
        <v>619765</v>
      </c>
      <c r="AB63" s="306">
        <f t="shared" si="71"/>
        <v>649732</v>
      </c>
      <c r="AC63" s="306">
        <f t="shared" ref="AC63:AH63" si="72">AC54-AC58</f>
        <v>741920</v>
      </c>
      <c r="AD63" s="306">
        <f t="shared" si="72"/>
        <v>803560</v>
      </c>
      <c r="AE63" s="306">
        <f t="shared" si="72"/>
        <v>981163</v>
      </c>
      <c r="AF63" s="306">
        <f t="shared" si="72"/>
        <v>1044312</v>
      </c>
      <c r="AG63" s="306">
        <f t="shared" si="72"/>
        <v>1017684</v>
      </c>
      <c r="AH63" s="306">
        <f t="shared" si="72"/>
        <v>1005874</v>
      </c>
      <c r="AI63" s="306">
        <f t="shared" ref="AI63:AJ63" si="73">AI54-AI58</f>
        <v>1051714</v>
      </c>
      <c r="AJ63" s="306">
        <f t="shared" si="73"/>
        <v>1065971</v>
      </c>
      <c r="AK63" s="306">
        <f t="shared" ref="AK63:AL63" si="74">AK54-AK58</f>
        <v>1076633</v>
      </c>
      <c r="AL63" s="306">
        <f t="shared" si="74"/>
        <v>1093237</v>
      </c>
      <c r="AM63" s="306">
        <f t="shared" ref="AM63:AN63" si="75">AM54-AM58</f>
        <v>1147034</v>
      </c>
      <c r="AN63" s="306">
        <f t="shared" si="75"/>
        <v>1071516</v>
      </c>
      <c r="AO63" s="306">
        <f t="shared" ref="AO63" si="76">AO54-AO58</f>
        <v>1058181</v>
      </c>
    </row>
    <row r="64" spans="1:41" s="207" customFormat="1" ht="15.75" x14ac:dyDescent="0.2">
      <c r="A64" s="201" t="s">
        <v>197</v>
      </c>
      <c r="B64" s="202"/>
      <c r="C64" s="202"/>
      <c r="D64" s="203">
        <f t="shared" ref="D64:F64" si="77">INDEX($N64:$AA64,MATCH(D$5,$N$7:$AA$7,0))</f>
        <v>3.3956826817726182</v>
      </c>
      <c r="E64" s="203">
        <f t="shared" si="77"/>
        <v>1.0714402717924969</v>
      </c>
      <c r="F64" s="203">
        <f t="shared" si="77"/>
        <v>0.78245711358699066</v>
      </c>
      <c r="G64" s="203">
        <f>INDEX($N64:$AC64,MATCH(G$5,$N$7:$AC$7,0))</f>
        <v>1.3790642170457335</v>
      </c>
      <c r="H64" s="203">
        <f>INDEX($N64:$AG64,MATCH(H$5,$N$7:$AG$7,0))</f>
        <v>2.0748905145205883</v>
      </c>
      <c r="I64" s="203">
        <f>INDEX($N64:$AP64,MATCH(I$5,$N$7:$AP$7,0))</f>
        <v>2.1724005036360263</v>
      </c>
      <c r="J64" s="359">
        <f>INDEX($N64:$AP64,MATCH(J$5,$N$7:$AP$7,0))</f>
        <v>1.9897053182607911</v>
      </c>
      <c r="K64" s="202"/>
      <c r="L64" s="328"/>
      <c r="M64" s="202"/>
      <c r="N64" s="204"/>
      <c r="O64" s="205"/>
      <c r="P64" s="206"/>
      <c r="Q64" s="358">
        <f>Q63/SUM('01. DRE e EBITDA'!N95:Q95)</f>
        <v>3.3956826817726182</v>
      </c>
      <c r="R64" s="358">
        <f>R63/SUM('01. DRE e EBITDA'!O95:R95)</f>
        <v>3.3085180716407283</v>
      </c>
      <c r="S64" s="358">
        <f>S63/SUM('01. DRE e EBITDA'!P95:S95)</f>
        <v>2.9427103884087025</v>
      </c>
      <c r="T64" s="358">
        <f>T63/SUM('01. DRE e EBITDA'!Q95:T95)</f>
        <v>1.1004057261862825</v>
      </c>
      <c r="U64" s="358">
        <f>U63/SUM('01. DRE e EBITDA'!R95:U95)</f>
        <v>1.0714402717924969</v>
      </c>
      <c r="V64" s="358">
        <f>V63/SUM('01. DRE e EBITDA'!S95:V95)</f>
        <v>0.78559877902310904</v>
      </c>
      <c r="W64" s="358">
        <f>W63/SUM('01. DRE e EBITDA'!T95:W95)</f>
        <v>0.76497099138927249</v>
      </c>
      <c r="X64" s="358">
        <f>X63/SUM('01. DRE e EBITDA'!U95:X95)</f>
        <v>0.64286001918681079</v>
      </c>
      <c r="Y64" s="358">
        <f>Y63/SUM('01. DRE e EBITDA'!V95:Y95)</f>
        <v>0.78245711358699066</v>
      </c>
      <c r="Z64" s="358">
        <f>Z63/SUM('01. DRE e EBITDA'!W95:Z95)</f>
        <v>0.90153374290990507</v>
      </c>
      <c r="AA64" s="358">
        <f>AA63/SUM('01. DRE e EBITDA'!X95:AA95)</f>
        <v>1.1149238775925063</v>
      </c>
      <c r="AB64" s="358">
        <f>AB63/SUM('01. DRE e EBITDA'!Y95:AB95)</f>
        <v>1.1750646099979563</v>
      </c>
      <c r="AC64" s="358">
        <f>AC63/SUM('01. DRE e EBITDA'!Z95:AC95)</f>
        <v>1.3790642170457335</v>
      </c>
      <c r="AD64" s="358">
        <f>AD63/SUM('01. DRE e EBITDA'!AA95:AD95)</f>
        <v>1.5172101278250854</v>
      </c>
      <c r="AE64" s="358">
        <f>AE63/SUM('01. DRE e EBITDA'!AB95:AE95)</f>
        <v>1.9549986650035667</v>
      </c>
      <c r="AF64" s="358">
        <f>AF63/SUM('01. DRE e EBITDA'!AC95:AF95)</f>
        <v>2.0977070716201149</v>
      </c>
      <c r="AG64" s="358">
        <f>AG63/SUM('01. DRE e EBITDA'!AD95:AG95)</f>
        <v>2.0748905145205883</v>
      </c>
      <c r="AH64" s="358">
        <f>AH63/SUM('01. DRE e EBITDA'!AE95:AH95)</f>
        <v>2.0150526864057055</v>
      </c>
      <c r="AI64" s="358">
        <f>AI63/SUM('01. DRE e EBITDA'!AF95:AI95)</f>
        <v>2.1028476140585197</v>
      </c>
      <c r="AJ64" s="358">
        <f>AJ63/SUM('01. DRE e EBITDA'!AG95:AJ95)</f>
        <v>2.1662774983488289</v>
      </c>
      <c r="AK64" s="358">
        <f>AK63/SUM('01. DRE e EBITDA'!AH95:AK95)</f>
        <v>2.1724005036360263</v>
      </c>
      <c r="AL64" s="358">
        <f>AL63/SUM('01. DRE e EBITDA'!AI95:AL95)</f>
        <v>2.2059035988991034</v>
      </c>
      <c r="AM64" s="358">
        <f>AM63/SUM('01. DRE e EBITDA'!AJ95:AM95)</f>
        <v>2.2974498461735675</v>
      </c>
      <c r="AN64" s="358">
        <f>AN63/SUM('01. DRE e EBITDA'!AK95:AN95)</f>
        <v>2.0636476039704643</v>
      </c>
      <c r="AO64" s="358">
        <f>AO63/SUM('01. DRE e EBITDA'!AL95:AO95)</f>
        <v>1.9897053182607911</v>
      </c>
    </row>
    <row r="65" spans="1:41" ht="15.75" x14ac:dyDescent="0.2">
      <c r="A65" s="208"/>
      <c r="B65" s="209"/>
      <c r="C65" s="209"/>
      <c r="D65" s="147"/>
      <c r="E65" s="147"/>
      <c r="F65" s="147"/>
      <c r="G65" s="147"/>
      <c r="H65" s="147"/>
      <c r="I65" s="147"/>
      <c r="J65" s="147"/>
      <c r="K65" s="199"/>
      <c r="L65" s="329"/>
      <c r="M65" s="199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</row>
    <row r="66" spans="1:41" ht="15.75" x14ac:dyDescent="0.2">
      <c r="A66" s="60"/>
      <c r="D66" s="60"/>
      <c r="E66" s="60"/>
      <c r="F66" s="60"/>
      <c r="G66" s="60"/>
      <c r="H66" s="60"/>
      <c r="I66" s="60"/>
      <c r="J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</row>
    <row r="67" spans="1:41" ht="15.75" x14ac:dyDescent="0.2">
      <c r="A67" s="90"/>
      <c r="B67" s="78"/>
      <c r="C67" s="78"/>
      <c r="D67" s="89"/>
      <c r="E67" s="89"/>
      <c r="F67" s="89"/>
      <c r="G67" s="89"/>
      <c r="H67" s="89"/>
      <c r="I67" s="89"/>
      <c r="J67" s="89"/>
      <c r="K67" s="78"/>
      <c r="L67" s="326"/>
      <c r="M67" s="78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</row>
    <row r="68" spans="1:41" ht="15.75" x14ac:dyDescent="0.2">
      <c r="A68" s="90"/>
      <c r="B68" s="78"/>
      <c r="C68" s="78"/>
      <c r="D68" s="89"/>
      <c r="E68" s="89"/>
      <c r="F68" s="89"/>
      <c r="G68" s="89"/>
      <c r="H68" s="89"/>
      <c r="I68" s="89"/>
      <c r="J68" s="89"/>
      <c r="K68" s="78"/>
      <c r="L68" s="326"/>
      <c r="M68" s="78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</row>
    <row r="69" spans="1:41" s="214" customFormat="1" ht="15.75" x14ac:dyDescent="0.2">
      <c r="A69" s="212" t="s">
        <v>198</v>
      </c>
      <c r="B69" s="78"/>
      <c r="C69" s="78"/>
      <c r="D69" s="213">
        <f>INDEX($N69:$AA69,MATCH(D$5,$N$7:$AA$7,0))</f>
        <v>0.1099</v>
      </c>
      <c r="E69" s="213">
        <f>INDEX($N69:$AA69,MATCH(E$5,$N$7:$AA$7,0))</f>
        <v>9.11E-2</v>
      </c>
      <c r="F69" s="213">
        <f>INDEX($N69:$AA69,MATCH(F$5,$N$7:$AA$7,0))</f>
        <v>9.8699999999999996E-2</v>
      </c>
      <c r="G69" s="316">
        <f>INDEX($N69:$AC69,MATCH(G$5,$N$7:$AC$7,0))</f>
        <v>0.13800000000000001</v>
      </c>
      <c r="H69" s="316">
        <f>INDEX($N69:$AG69,MATCH(H$5,$N$7:$AG$7,0))</f>
        <v>0.14199999999999999</v>
      </c>
      <c r="I69" s="316">
        <f>INDEX($N69:$AP69,MATCH(I$5,$N$7:$AP$7,0))</f>
        <v>0.113</v>
      </c>
      <c r="J69" s="316">
        <f>INDEX($N69:$AP69,MATCH(J$5,$N$7:$AP$7,0))</f>
        <v>0.13500000000000001</v>
      </c>
      <c r="K69" s="78"/>
      <c r="L69" s="326"/>
      <c r="M69" s="78"/>
      <c r="N69" s="195"/>
      <c r="O69" s="195"/>
      <c r="P69" s="195"/>
      <c r="Q69" s="241">
        <v>0.1099</v>
      </c>
      <c r="R69" s="242">
        <v>0.1026</v>
      </c>
      <c r="S69" s="241">
        <v>9.1499999999999998E-2</v>
      </c>
      <c r="T69" s="241">
        <v>0.1021</v>
      </c>
      <c r="U69" s="241">
        <v>9.11E-2</v>
      </c>
      <c r="V69" s="241">
        <v>8.2600000000000007E-2</v>
      </c>
      <c r="W69" s="241">
        <v>8.4199999999999997E-2</v>
      </c>
      <c r="X69" s="241">
        <v>8.2600000000000007E-2</v>
      </c>
      <c r="Y69" s="241">
        <v>9.8699999999999996E-2</v>
      </c>
      <c r="Z69" s="241">
        <v>0.121</v>
      </c>
      <c r="AA69" s="241">
        <v>0.13600000000000001</v>
      </c>
      <c r="AB69" s="241">
        <v>0.14000000000000001</v>
      </c>
      <c r="AC69" s="241">
        <v>0.13800000000000001</v>
      </c>
      <c r="AD69" s="241">
        <v>0.13800000000000001</v>
      </c>
      <c r="AE69" s="241">
        <v>0.13900000000000001</v>
      </c>
      <c r="AF69" s="241">
        <v>0.14399999999999999</v>
      </c>
      <c r="AG69" s="241">
        <v>0.14199999999999999</v>
      </c>
      <c r="AH69" s="241">
        <v>0.13500000000000001</v>
      </c>
      <c r="AI69" s="241">
        <v>0.124</v>
      </c>
      <c r="AJ69" s="241">
        <v>0.113</v>
      </c>
      <c r="AK69" s="241">
        <v>0.113</v>
      </c>
      <c r="AL69" s="241">
        <v>0.113</v>
      </c>
      <c r="AM69" s="241">
        <v>0.124</v>
      </c>
      <c r="AN69" s="241">
        <v>0.13400000000000001</v>
      </c>
      <c r="AO69" s="241">
        <v>0.13500000000000001</v>
      </c>
    </row>
    <row r="70" spans="1:41" x14ac:dyDescent="0.2">
      <c r="A70" s="97"/>
      <c r="Q70" s="98"/>
    </row>
    <row r="71" spans="1:41" ht="15.75" x14ac:dyDescent="0.2">
      <c r="A71" s="60"/>
      <c r="D71" s="60"/>
      <c r="E71" s="60"/>
      <c r="F71" s="60"/>
      <c r="G71" s="60"/>
      <c r="H71" s="60"/>
      <c r="I71" s="60"/>
      <c r="J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</row>
    <row r="72" spans="1:41" ht="15.75" x14ac:dyDescent="0.2">
      <c r="A72" s="208"/>
      <c r="B72" s="209"/>
      <c r="C72" s="209"/>
      <c r="D72" s="147"/>
      <c r="E72" s="147"/>
      <c r="F72" s="147"/>
      <c r="G72" s="147"/>
      <c r="H72" s="147"/>
      <c r="I72" s="147"/>
      <c r="J72" s="147"/>
      <c r="K72" s="199"/>
      <c r="L72" s="329"/>
      <c r="M72" s="199"/>
      <c r="N72" s="215"/>
      <c r="O72" s="216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</row>
    <row r="73" spans="1:41" ht="15.75" x14ac:dyDescent="0.2">
      <c r="A73" s="208"/>
      <c r="B73" s="209"/>
      <c r="C73" s="209"/>
      <c r="D73" s="147"/>
      <c r="E73" s="147"/>
      <c r="F73" s="147"/>
      <c r="G73" s="147"/>
      <c r="H73" s="147"/>
      <c r="I73" s="147"/>
      <c r="J73" s="147"/>
      <c r="K73" s="199"/>
      <c r="L73" s="329"/>
      <c r="M73" s="199"/>
      <c r="N73" s="217"/>
      <c r="O73" s="217"/>
      <c r="P73" s="217"/>
      <c r="Q73" s="217"/>
      <c r="R73" s="217"/>
      <c r="S73" s="217"/>
      <c r="T73" s="217"/>
      <c r="U73" s="217"/>
      <c r="V73" s="215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</row>
    <row r="74" spans="1:41" ht="15.75" hidden="1" outlineLevel="1" x14ac:dyDescent="0.2">
      <c r="A74" s="91" t="s">
        <v>199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320"/>
      <c r="M74" s="75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5.75" hidden="1" outlineLevel="1" x14ac:dyDescent="0.2">
      <c r="A75" s="91">
        <v>2020</v>
      </c>
      <c r="B75" s="75"/>
      <c r="C75" s="75"/>
      <c r="D75" s="12">
        <f>INDEX($N75:$AG75,MATCH(D$5,$N$7:$AG$7,0))</f>
        <v>0</v>
      </c>
      <c r="E75" s="12">
        <f t="shared" ref="E75:H85" si="78">INDEX($N75:$AG75,MATCH(E$5,$N$7:$AG$7,0))</f>
        <v>0</v>
      </c>
      <c r="F75" s="12">
        <f t="shared" si="78"/>
        <v>0</v>
      </c>
      <c r="G75" s="12">
        <f t="shared" si="78"/>
        <v>0</v>
      </c>
      <c r="H75" s="12">
        <f t="shared" si="78"/>
        <v>0</v>
      </c>
      <c r="I75" s="12">
        <f>INDEX($N75:$AP75,MATCH(I$5,$N$7:$AP$7,0))</f>
        <v>0</v>
      </c>
      <c r="J75" s="12">
        <f>INDEX($N75:$AP75,MATCH(J$5,$N$7:$AP$7,0))</f>
        <v>0</v>
      </c>
      <c r="K75" s="75"/>
      <c r="L75" s="320"/>
      <c r="M75" s="75"/>
      <c r="N75" s="240">
        <v>191906</v>
      </c>
      <c r="O75" s="240">
        <v>127925</v>
      </c>
      <c r="P75" s="240">
        <v>36344</v>
      </c>
      <c r="Q75" s="240">
        <v>0</v>
      </c>
      <c r="R75" s="240">
        <v>0</v>
      </c>
      <c r="S75" s="240">
        <v>0</v>
      </c>
      <c r="T75" s="240">
        <v>0</v>
      </c>
      <c r="U75" s="240">
        <v>0</v>
      </c>
      <c r="V75" s="240">
        <v>0</v>
      </c>
      <c r="W75" s="240">
        <v>0</v>
      </c>
      <c r="X75" s="240">
        <v>0</v>
      </c>
      <c r="Y75" s="240">
        <v>0</v>
      </c>
      <c r="Z75" s="240">
        <v>0</v>
      </c>
      <c r="AA75" s="240">
        <v>0</v>
      </c>
      <c r="AB75" s="240">
        <v>0</v>
      </c>
      <c r="AC75" s="240">
        <v>0</v>
      </c>
      <c r="AD75" s="240">
        <v>0</v>
      </c>
      <c r="AE75" s="240">
        <v>0</v>
      </c>
      <c r="AF75" s="240">
        <v>0</v>
      </c>
      <c r="AG75" s="240">
        <v>0</v>
      </c>
      <c r="AH75" s="240">
        <v>0</v>
      </c>
      <c r="AI75" s="240">
        <v>0</v>
      </c>
      <c r="AJ75" s="240">
        <v>0</v>
      </c>
      <c r="AK75" s="240">
        <v>0</v>
      </c>
      <c r="AL75" s="240">
        <v>0</v>
      </c>
      <c r="AM75" s="240">
        <v>0</v>
      </c>
      <c r="AN75" s="240">
        <v>0</v>
      </c>
      <c r="AO75" s="240">
        <v>0</v>
      </c>
    </row>
    <row r="76" spans="1:41" ht="15.75" hidden="1" outlineLevel="1" x14ac:dyDescent="0.2">
      <c r="A76" s="91">
        <v>2021</v>
      </c>
      <c r="B76" s="75"/>
      <c r="C76" s="75"/>
      <c r="D76" s="12">
        <f t="shared" ref="D76:D83" si="79">INDEX($N76:$AG76,MATCH(D$5,$N$7:$AG$7,0))</f>
        <v>42016</v>
      </c>
      <c r="E76" s="12">
        <f t="shared" si="78"/>
        <v>0</v>
      </c>
      <c r="F76" s="12">
        <f t="shared" si="78"/>
        <v>0</v>
      </c>
      <c r="G76" s="12">
        <f t="shared" si="78"/>
        <v>0</v>
      </c>
      <c r="H76" s="12">
        <f t="shared" si="78"/>
        <v>0</v>
      </c>
      <c r="I76" s="12">
        <f t="shared" ref="I76:I85" si="80">INDEX($N76:$AP76,MATCH(I$5,$N$7:$AP$7,0))</f>
        <v>0</v>
      </c>
      <c r="J76" s="12">
        <f t="shared" ref="J76:J85" si="81">INDEX($N76:$AP76,MATCH(J$5,$N$7:$AP$7,0))</f>
        <v>0</v>
      </c>
      <c r="K76" s="75"/>
      <c r="L76" s="320"/>
      <c r="M76" s="75"/>
      <c r="N76" s="240">
        <v>184450</v>
      </c>
      <c r="O76" s="240">
        <v>185141</v>
      </c>
      <c r="P76" s="240">
        <v>83994</v>
      </c>
      <c r="Q76" s="240">
        <v>42016</v>
      </c>
      <c r="R76" s="240">
        <v>27037</v>
      </c>
      <c r="S76" s="240">
        <v>33702</v>
      </c>
      <c r="T76" s="240">
        <v>5998</v>
      </c>
      <c r="U76" s="240">
        <v>0</v>
      </c>
      <c r="V76" s="240">
        <v>0</v>
      </c>
      <c r="W76" s="240">
        <v>0</v>
      </c>
      <c r="X76" s="240">
        <v>0</v>
      </c>
      <c r="Y76" s="240">
        <v>0</v>
      </c>
      <c r="Z76" s="240">
        <v>0</v>
      </c>
      <c r="AA76" s="240">
        <v>0</v>
      </c>
      <c r="AB76" s="240">
        <v>0</v>
      </c>
      <c r="AC76" s="240">
        <v>0</v>
      </c>
      <c r="AD76" s="240">
        <v>0</v>
      </c>
      <c r="AE76" s="240">
        <v>0</v>
      </c>
      <c r="AF76" s="240">
        <v>0</v>
      </c>
      <c r="AG76" s="240">
        <v>0</v>
      </c>
      <c r="AH76" s="240">
        <v>0</v>
      </c>
      <c r="AI76" s="240">
        <v>0</v>
      </c>
      <c r="AJ76" s="240">
        <v>0</v>
      </c>
      <c r="AK76" s="240">
        <v>0</v>
      </c>
      <c r="AL76" s="240">
        <v>0</v>
      </c>
      <c r="AM76" s="240">
        <v>0</v>
      </c>
      <c r="AN76" s="240">
        <v>0</v>
      </c>
      <c r="AO76" s="240">
        <v>0</v>
      </c>
    </row>
    <row r="77" spans="1:41" ht="15.75" hidden="1" outlineLevel="1" x14ac:dyDescent="0.2">
      <c r="A77" s="91">
        <v>2022</v>
      </c>
      <c r="B77" s="78"/>
      <c r="C77" s="78"/>
      <c r="D77" s="12">
        <f t="shared" si="79"/>
        <v>36328</v>
      </c>
      <c r="E77" s="12">
        <f t="shared" si="78"/>
        <v>35676</v>
      </c>
      <c r="F77" s="12">
        <f t="shared" si="78"/>
        <v>3680</v>
      </c>
      <c r="G77" s="12">
        <f t="shared" si="78"/>
        <v>0</v>
      </c>
      <c r="H77" s="12">
        <f t="shared" si="78"/>
        <v>0</v>
      </c>
      <c r="I77" s="12">
        <f t="shared" si="80"/>
        <v>0</v>
      </c>
      <c r="J77" s="12">
        <f t="shared" si="81"/>
        <v>0</v>
      </c>
      <c r="K77" s="78"/>
      <c r="L77" s="326"/>
      <c r="M77" s="78"/>
      <c r="N77" s="240">
        <v>104465</v>
      </c>
      <c r="O77" s="240">
        <v>104863</v>
      </c>
      <c r="P77" s="240">
        <v>36099</v>
      </c>
      <c r="Q77" s="240">
        <v>36328</v>
      </c>
      <c r="R77" s="240">
        <v>37810</v>
      </c>
      <c r="S77" s="240">
        <v>38225</v>
      </c>
      <c r="T77" s="240">
        <v>36980</v>
      </c>
      <c r="U77" s="240">
        <v>35676</v>
      </c>
      <c r="V77" s="240">
        <v>33733</v>
      </c>
      <c r="W77" s="240">
        <v>34137</v>
      </c>
      <c r="X77" s="240">
        <v>86</v>
      </c>
      <c r="Y77" s="240">
        <v>3680</v>
      </c>
      <c r="Z77" s="240">
        <v>3936</v>
      </c>
      <c r="AA77" s="240">
        <v>0</v>
      </c>
      <c r="AB77" s="240">
        <v>0</v>
      </c>
      <c r="AC77" s="240">
        <v>0</v>
      </c>
      <c r="AD77" s="240">
        <v>0</v>
      </c>
      <c r="AE77" s="240">
        <v>0</v>
      </c>
      <c r="AF77" s="240">
        <v>0</v>
      </c>
      <c r="AG77" s="240">
        <v>0</v>
      </c>
      <c r="AH77" s="240">
        <v>0</v>
      </c>
      <c r="AI77" s="240">
        <v>0</v>
      </c>
      <c r="AJ77" s="240">
        <v>0</v>
      </c>
      <c r="AK77" s="240">
        <v>0</v>
      </c>
      <c r="AL77" s="240">
        <v>0</v>
      </c>
      <c r="AM77" s="240">
        <v>0</v>
      </c>
      <c r="AN77" s="240">
        <v>0</v>
      </c>
      <c r="AO77" s="240">
        <v>0</v>
      </c>
    </row>
    <row r="78" spans="1:41" ht="15.75" hidden="1" outlineLevel="1" x14ac:dyDescent="0.2">
      <c r="A78" s="91">
        <v>2023</v>
      </c>
      <c r="B78" s="78"/>
      <c r="C78" s="78"/>
      <c r="D78" s="12">
        <f t="shared" si="79"/>
        <v>164894</v>
      </c>
      <c r="E78" s="12">
        <f t="shared" si="78"/>
        <v>165852</v>
      </c>
      <c r="F78" s="12">
        <f t="shared" si="78"/>
        <v>169514</v>
      </c>
      <c r="G78" s="12">
        <f t="shared" si="78"/>
        <v>5544</v>
      </c>
      <c r="H78" s="12">
        <f t="shared" si="78"/>
        <v>0</v>
      </c>
      <c r="I78" s="12">
        <f t="shared" si="80"/>
        <v>0</v>
      </c>
      <c r="J78" s="12">
        <f t="shared" si="81"/>
        <v>0</v>
      </c>
      <c r="K78" s="78"/>
      <c r="L78" s="326"/>
      <c r="M78" s="78"/>
      <c r="N78" s="240">
        <v>117</v>
      </c>
      <c r="O78" s="240">
        <v>117</v>
      </c>
      <c r="P78" s="240">
        <v>165281</v>
      </c>
      <c r="Q78" s="240">
        <v>164894</v>
      </c>
      <c r="R78" s="240">
        <v>165198</v>
      </c>
      <c r="S78" s="240">
        <v>165415</v>
      </c>
      <c r="T78" s="240">
        <v>165603</v>
      </c>
      <c r="U78" s="240">
        <v>165852</v>
      </c>
      <c r="V78" s="240">
        <v>165971</v>
      </c>
      <c r="W78" s="240">
        <v>166388</v>
      </c>
      <c r="X78" s="240">
        <v>166640</v>
      </c>
      <c r="Y78" s="240">
        <v>169514</v>
      </c>
      <c r="Z78" s="240">
        <v>170148</v>
      </c>
      <c r="AA78" s="240">
        <f>134+167144+6513</f>
        <v>173791</v>
      </c>
      <c r="AB78" s="240">
        <f>134+111231</f>
        <v>111365</v>
      </c>
      <c r="AC78" s="240">
        <f>2743+62+2739</f>
        <v>5544</v>
      </c>
      <c r="AD78" s="240">
        <v>0</v>
      </c>
      <c r="AE78" s="240">
        <v>0</v>
      </c>
      <c r="AF78" s="240">
        <v>0</v>
      </c>
      <c r="AG78" s="240">
        <v>0</v>
      </c>
      <c r="AH78" s="240">
        <v>0</v>
      </c>
      <c r="AI78" s="240">
        <v>0</v>
      </c>
      <c r="AJ78" s="240">
        <v>0</v>
      </c>
      <c r="AK78" s="240">
        <v>0</v>
      </c>
      <c r="AL78" s="240">
        <v>0</v>
      </c>
      <c r="AM78" s="240">
        <v>0</v>
      </c>
      <c r="AN78" s="240">
        <v>0</v>
      </c>
      <c r="AO78" s="240">
        <v>0</v>
      </c>
    </row>
    <row r="79" spans="1:41" ht="15.75" hidden="1" outlineLevel="1" x14ac:dyDescent="0.2">
      <c r="A79" s="91">
        <v>2024</v>
      </c>
      <c r="B79" s="78"/>
      <c r="C79" s="78"/>
      <c r="D79" s="12">
        <f t="shared" si="79"/>
        <v>329557</v>
      </c>
      <c r="E79" s="12">
        <f t="shared" si="78"/>
        <v>331246</v>
      </c>
      <c r="F79" s="12">
        <f t="shared" si="78"/>
        <v>168531</v>
      </c>
      <c r="G79" s="12">
        <f t="shared" si="78"/>
        <v>172243</v>
      </c>
      <c r="H79" s="12">
        <f t="shared" si="78"/>
        <v>0</v>
      </c>
      <c r="I79" s="12">
        <f t="shared" si="80"/>
        <v>0</v>
      </c>
      <c r="J79" s="12">
        <f t="shared" si="81"/>
        <v>0</v>
      </c>
      <c r="K79" s="78"/>
      <c r="L79" s="326"/>
      <c r="M79" s="78"/>
      <c r="N79" s="240">
        <v>7</v>
      </c>
      <c r="O79" s="240">
        <v>0</v>
      </c>
      <c r="P79" s="240">
        <v>330328</v>
      </c>
      <c r="Q79" s="240">
        <v>329557</v>
      </c>
      <c r="R79" s="240">
        <v>329955</v>
      </c>
      <c r="S79" s="240">
        <v>330390</v>
      </c>
      <c r="T79" s="240">
        <v>330775</v>
      </c>
      <c r="U79" s="240">
        <v>331246</v>
      </c>
      <c r="V79" s="240">
        <v>391256</v>
      </c>
      <c r="W79" s="240">
        <v>391380</v>
      </c>
      <c r="X79" s="240">
        <v>166350</v>
      </c>
      <c r="Y79" s="240">
        <v>168531</v>
      </c>
      <c r="Z79" s="240">
        <v>169039</v>
      </c>
      <c r="AA79" s="240">
        <f>53+167144+2755</f>
        <v>169952</v>
      </c>
      <c r="AB79" s="240">
        <f>53+111231</f>
        <v>111284</v>
      </c>
      <c r="AC79" s="240">
        <f>167123+57+1764+80+3219</f>
        <v>172243</v>
      </c>
      <c r="AD79" s="240">
        <f>1+164593</f>
        <v>164594</v>
      </c>
      <c r="AE79" s="240">
        <f>1+164593</f>
        <v>164594</v>
      </c>
      <c r="AF79" s="240">
        <v>165975</v>
      </c>
      <c r="AG79" s="240">
        <v>0</v>
      </c>
      <c r="AH79" s="240">
        <v>0</v>
      </c>
      <c r="AI79" s="240">
        <v>0</v>
      </c>
      <c r="AJ79" s="240">
        <v>0</v>
      </c>
      <c r="AK79" s="240">
        <v>0</v>
      </c>
      <c r="AL79" s="240">
        <v>0</v>
      </c>
      <c r="AM79" s="240">
        <v>0</v>
      </c>
      <c r="AN79" s="240">
        <v>0</v>
      </c>
      <c r="AO79" s="240">
        <v>0</v>
      </c>
    </row>
    <row r="80" spans="1:41" ht="15.75" hidden="1" outlineLevel="1" x14ac:dyDescent="0.2">
      <c r="A80" s="91">
        <v>2025</v>
      </c>
      <c r="B80" s="78"/>
      <c r="C80" s="78"/>
      <c r="D80" s="12">
        <f t="shared" si="79"/>
        <v>0</v>
      </c>
      <c r="E80" s="12">
        <f t="shared" si="78"/>
        <v>0</v>
      </c>
      <c r="F80" s="12">
        <f t="shared" si="78"/>
        <v>168291</v>
      </c>
      <c r="G80" s="12">
        <f t="shared" si="78"/>
        <v>189812</v>
      </c>
      <c r="H80" s="12">
        <f t="shared" si="78"/>
        <v>76824</v>
      </c>
      <c r="I80" s="12">
        <f t="shared" si="80"/>
        <v>0</v>
      </c>
      <c r="J80" s="12">
        <f t="shared" si="81"/>
        <v>0</v>
      </c>
      <c r="K80" s="78"/>
      <c r="L80" s="326"/>
      <c r="M80" s="78"/>
      <c r="N80" s="240">
        <v>0</v>
      </c>
      <c r="O80" s="240">
        <v>0</v>
      </c>
      <c r="P80" s="240">
        <v>0</v>
      </c>
      <c r="Q80" s="240">
        <v>0</v>
      </c>
      <c r="R80" s="240">
        <v>0</v>
      </c>
      <c r="S80" s="240">
        <v>0</v>
      </c>
      <c r="T80" s="240">
        <v>0</v>
      </c>
      <c r="U80" s="240">
        <v>0</v>
      </c>
      <c r="V80" s="240">
        <v>0</v>
      </c>
      <c r="W80" s="240">
        <v>0</v>
      </c>
      <c r="X80" s="240">
        <v>166350</v>
      </c>
      <c r="Y80" s="240">
        <v>168291</v>
      </c>
      <c r="Z80" s="240">
        <v>186870</v>
      </c>
      <c r="AA80" s="240">
        <f>18194+167144+2328</f>
        <v>187666</v>
      </c>
      <c r="AB80" s="240">
        <f>18194+111231</f>
        <v>129425</v>
      </c>
      <c r="AC80" s="240">
        <f>167123+18194+657+101+3737</f>
        <v>189812</v>
      </c>
      <c r="AD80" s="240">
        <f>18194+163838</f>
        <v>182032</v>
      </c>
      <c r="AE80" s="240">
        <f>18194+163838</f>
        <v>182032</v>
      </c>
      <c r="AF80" s="240">
        <f>22566+163838</f>
        <v>186404</v>
      </c>
      <c r="AG80" s="240">
        <f>76824</f>
        <v>76824</v>
      </c>
      <c r="AH80" s="240">
        <f>76824</f>
        <v>76824</v>
      </c>
      <c r="AI80" s="240">
        <f>26275+1829</f>
        <v>28104</v>
      </c>
      <c r="AJ80" s="240">
        <f>11277+2813</f>
        <v>14090</v>
      </c>
      <c r="AK80" s="240">
        <v>0</v>
      </c>
      <c r="AL80" s="240">
        <v>0</v>
      </c>
      <c r="AM80" s="240">
        <v>0</v>
      </c>
      <c r="AN80" s="240">
        <v>0</v>
      </c>
      <c r="AO80" s="240">
        <v>0</v>
      </c>
    </row>
    <row r="81" spans="1:42" ht="15.75" hidden="1" outlineLevel="1" x14ac:dyDescent="0.2">
      <c r="A81" s="91">
        <v>2026</v>
      </c>
      <c r="B81" s="78"/>
      <c r="C81" s="78"/>
      <c r="D81" s="12">
        <f t="shared" si="79"/>
        <v>0</v>
      </c>
      <c r="E81" s="12">
        <f t="shared" si="78"/>
        <v>0</v>
      </c>
      <c r="F81" s="12">
        <f t="shared" si="78"/>
        <v>54823</v>
      </c>
      <c r="G81" s="12">
        <f t="shared" si="78"/>
        <v>53204</v>
      </c>
      <c r="H81" s="12">
        <f t="shared" si="78"/>
        <v>133849</v>
      </c>
      <c r="I81" s="12">
        <f t="shared" si="80"/>
        <v>130356</v>
      </c>
      <c r="J81" s="12">
        <f t="shared" si="81"/>
        <v>20407</v>
      </c>
      <c r="K81" s="78"/>
      <c r="L81" s="326"/>
      <c r="M81" s="78"/>
      <c r="N81" s="240">
        <v>0</v>
      </c>
      <c r="O81" s="240">
        <v>0</v>
      </c>
      <c r="P81" s="240">
        <v>0</v>
      </c>
      <c r="Q81" s="240">
        <v>0</v>
      </c>
      <c r="R81" s="240">
        <v>0</v>
      </c>
      <c r="S81" s="240">
        <v>0</v>
      </c>
      <c r="T81" s="240">
        <v>0</v>
      </c>
      <c r="U81" s="240">
        <v>0</v>
      </c>
      <c r="V81" s="240">
        <v>0</v>
      </c>
      <c r="W81" s="240">
        <v>0</v>
      </c>
      <c r="X81" s="240">
        <v>59559</v>
      </c>
      <c r="Y81" s="240">
        <v>54823</v>
      </c>
      <c r="Z81" s="240">
        <v>23539</v>
      </c>
      <c r="AA81" s="240">
        <f>31740+16982-1913</f>
        <v>46809</v>
      </c>
      <c r="AB81" s="240">
        <f>31740+16835</f>
        <v>48575</v>
      </c>
      <c r="AC81" s="240">
        <f>17026+31740+87+4351</f>
        <v>53204</v>
      </c>
      <c r="AD81" s="240">
        <f>34485+13055</f>
        <v>47540</v>
      </c>
      <c r="AE81" s="240">
        <f>34485+13055</f>
        <v>47540</v>
      </c>
      <c r="AF81" s="240">
        <f>36671+13247</f>
        <v>49918</v>
      </c>
      <c r="AG81" s="240">
        <f>115994+17855</f>
        <v>133849</v>
      </c>
      <c r="AH81" s="240">
        <f>115994+17855</f>
        <v>133849</v>
      </c>
      <c r="AI81" s="240">
        <f>115994+13016</f>
        <v>129010</v>
      </c>
      <c r="AJ81" s="240">
        <f>115993+12429</f>
        <v>128422</v>
      </c>
      <c r="AK81" s="240">
        <f>115993+14363</f>
        <v>130356</v>
      </c>
      <c r="AL81" s="240">
        <f>81526+15778</f>
        <v>97304</v>
      </c>
      <c r="AM81" s="240">
        <v>78323</v>
      </c>
      <c r="AN81" s="240">
        <f>70939+7384</f>
        <v>78323</v>
      </c>
      <c r="AO81" s="240">
        <f>8570+11837</f>
        <v>20407</v>
      </c>
    </row>
    <row r="82" spans="1:42" ht="15.75" hidden="1" outlineLevel="1" x14ac:dyDescent="0.2">
      <c r="A82" s="91">
        <v>2027</v>
      </c>
      <c r="B82" s="78"/>
      <c r="C82" s="78"/>
      <c r="D82" s="12">
        <f t="shared" si="79"/>
        <v>7</v>
      </c>
      <c r="E82" s="12">
        <f t="shared" si="78"/>
        <v>7</v>
      </c>
      <c r="F82" s="12">
        <f t="shared" si="78"/>
        <v>236517</v>
      </c>
      <c r="G82" s="12">
        <f t="shared" si="78"/>
        <v>1123596</v>
      </c>
      <c r="H82" s="12">
        <f t="shared" si="78"/>
        <v>495230</v>
      </c>
      <c r="I82" s="12">
        <f t="shared" si="80"/>
        <v>618080</v>
      </c>
      <c r="J82" s="12">
        <f t="shared" si="81"/>
        <v>789083</v>
      </c>
      <c r="K82" s="78"/>
      <c r="L82" s="326"/>
      <c r="M82" s="78"/>
      <c r="N82" s="240">
        <v>0</v>
      </c>
      <c r="O82" s="240">
        <v>7</v>
      </c>
      <c r="P82" s="240">
        <v>7</v>
      </c>
      <c r="Q82" s="240">
        <v>7</v>
      </c>
      <c r="R82" s="240">
        <v>9</v>
      </c>
      <c r="S82" s="240">
        <v>7</v>
      </c>
      <c r="T82" s="240">
        <v>10</v>
      </c>
      <c r="U82" s="240">
        <v>7</v>
      </c>
      <c r="V82" s="240">
        <v>7</v>
      </c>
      <c r="W82" s="240">
        <v>50</v>
      </c>
      <c r="X82" s="240">
        <v>49</v>
      </c>
      <c r="Y82" s="240">
        <v>236517</v>
      </c>
      <c r="Z82" s="240">
        <v>249642</v>
      </c>
      <c r="AA82" s="240">
        <f>362682+50947-2981-3770-4303</f>
        <v>402575</v>
      </c>
      <c r="AB82" s="240">
        <f>362682+50505</f>
        <v>413187</v>
      </c>
      <c r="AC82" s="240">
        <f>754636+362681+1047+97+5135</f>
        <v>1123596</v>
      </c>
      <c r="AD82" s="240">
        <f>37231+394090+500220+267028</f>
        <v>1198569</v>
      </c>
      <c r="AE82" s="240">
        <f>37231+500220</f>
        <v>537451</v>
      </c>
      <c r="AF82" s="240">
        <f>37231+500411</f>
        <v>537642</v>
      </c>
      <c r="AG82" s="240">
        <f>495230</f>
        <v>495230</v>
      </c>
      <c r="AH82" s="240">
        <f>116553+495230</f>
        <v>611783</v>
      </c>
      <c r="AI82" s="240">
        <f>116553+500181</f>
        <v>616734</v>
      </c>
      <c r="AJ82" s="240">
        <f>116553+499593</f>
        <v>616146</v>
      </c>
      <c r="AK82" s="240">
        <f>116553+501527</f>
        <v>618080</v>
      </c>
      <c r="AL82" s="240">
        <f>273544+50192</f>
        <v>323736</v>
      </c>
      <c r="AM82" s="240">
        <v>781835</v>
      </c>
      <c r="AN82" s="240">
        <f>279727+502108</f>
        <v>781835</v>
      </c>
      <c r="AO82" s="240">
        <f>502220+286863</f>
        <v>789083</v>
      </c>
    </row>
    <row r="83" spans="1:42" ht="15.75" hidden="1" outlineLevel="1" x14ac:dyDescent="0.2">
      <c r="A83" s="91">
        <v>2028</v>
      </c>
      <c r="B83" s="78"/>
      <c r="C83" s="78"/>
      <c r="D83" s="12">
        <f t="shared" si="79"/>
        <v>0</v>
      </c>
      <c r="E83" s="12">
        <f t="shared" si="78"/>
        <v>0</v>
      </c>
      <c r="F83" s="12">
        <f t="shared" si="78"/>
        <v>0</v>
      </c>
      <c r="G83" s="12">
        <f t="shared" si="78"/>
        <v>0</v>
      </c>
      <c r="H83" s="12">
        <f t="shared" si="78"/>
        <v>747866</v>
      </c>
      <c r="I83" s="12">
        <f t="shared" si="80"/>
        <v>267032</v>
      </c>
      <c r="J83" s="12">
        <f t="shared" si="81"/>
        <v>277307</v>
      </c>
      <c r="K83" s="78"/>
      <c r="L83" s="326"/>
      <c r="M83" s="78"/>
      <c r="N83" s="240">
        <v>0</v>
      </c>
      <c r="O83" s="240">
        <v>0</v>
      </c>
      <c r="P83" s="240">
        <v>0</v>
      </c>
      <c r="Q83" s="240">
        <v>0</v>
      </c>
      <c r="R83" s="240">
        <v>0</v>
      </c>
      <c r="S83" s="240">
        <v>0</v>
      </c>
      <c r="T83" s="240">
        <v>0</v>
      </c>
      <c r="U83" s="240">
        <v>0</v>
      </c>
      <c r="V83" s="240">
        <v>0</v>
      </c>
      <c r="W83" s="240">
        <v>0</v>
      </c>
      <c r="X83" s="240">
        <v>0</v>
      </c>
      <c r="Y83" s="240">
        <v>0</v>
      </c>
      <c r="Z83" s="240">
        <v>0</v>
      </c>
      <c r="AA83" s="240">
        <v>0</v>
      </c>
      <c r="AB83" s="240">
        <v>0</v>
      </c>
      <c r="AC83" s="240">
        <v>0</v>
      </c>
      <c r="AD83" s="240">
        <v>0</v>
      </c>
      <c r="AE83" s="240">
        <f>394090+267028</f>
        <v>661118</v>
      </c>
      <c r="AF83" s="240">
        <f>387532+267410</f>
        <v>654942</v>
      </c>
      <c r="AG83" s="240">
        <f>482755+265111</f>
        <v>747866</v>
      </c>
      <c r="AH83" s="240">
        <f>482755+265111</f>
        <v>747866</v>
      </c>
      <c r="AI83" s="240">
        <f>132553+133132</f>
        <v>265685</v>
      </c>
      <c r="AJ83" s="240">
        <f>132553+133957</f>
        <v>266510</v>
      </c>
      <c r="AK83" s="240">
        <f>132553+134479</f>
        <v>267032</v>
      </c>
      <c r="AL83" s="240">
        <f>139164+134853</f>
        <v>274017</v>
      </c>
      <c r="AM83" s="240">
        <v>275603</v>
      </c>
      <c r="AN83" s="240">
        <f>140543+135060</f>
        <v>275603</v>
      </c>
      <c r="AO83" s="240">
        <f>135171+142136</f>
        <v>277307</v>
      </c>
    </row>
    <row r="84" spans="1:42" ht="15.75" hidden="1" outlineLevel="1" x14ac:dyDescent="0.2">
      <c r="A84" s="91">
        <v>2029</v>
      </c>
      <c r="B84" s="78"/>
      <c r="C84" s="78"/>
      <c r="D84" s="12"/>
      <c r="E84" s="12">
        <f t="shared" si="78"/>
        <v>0</v>
      </c>
      <c r="F84" s="12">
        <f t="shared" si="78"/>
        <v>0</v>
      </c>
      <c r="G84" s="12">
        <f t="shared" si="78"/>
        <v>0</v>
      </c>
      <c r="H84" s="12">
        <f t="shared" si="78"/>
        <v>0</v>
      </c>
      <c r="I84" s="12">
        <f t="shared" si="80"/>
        <v>485365</v>
      </c>
      <c r="J84" s="12">
        <f t="shared" si="81"/>
        <v>173077</v>
      </c>
      <c r="K84" s="78"/>
      <c r="L84" s="326"/>
      <c r="M84" s="78"/>
      <c r="N84" s="240">
        <v>0</v>
      </c>
      <c r="O84" s="240">
        <v>0</v>
      </c>
      <c r="P84" s="240">
        <v>0</v>
      </c>
      <c r="Q84" s="240">
        <v>0</v>
      </c>
      <c r="R84" s="240">
        <v>0</v>
      </c>
      <c r="S84" s="240">
        <v>0</v>
      </c>
      <c r="T84" s="240">
        <v>0</v>
      </c>
      <c r="U84" s="240">
        <v>0</v>
      </c>
      <c r="V84" s="240">
        <v>0</v>
      </c>
      <c r="W84" s="240">
        <v>0</v>
      </c>
      <c r="X84" s="240">
        <v>0</v>
      </c>
      <c r="Y84" s="240">
        <v>0</v>
      </c>
      <c r="Z84" s="240">
        <v>0</v>
      </c>
      <c r="AA84" s="240">
        <v>0</v>
      </c>
      <c r="AB84" s="240">
        <v>0</v>
      </c>
      <c r="AC84" s="240">
        <v>0</v>
      </c>
      <c r="AD84" s="240">
        <v>0</v>
      </c>
      <c r="AE84" s="240">
        <v>0</v>
      </c>
      <c r="AF84" s="240">
        <v>0</v>
      </c>
      <c r="AG84" s="240">
        <v>0</v>
      </c>
      <c r="AH84" s="240">
        <v>0</v>
      </c>
      <c r="AI84" s="240">
        <f>350202+133819</f>
        <v>484021</v>
      </c>
      <c r="AJ84" s="240">
        <f>350201+134644+5817</f>
        <v>490662</v>
      </c>
      <c r="AK84" s="240">
        <f>350200+135165</f>
        <v>485365</v>
      </c>
      <c r="AL84" s="240">
        <f>37220+135539</f>
        <v>172759</v>
      </c>
      <c r="AM84" s="240">
        <v>172966</v>
      </c>
      <c r="AN84" s="240">
        <f>37220+135746</f>
        <v>172966</v>
      </c>
      <c r="AO84" s="240">
        <f>135857+37220</f>
        <v>173077</v>
      </c>
    </row>
    <row r="85" spans="1:42" ht="15.75" hidden="1" outlineLevel="1" x14ac:dyDescent="0.2">
      <c r="A85" s="91" t="s">
        <v>308</v>
      </c>
      <c r="B85" s="78"/>
      <c r="C85" s="78"/>
      <c r="D85" s="12"/>
      <c r="E85" s="12">
        <f t="shared" si="78"/>
        <v>0</v>
      </c>
      <c r="F85" s="12">
        <f t="shared" si="78"/>
        <v>0</v>
      </c>
      <c r="G85" s="12">
        <f t="shared" si="78"/>
        <v>0</v>
      </c>
      <c r="H85" s="12">
        <f t="shared" si="78"/>
        <v>0</v>
      </c>
      <c r="I85" s="12">
        <f t="shared" si="80"/>
        <v>0</v>
      </c>
      <c r="J85" s="12">
        <f t="shared" si="81"/>
        <v>312980</v>
      </c>
      <c r="K85" s="78"/>
      <c r="L85" s="326"/>
      <c r="M85" s="78"/>
      <c r="N85" s="240">
        <v>0</v>
      </c>
      <c r="O85" s="240">
        <v>0</v>
      </c>
      <c r="P85" s="240">
        <v>0</v>
      </c>
      <c r="Q85" s="240">
        <v>0</v>
      </c>
      <c r="R85" s="240">
        <v>0</v>
      </c>
      <c r="S85" s="240">
        <v>0</v>
      </c>
      <c r="T85" s="240">
        <v>0</v>
      </c>
      <c r="U85" s="240">
        <v>0</v>
      </c>
      <c r="V85" s="240">
        <v>0</v>
      </c>
      <c r="W85" s="240">
        <v>0</v>
      </c>
      <c r="X85" s="240">
        <v>0</v>
      </c>
      <c r="Y85" s="240">
        <v>0</v>
      </c>
      <c r="Z85" s="240">
        <v>0</v>
      </c>
      <c r="AA85" s="240">
        <v>0</v>
      </c>
      <c r="AB85" s="240">
        <v>0</v>
      </c>
      <c r="AC85" s="240">
        <v>0</v>
      </c>
      <c r="AD85" s="240">
        <v>0</v>
      </c>
      <c r="AE85" s="240">
        <v>0</v>
      </c>
      <c r="AF85" s="240">
        <v>0</v>
      </c>
      <c r="AG85" s="240">
        <v>0</v>
      </c>
      <c r="AH85" s="240">
        <v>0</v>
      </c>
      <c r="AI85" s="240">
        <v>0</v>
      </c>
      <c r="AJ85" s="240">
        <v>0</v>
      </c>
      <c r="AK85" s="240">
        <v>0</v>
      </c>
      <c r="AL85" s="240">
        <f>312981</f>
        <v>312981</v>
      </c>
      <c r="AM85" s="240">
        <v>312981</v>
      </c>
      <c r="AN85" s="240">
        <f>312981</f>
        <v>312981</v>
      </c>
      <c r="AO85" s="240">
        <f>312980</f>
        <v>312980</v>
      </c>
    </row>
    <row r="86" spans="1:42" ht="14.25" hidden="1" customHeight="1" outlineLevel="1" x14ac:dyDescent="0.2">
      <c r="A86" s="218" t="s">
        <v>193</v>
      </c>
      <c r="B86" s="95"/>
      <c r="C86" s="95"/>
      <c r="D86" s="195">
        <f>SUM(D75:D83)</f>
        <v>572802</v>
      </c>
      <c r="E86" s="195">
        <f>SUM(E75:E83)</f>
        <v>532781</v>
      </c>
      <c r="F86" s="195">
        <f>SUM(F75:F83)</f>
        <v>801356</v>
      </c>
      <c r="G86" s="195">
        <f>SUM(G75:G83)</f>
        <v>1544399</v>
      </c>
      <c r="H86" s="195">
        <f>SUM(H75:H83)</f>
        <v>1453769</v>
      </c>
      <c r="I86" s="195">
        <f>SUM(I75:I84)</f>
        <v>1500833</v>
      </c>
      <c r="J86" s="195">
        <f>SUM(J75:J84)</f>
        <v>1259874</v>
      </c>
      <c r="K86" s="95"/>
      <c r="L86" s="330"/>
      <c r="M86" s="95"/>
      <c r="N86" s="196">
        <f>SUM(N75:N82)</f>
        <v>480945</v>
      </c>
      <c r="O86" s="196">
        <f t="shared" ref="O86:Z86" si="82">SUM(O75:O82)</f>
        <v>418053</v>
      </c>
      <c r="P86" s="196">
        <f t="shared" si="82"/>
        <v>652053</v>
      </c>
      <c r="Q86" s="196">
        <f t="shared" si="82"/>
        <v>572802</v>
      </c>
      <c r="R86" s="196">
        <f t="shared" si="82"/>
        <v>560009</v>
      </c>
      <c r="S86" s="196">
        <f t="shared" si="82"/>
        <v>567739</v>
      </c>
      <c r="T86" s="196">
        <f>SUM(T75:T83)</f>
        <v>539366</v>
      </c>
      <c r="U86" s="196">
        <f t="shared" si="82"/>
        <v>532781</v>
      </c>
      <c r="V86" s="196">
        <f t="shared" si="82"/>
        <v>590967</v>
      </c>
      <c r="W86" s="196">
        <f t="shared" si="82"/>
        <v>591955</v>
      </c>
      <c r="X86" s="196">
        <f t="shared" si="82"/>
        <v>559034</v>
      </c>
      <c r="Y86" s="196">
        <f t="shared" si="82"/>
        <v>801356</v>
      </c>
      <c r="Z86" s="196">
        <f t="shared" si="82"/>
        <v>803174</v>
      </c>
      <c r="AA86" s="196">
        <f>SUM(AA75:AA82)</f>
        <v>980793</v>
      </c>
      <c r="AB86" s="318">
        <f>SUM(AB75:AB82)</f>
        <v>813836</v>
      </c>
      <c r="AC86" s="318">
        <f>SUM(AC75:AC82)</f>
        <v>1544399</v>
      </c>
      <c r="AD86" s="318">
        <f>SUM(AD75:AD82)</f>
        <v>1592735</v>
      </c>
      <c r="AE86" s="318">
        <f>SUM(AE75:AE83)</f>
        <v>1592735</v>
      </c>
      <c r="AF86" s="318">
        <f>SUM(AF75:AF83)</f>
        <v>1594881</v>
      </c>
      <c r="AG86" s="318">
        <f>SUM(AG75:AG83)</f>
        <v>1453769</v>
      </c>
      <c r="AH86" s="318">
        <f>SUM(AH75:AH83)</f>
        <v>1570322</v>
      </c>
      <c r="AI86" s="318">
        <f>SUM(AI75:AI83)</f>
        <v>1039533</v>
      </c>
      <c r="AJ86" s="318">
        <f>SUM(AJ75:AJ84)</f>
        <v>1515830</v>
      </c>
      <c r="AK86" s="318">
        <f>SUM(AK75:AK84)</f>
        <v>1500833</v>
      </c>
      <c r="AL86" s="318">
        <f>SUM(AL75:AL85)</f>
        <v>1180797</v>
      </c>
      <c r="AM86" s="318">
        <f>SUM(AM75:AM85)</f>
        <v>1621708</v>
      </c>
      <c r="AN86" s="318">
        <f>SUM(AN75:AN85)</f>
        <v>1621708</v>
      </c>
      <c r="AO86" s="318">
        <f>SUM(AO75:AO85)</f>
        <v>1572854</v>
      </c>
      <c r="AP86" s="77"/>
    </row>
    <row r="87" spans="1:42" collapsed="1" x14ac:dyDescent="0.2"/>
    <row r="88" spans="1:42" x14ac:dyDescent="0.2">
      <c r="A88" s="97"/>
      <c r="Q88" s="82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</row>
    <row r="89" spans="1:42" ht="15.75" x14ac:dyDescent="0.2">
      <c r="A89" s="16"/>
      <c r="Q89" s="101"/>
    </row>
    <row r="92" spans="1:42" x14ac:dyDescent="0.2"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</row>
  </sheetData>
  <sheetProtection selectLockedCells="1" selectUnlockedCells="1"/>
  <phoneticPr fontId="46" type="noConversion"/>
  <pageMargins left="0.511811024" right="0.511811024" top="0.78740157499999996" bottom="0.78740157499999996" header="0.31496062000000002" footer="0.31496062000000002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D7E5-006A-4319-A82D-D7A4CBCCC3B9}">
  <sheetPr>
    <tabColor rgb="FF9BBB59"/>
  </sheetPr>
  <dimension ref="A1:BA70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O28" sqref="AO28"/>
    </sheetView>
  </sheetViews>
  <sheetFormatPr defaultColWidth="13.28515625" defaultRowHeight="12" outlineLevelCol="1" x14ac:dyDescent="0.2"/>
  <cols>
    <col min="1" max="1" width="8.140625" style="334" customWidth="1"/>
    <col min="2" max="2" width="8.140625" style="334" bestFit="1" customWidth="1"/>
    <col min="3" max="3" width="8.7109375" style="334" customWidth="1"/>
    <col min="4" max="4" width="1.42578125" style="335" customWidth="1"/>
    <col min="5" max="8" width="13.28515625" style="334"/>
    <col min="9" max="9" width="13.28515625" style="334" hidden="1" customWidth="1" outlineLevel="1"/>
    <col min="10" max="10" width="2.28515625" style="335" customWidth="1" collapsed="1"/>
    <col min="11" max="14" width="13.28515625" style="334"/>
    <col min="15" max="15" width="13.28515625" style="334" hidden="1" customWidth="1" outlineLevel="1"/>
    <col min="16" max="16" width="2.28515625" style="335" customWidth="1" collapsed="1"/>
    <col min="17" max="19" width="13.28515625" style="334"/>
    <col min="20" max="20" width="12" style="334" customWidth="1"/>
    <col min="21" max="21" width="13.28515625" style="334"/>
    <col min="22" max="22" width="13.28515625" style="334" hidden="1" customWidth="1" outlineLevel="1"/>
    <col min="23" max="23" width="12.140625" style="334" hidden="1" customWidth="1" outlineLevel="1"/>
    <col min="24" max="24" width="12.5703125" style="334" hidden="1" customWidth="1" outlineLevel="1"/>
    <col min="25" max="25" width="13.28515625" style="334" hidden="1" customWidth="1" outlineLevel="1"/>
    <col min="26" max="26" width="13.28515625" style="334" collapsed="1"/>
    <col min="27" max="27" width="2.28515625" style="335" customWidth="1"/>
    <col min="28" max="29" width="16.28515625" style="334" customWidth="1"/>
    <col min="30" max="30" width="13.28515625" style="334"/>
    <col min="31" max="31" width="0" style="334" hidden="1" customWidth="1" outlineLevel="1"/>
    <col min="32" max="32" width="2.28515625" style="334" customWidth="1" collapsed="1"/>
    <col min="33" max="16384" width="13.28515625" style="334"/>
  </cols>
  <sheetData>
    <row r="1" spans="1:53" x14ac:dyDescent="0.2">
      <c r="E1" s="343"/>
    </row>
    <row r="2" spans="1:53" x14ac:dyDescent="0.2">
      <c r="E2" s="350" t="s">
        <v>279</v>
      </c>
      <c r="F2" s="351"/>
      <c r="G2" s="351"/>
      <c r="H2" s="351"/>
      <c r="I2" s="351"/>
      <c r="K2" s="350" t="s">
        <v>280</v>
      </c>
      <c r="L2" s="351"/>
      <c r="M2" s="351"/>
      <c r="N2" s="351"/>
      <c r="O2" s="351"/>
      <c r="Q2" s="350" t="s">
        <v>281</v>
      </c>
      <c r="R2" s="351"/>
      <c r="S2" s="351"/>
      <c r="T2" s="351"/>
      <c r="U2" s="351"/>
      <c r="V2" s="351"/>
      <c r="W2" s="351"/>
      <c r="X2" s="351"/>
      <c r="Y2" s="351"/>
      <c r="Z2" s="351"/>
      <c r="AB2" s="350" t="s">
        <v>282</v>
      </c>
      <c r="AC2" s="350"/>
      <c r="AD2" s="350"/>
      <c r="AE2" s="350"/>
    </row>
    <row r="3" spans="1:53" s="338" customFormat="1" ht="4.1500000000000004" customHeight="1" x14ac:dyDescent="0.2">
      <c r="C3" s="6"/>
      <c r="D3" s="6"/>
      <c r="E3" s="6"/>
      <c r="F3" s="6"/>
      <c r="G3" s="6"/>
      <c r="H3" s="6"/>
      <c r="K3" s="6"/>
      <c r="L3" s="6"/>
      <c r="M3" s="6"/>
      <c r="N3" s="6"/>
      <c r="O3" s="6"/>
      <c r="Q3" s="6"/>
      <c r="R3" s="6"/>
      <c r="S3" s="6"/>
      <c r="T3" s="6"/>
      <c r="U3" s="6"/>
      <c r="Y3" s="6"/>
      <c r="Z3" s="6"/>
      <c r="AA3" s="6"/>
    </row>
    <row r="4" spans="1:53" s="343" customFormat="1" ht="31.9" customHeight="1" x14ac:dyDescent="0.2">
      <c r="A4" s="103" t="s">
        <v>261</v>
      </c>
      <c r="B4" s="103" t="s">
        <v>200</v>
      </c>
      <c r="C4" s="103" t="s">
        <v>201</v>
      </c>
      <c r="D4" s="106"/>
      <c r="E4" s="104" t="s">
        <v>266</v>
      </c>
      <c r="F4" s="104" t="s">
        <v>267</v>
      </c>
      <c r="G4" s="104" t="s">
        <v>268</v>
      </c>
      <c r="H4" s="332" t="s">
        <v>202</v>
      </c>
      <c r="I4" s="349" t="s">
        <v>309</v>
      </c>
      <c r="J4" s="348"/>
      <c r="K4" s="104" t="s">
        <v>269</v>
      </c>
      <c r="L4" s="104" t="s">
        <v>270</v>
      </c>
      <c r="M4" s="104" t="s">
        <v>271</v>
      </c>
      <c r="N4" s="332" t="s">
        <v>202</v>
      </c>
      <c r="O4" s="349" t="s">
        <v>310</v>
      </c>
      <c r="P4" s="348"/>
      <c r="Q4" s="104" t="s">
        <v>272</v>
      </c>
      <c r="R4" s="104" t="s">
        <v>273</v>
      </c>
      <c r="S4" s="104" t="s">
        <v>274</v>
      </c>
      <c r="T4" s="104" t="s">
        <v>275</v>
      </c>
      <c r="U4" s="332" t="s">
        <v>203</v>
      </c>
      <c r="V4" s="349" t="s">
        <v>292</v>
      </c>
      <c r="W4" s="349" t="s">
        <v>204</v>
      </c>
      <c r="X4" s="349" t="s">
        <v>291</v>
      </c>
      <c r="Y4" s="333" t="s">
        <v>205</v>
      </c>
      <c r="Z4" s="333" t="s">
        <v>306</v>
      </c>
      <c r="AA4" s="106"/>
      <c r="AB4" s="104" t="s">
        <v>276</v>
      </c>
      <c r="AC4" s="104" t="s">
        <v>277</v>
      </c>
      <c r="AD4" s="332" t="s">
        <v>206</v>
      </c>
      <c r="AE4" s="349" t="s">
        <v>311</v>
      </c>
    </row>
    <row r="5" spans="1:53" x14ac:dyDescent="0.2">
      <c r="A5" s="336"/>
      <c r="B5" s="336"/>
      <c r="C5" s="336"/>
      <c r="E5" s="337"/>
      <c r="F5" s="337"/>
      <c r="G5" s="337"/>
      <c r="H5" s="337"/>
      <c r="I5" s="337"/>
      <c r="K5" s="337"/>
      <c r="L5" s="337"/>
      <c r="M5" s="337"/>
      <c r="N5" s="337"/>
      <c r="O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B5" s="337"/>
      <c r="AC5" s="337"/>
      <c r="AD5" s="337"/>
      <c r="AE5" s="337"/>
    </row>
    <row r="6" spans="1:53" x14ac:dyDescent="0.2">
      <c r="A6" s="107"/>
      <c r="B6" s="107" t="s">
        <v>207</v>
      </c>
      <c r="C6" s="108"/>
      <c r="D6" s="109"/>
      <c r="E6" s="110"/>
      <c r="F6" s="110"/>
      <c r="G6" s="110"/>
      <c r="H6" s="110"/>
      <c r="I6" s="110"/>
      <c r="K6" s="110"/>
      <c r="L6" s="110"/>
      <c r="M6" s="110"/>
      <c r="N6" s="110"/>
      <c r="O6" s="110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09"/>
      <c r="AB6" s="110"/>
      <c r="AC6" s="110"/>
      <c r="AD6" s="110"/>
      <c r="AE6" s="110"/>
    </row>
    <row r="7" spans="1:53" ht="5.45" customHeight="1" x14ac:dyDescent="0.2">
      <c r="AB7" s="340"/>
      <c r="AC7" s="340"/>
      <c r="AD7" s="340"/>
      <c r="AE7" s="340"/>
    </row>
    <row r="8" spans="1:53" ht="12.75" x14ac:dyDescent="0.2">
      <c r="A8" s="339">
        <v>45992</v>
      </c>
      <c r="B8" s="337" t="s">
        <v>324</v>
      </c>
      <c r="C8" s="337">
        <v>2025</v>
      </c>
      <c r="E8" s="112">
        <v>78820</v>
      </c>
      <c r="F8" s="112">
        <v>25593</v>
      </c>
      <c r="G8" s="112">
        <v>53227</v>
      </c>
      <c r="H8" s="112">
        <v>41998</v>
      </c>
      <c r="I8" s="112"/>
      <c r="J8" s="341"/>
      <c r="K8" s="112">
        <v>30479</v>
      </c>
      <c r="L8" s="112">
        <v>25212</v>
      </c>
      <c r="M8" s="112">
        <v>5268</v>
      </c>
      <c r="N8" s="112">
        <v>41998</v>
      </c>
      <c r="O8" s="112"/>
      <c r="P8" s="341"/>
      <c r="Q8" s="112">
        <v>157184</v>
      </c>
      <c r="R8" s="112">
        <v>136897</v>
      </c>
      <c r="S8" s="112">
        <v>19841</v>
      </c>
      <c r="T8" s="112">
        <v>446</v>
      </c>
      <c r="U8" s="112">
        <v>257405</v>
      </c>
      <c r="V8" s="112"/>
      <c r="W8" s="112"/>
      <c r="X8" s="112"/>
      <c r="Y8" s="112"/>
      <c r="Z8" s="112">
        <v>1407</v>
      </c>
      <c r="AA8" s="341"/>
      <c r="AB8" s="340">
        <f t="shared" ref="AB8" si="0">R8*1000/L8</f>
        <v>5429.8349992067269</v>
      </c>
      <c r="AC8" s="340">
        <f t="shared" ref="AC8" si="1">S8*1000/M8</f>
        <v>3766.3249810174639</v>
      </c>
      <c r="AD8" s="340">
        <f t="shared" ref="AD8" si="2">U8*1000/N8</f>
        <v>6128.9823324920235</v>
      </c>
      <c r="AE8" s="340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Y8" s="344"/>
      <c r="AZ8" s="344"/>
      <c r="BA8" s="344"/>
    </row>
    <row r="9" spans="1:53" ht="12.75" x14ac:dyDescent="0.2">
      <c r="A9" s="339">
        <v>45901</v>
      </c>
      <c r="B9" s="337" t="s">
        <v>319</v>
      </c>
      <c r="C9" s="337">
        <v>2025</v>
      </c>
      <c r="E9" s="112">
        <v>80782</v>
      </c>
      <c r="F9" s="112">
        <v>27958</v>
      </c>
      <c r="G9" s="112">
        <v>52824</v>
      </c>
      <c r="H9" s="112">
        <v>42743</v>
      </c>
      <c r="I9" s="112"/>
      <c r="J9" s="341"/>
      <c r="K9" s="112">
        <v>33165</v>
      </c>
      <c r="L9" s="112">
        <v>27020</v>
      </c>
      <c r="M9" s="112">
        <v>6145</v>
      </c>
      <c r="N9" s="112">
        <v>42743</v>
      </c>
      <c r="O9" s="112"/>
      <c r="P9" s="341"/>
      <c r="Q9" s="112">
        <v>165835</v>
      </c>
      <c r="R9" s="112">
        <v>141584</v>
      </c>
      <c r="S9" s="112">
        <v>23592</v>
      </c>
      <c r="T9" s="112">
        <v>659</v>
      </c>
      <c r="U9" s="112">
        <v>264647</v>
      </c>
      <c r="V9" s="112"/>
      <c r="W9" s="112"/>
      <c r="X9" s="112"/>
      <c r="Y9" s="112"/>
      <c r="Z9" s="112">
        <v>2981</v>
      </c>
      <c r="AA9" s="341"/>
      <c r="AB9" s="340">
        <f t="shared" ref="AB9" si="3">R9*1000/L9</f>
        <v>5239.9703923019988</v>
      </c>
      <c r="AC9" s="340">
        <f t="shared" ref="AC9" si="4">S9*1000/M9</f>
        <v>3839.2188771358828</v>
      </c>
      <c r="AD9" s="340">
        <f t="shared" ref="AD9" si="5">U9*1000/N9</f>
        <v>6191.5869265142828</v>
      </c>
      <c r="AE9" s="340"/>
      <c r="AM9" s="344"/>
      <c r="AN9" s="344"/>
      <c r="AO9" s="344"/>
      <c r="AP9" s="344"/>
      <c r="AQ9" s="344"/>
      <c r="AR9" s="344"/>
      <c r="AS9" s="344"/>
      <c r="AT9" s="344"/>
      <c r="AU9" s="344"/>
      <c r="AV9" s="344"/>
      <c r="AY9" s="344"/>
      <c r="AZ9" s="344"/>
      <c r="BA9" s="344"/>
    </row>
    <row r="10" spans="1:53" ht="12.75" x14ac:dyDescent="0.2">
      <c r="A10" s="339">
        <v>45809</v>
      </c>
      <c r="B10" s="337" t="s">
        <v>317</v>
      </c>
      <c r="C10" s="337">
        <v>2025</v>
      </c>
      <c r="E10" s="112">
        <v>77502.899999999994</v>
      </c>
      <c r="F10" s="112">
        <v>25027.599999999999</v>
      </c>
      <c r="G10" s="112">
        <v>52475.3</v>
      </c>
      <c r="H10" s="112">
        <v>41681</v>
      </c>
      <c r="I10" s="112"/>
      <c r="J10" s="341"/>
      <c r="K10" s="112">
        <v>30984.400000000001</v>
      </c>
      <c r="L10" s="112">
        <v>24641.1</v>
      </c>
      <c r="M10" s="112">
        <v>6343.4</v>
      </c>
      <c r="N10" s="112">
        <v>41681</v>
      </c>
      <c r="O10" s="112"/>
      <c r="P10" s="341"/>
      <c r="Q10" s="112">
        <v>155643</v>
      </c>
      <c r="R10" s="112">
        <v>131227.5</v>
      </c>
      <c r="S10" s="112">
        <v>24020.6</v>
      </c>
      <c r="T10" s="112">
        <v>395</v>
      </c>
      <c r="U10" s="112">
        <v>252729</v>
      </c>
      <c r="V10" s="112"/>
      <c r="W10" s="112"/>
      <c r="X10" s="112"/>
      <c r="Y10" s="112"/>
      <c r="Z10" s="112">
        <v>5402</v>
      </c>
      <c r="AA10" s="341"/>
      <c r="AB10" s="340">
        <f t="shared" ref="AB10" si="6">R10*1000/L10</f>
        <v>5325.5536481731742</v>
      </c>
      <c r="AC10" s="340">
        <f t="shared" ref="AC10" si="7">S10*1000/M10</f>
        <v>3786.7074439574994</v>
      </c>
      <c r="AD10" s="340">
        <f t="shared" ref="AD10" si="8">U10*1000/N10</f>
        <v>6063.4101868957077</v>
      </c>
      <c r="AE10" s="340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Y10" s="344"/>
      <c r="AZ10" s="344"/>
      <c r="BA10" s="344"/>
    </row>
    <row r="11" spans="1:53" ht="12.75" x14ac:dyDescent="0.2">
      <c r="A11" s="339">
        <v>45717</v>
      </c>
      <c r="B11" s="337" t="s">
        <v>305</v>
      </c>
      <c r="C11" s="337">
        <v>2025</v>
      </c>
      <c r="E11" s="112">
        <v>79955</v>
      </c>
      <c r="F11" s="112">
        <v>25262</v>
      </c>
      <c r="G11" s="112">
        <v>54693</v>
      </c>
      <c r="H11" s="112">
        <v>43621</v>
      </c>
      <c r="I11" s="112"/>
      <c r="J11" s="341"/>
      <c r="K11" s="112">
        <v>32921</v>
      </c>
      <c r="L11" s="112">
        <v>26125</v>
      </c>
      <c r="M11" s="112">
        <v>6796.2</v>
      </c>
      <c r="N11" s="112">
        <v>43621</v>
      </c>
      <c r="O11" s="112"/>
      <c r="P11" s="341"/>
      <c r="Q11" s="112">
        <v>167050</v>
      </c>
      <c r="R11" s="112">
        <v>141641</v>
      </c>
      <c r="S11" s="112">
        <v>24645</v>
      </c>
      <c r="T11" s="112">
        <v>764</v>
      </c>
      <c r="U11" s="112">
        <v>254095</v>
      </c>
      <c r="V11" s="112"/>
      <c r="W11" s="112"/>
      <c r="X11" s="112"/>
      <c r="Y11" s="112">
        <v>0</v>
      </c>
      <c r="Z11" s="112">
        <v>1933</v>
      </c>
      <c r="AA11" s="341"/>
      <c r="AB11" s="340">
        <f t="shared" ref="AB11:AB51" si="9">R11*1000/L11</f>
        <v>5421.6650717703351</v>
      </c>
      <c r="AC11" s="340">
        <f t="shared" ref="AC11:AC51" si="10">S11*1000/M11</f>
        <v>3626.2911627085728</v>
      </c>
      <c r="AD11" s="340">
        <f t="shared" ref="AD11:AD51" si="11">U11*1000/N11</f>
        <v>5825.0613236743766</v>
      </c>
      <c r="AE11" s="340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Y11" s="344"/>
      <c r="AZ11" s="344"/>
      <c r="BA11" s="344"/>
    </row>
    <row r="12" spans="1:53" ht="12.75" x14ac:dyDescent="0.2">
      <c r="A12" s="339">
        <v>45627</v>
      </c>
      <c r="B12" s="337" t="s">
        <v>303</v>
      </c>
      <c r="C12" s="337">
        <v>2024</v>
      </c>
      <c r="E12" s="112">
        <v>79158.7</v>
      </c>
      <c r="F12" s="112">
        <v>24560.9</v>
      </c>
      <c r="G12" s="112">
        <v>54597.8</v>
      </c>
      <c r="H12" s="112">
        <v>44666.9</v>
      </c>
      <c r="I12" s="112">
        <v>1891.4</v>
      </c>
      <c r="J12" s="341"/>
      <c r="K12" s="112">
        <v>29297.8</v>
      </c>
      <c r="L12" s="112">
        <v>23852</v>
      </c>
      <c r="M12" s="112">
        <v>5445.8</v>
      </c>
      <c r="N12" s="112">
        <v>44667</v>
      </c>
      <c r="O12" s="112">
        <v>2030.3</v>
      </c>
      <c r="P12" s="341"/>
      <c r="Q12" s="112">
        <v>150031</v>
      </c>
      <c r="R12" s="112">
        <v>130550</v>
      </c>
      <c r="S12" s="112">
        <v>19220</v>
      </c>
      <c r="T12" s="112">
        <v>261</v>
      </c>
      <c r="U12" s="112">
        <v>255740</v>
      </c>
      <c r="V12" s="112">
        <v>18263</v>
      </c>
      <c r="W12" s="112">
        <v>16126</v>
      </c>
      <c r="X12" s="112">
        <v>2137</v>
      </c>
      <c r="Y12" s="112">
        <v>0</v>
      </c>
      <c r="Z12" s="112"/>
      <c r="AA12" s="341"/>
      <c r="AB12" s="340">
        <f t="shared" si="9"/>
        <v>5473.33556934429</v>
      </c>
      <c r="AC12" s="340">
        <f t="shared" si="10"/>
        <v>3529.3253516471409</v>
      </c>
      <c r="AD12" s="340">
        <f t="shared" si="11"/>
        <v>5725.479660599548</v>
      </c>
      <c r="AE12" s="340">
        <f t="shared" ref="AE12:AE51" si="12">W12*1000/O12</f>
        <v>7942.6685711471209</v>
      </c>
      <c r="AM12" s="344"/>
      <c r="AN12" s="344"/>
      <c r="AO12" s="344"/>
      <c r="AP12" s="344"/>
      <c r="AQ12" s="344"/>
      <c r="AR12" s="344"/>
      <c r="AS12" s="344"/>
      <c r="AT12" s="344"/>
      <c r="AU12" s="344"/>
      <c r="AV12" s="344"/>
      <c r="AY12" s="344"/>
      <c r="AZ12" s="344"/>
      <c r="BA12" s="344"/>
    </row>
    <row r="13" spans="1:53" ht="12.75" x14ac:dyDescent="0.2">
      <c r="A13" s="339">
        <v>45536</v>
      </c>
      <c r="B13" s="337" t="s">
        <v>299</v>
      </c>
      <c r="C13" s="337">
        <v>2024</v>
      </c>
      <c r="E13" s="112">
        <v>80755</v>
      </c>
      <c r="F13" s="112">
        <v>25184.1</v>
      </c>
      <c r="G13" s="112">
        <v>55570.5</v>
      </c>
      <c r="H13" s="112">
        <v>46442.7</v>
      </c>
      <c r="I13" s="112">
        <v>1969.4</v>
      </c>
      <c r="J13" s="341"/>
      <c r="K13" s="112">
        <v>32897.699999999997</v>
      </c>
      <c r="L13" s="112">
        <v>26751</v>
      </c>
      <c r="M13" s="112">
        <v>6146.7</v>
      </c>
      <c r="N13" s="112">
        <v>46443</v>
      </c>
      <c r="O13" s="112">
        <v>1549</v>
      </c>
      <c r="P13" s="341"/>
      <c r="Q13" s="112">
        <v>160643</v>
      </c>
      <c r="R13" s="112">
        <v>139548</v>
      </c>
      <c r="S13" s="112">
        <v>20416</v>
      </c>
      <c r="T13" s="112">
        <v>679</v>
      </c>
      <c r="U13" s="112">
        <v>251991</v>
      </c>
      <c r="V13" s="112">
        <v>13742</v>
      </c>
      <c r="W13" s="112">
        <v>12196</v>
      </c>
      <c r="X13" s="112">
        <v>1546</v>
      </c>
      <c r="Y13" s="112">
        <v>0</v>
      </c>
      <c r="Z13" s="112"/>
      <c r="AA13" s="341"/>
      <c r="AB13" s="340">
        <f t="shared" si="9"/>
        <v>5216.5526522372993</v>
      </c>
      <c r="AC13" s="340">
        <f t="shared" si="10"/>
        <v>3321.457041990011</v>
      </c>
      <c r="AD13" s="340">
        <f t="shared" si="11"/>
        <v>5425.8122860280346</v>
      </c>
      <c r="AE13" s="340">
        <f t="shared" si="12"/>
        <v>7873.4667527437059</v>
      </c>
      <c r="AM13" s="344"/>
      <c r="AN13" s="344"/>
      <c r="AO13" s="344"/>
      <c r="AP13" s="344"/>
      <c r="AQ13" s="344"/>
      <c r="AR13" s="344"/>
      <c r="AS13" s="344"/>
      <c r="AT13" s="344"/>
      <c r="AU13" s="344"/>
      <c r="AV13" s="344"/>
      <c r="AY13" s="344"/>
      <c r="AZ13" s="344"/>
      <c r="BA13" s="344"/>
    </row>
    <row r="14" spans="1:53" ht="12.75" x14ac:dyDescent="0.2">
      <c r="A14" s="339">
        <v>45444</v>
      </c>
      <c r="B14" s="337" t="s">
        <v>297</v>
      </c>
      <c r="C14" s="337">
        <v>2024</v>
      </c>
      <c r="E14" s="112">
        <v>77371</v>
      </c>
      <c r="F14" s="112">
        <v>24796.799999999999</v>
      </c>
      <c r="G14" s="112">
        <v>52573.8</v>
      </c>
      <c r="H14" s="112">
        <v>41874</v>
      </c>
      <c r="I14" s="112">
        <v>2858.3</v>
      </c>
      <c r="J14" s="341"/>
      <c r="K14" s="112">
        <v>31725</v>
      </c>
      <c r="L14" s="112">
        <v>24424</v>
      </c>
      <c r="M14" s="112">
        <v>7300.7</v>
      </c>
      <c r="N14" s="112">
        <v>41874</v>
      </c>
      <c r="O14" s="112">
        <v>3341</v>
      </c>
      <c r="P14" s="341"/>
      <c r="Q14" s="112">
        <v>145225</v>
      </c>
      <c r="R14" s="112">
        <v>122750</v>
      </c>
      <c r="S14" s="112">
        <v>22248</v>
      </c>
      <c r="T14" s="112">
        <v>227</v>
      </c>
      <c r="U14" s="112">
        <v>223797</v>
      </c>
      <c r="V14" s="112">
        <v>24437</v>
      </c>
      <c r="W14" s="112">
        <v>22725</v>
      </c>
      <c r="X14" s="112">
        <v>1712</v>
      </c>
      <c r="Y14" s="112">
        <v>0</v>
      </c>
      <c r="Z14" s="112"/>
      <c r="AA14" s="341"/>
      <c r="AB14" s="340">
        <f t="shared" si="9"/>
        <v>5025.7943006878477</v>
      </c>
      <c r="AC14" s="340">
        <f t="shared" si="10"/>
        <v>3047.3790184502855</v>
      </c>
      <c r="AD14" s="340">
        <f t="shared" si="11"/>
        <v>5344.5336008024069</v>
      </c>
      <c r="AE14" s="340">
        <f t="shared" si="12"/>
        <v>6801.8557318168214</v>
      </c>
      <c r="AM14" s="344"/>
      <c r="AN14" s="344"/>
      <c r="AO14" s="344"/>
      <c r="AP14" s="344"/>
      <c r="AQ14" s="344"/>
      <c r="AR14" s="344"/>
      <c r="AS14" s="344"/>
      <c r="AT14" s="344"/>
      <c r="AU14" s="344"/>
      <c r="AV14" s="344"/>
      <c r="AY14" s="344"/>
      <c r="AZ14" s="344"/>
      <c r="BA14" s="344"/>
    </row>
    <row r="15" spans="1:53" ht="12.75" x14ac:dyDescent="0.2">
      <c r="A15" s="339">
        <v>45352</v>
      </c>
      <c r="B15" s="337" t="s">
        <v>289</v>
      </c>
      <c r="C15" s="337">
        <v>2024</v>
      </c>
      <c r="E15" s="112">
        <v>76437.700000000012</v>
      </c>
      <c r="F15" s="112">
        <v>25419.9</v>
      </c>
      <c r="G15" s="112">
        <v>51017.8</v>
      </c>
      <c r="H15" s="112">
        <v>41484.6</v>
      </c>
      <c r="I15" s="112">
        <v>3784.5</v>
      </c>
      <c r="J15" s="341"/>
      <c r="K15" s="112">
        <v>30401.837</v>
      </c>
      <c r="L15" s="112">
        <v>24336.494999999999</v>
      </c>
      <c r="M15" s="112">
        <v>6065.3419999999996</v>
      </c>
      <c r="N15" s="112">
        <v>41484.6</v>
      </c>
      <c r="O15" s="112">
        <v>3897.8</v>
      </c>
      <c r="P15" s="341"/>
      <c r="Q15" s="112">
        <v>140111</v>
      </c>
      <c r="R15" s="112">
        <v>121109.4</v>
      </c>
      <c r="S15" s="112">
        <v>18915.8</v>
      </c>
      <c r="T15" s="112">
        <v>86</v>
      </c>
      <c r="U15" s="112">
        <v>220351</v>
      </c>
      <c r="V15" s="112">
        <v>23139</v>
      </c>
      <c r="W15" s="112">
        <v>21078</v>
      </c>
      <c r="X15" s="112">
        <v>2061</v>
      </c>
      <c r="Y15" s="112">
        <v>0</v>
      </c>
      <c r="Z15" s="112"/>
      <c r="AA15" s="341"/>
      <c r="AB15" s="340">
        <f t="shared" si="9"/>
        <v>4976.4520322256758</v>
      </c>
      <c r="AC15" s="340">
        <f t="shared" si="10"/>
        <v>3118.6699777193112</v>
      </c>
      <c r="AD15" s="340">
        <f t="shared" si="11"/>
        <v>5311.6337146796641</v>
      </c>
      <c r="AE15" s="340">
        <f t="shared" si="12"/>
        <v>5407.6658627943962</v>
      </c>
      <c r="AM15" s="344"/>
      <c r="AN15" s="344"/>
      <c r="AO15" s="344"/>
      <c r="AP15" s="344"/>
      <c r="AQ15" s="344"/>
      <c r="AR15" s="344"/>
      <c r="AS15" s="344"/>
      <c r="AT15" s="344"/>
      <c r="AU15" s="344"/>
      <c r="AV15" s="344"/>
      <c r="AY15" s="344"/>
      <c r="AZ15" s="344"/>
      <c r="BA15" s="344"/>
    </row>
    <row r="16" spans="1:53" ht="12.75" x14ac:dyDescent="0.2">
      <c r="A16" s="339">
        <f t="shared" ref="A16:A50" si="13">EDATE(A17,3)</f>
        <v>45261</v>
      </c>
      <c r="B16" s="337" t="s">
        <v>286</v>
      </c>
      <c r="C16" s="337">
        <f t="shared" ref="C16:C51" si="14">YEAR(A16)</f>
        <v>2023</v>
      </c>
      <c r="E16" s="112">
        <v>80495.100000000006</v>
      </c>
      <c r="F16" s="112">
        <v>24614.1</v>
      </c>
      <c r="G16" s="112">
        <v>55881</v>
      </c>
      <c r="H16" s="112">
        <v>44501.4</v>
      </c>
      <c r="I16" s="112">
        <v>2572.5</v>
      </c>
      <c r="J16" s="341"/>
      <c r="K16" s="112">
        <v>28688.2</v>
      </c>
      <c r="L16" s="112">
        <v>23291.9</v>
      </c>
      <c r="M16" s="112">
        <v>5396.3</v>
      </c>
      <c r="N16" s="112">
        <v>44501.4</v>
      </c>
      <c r="O16" s="112">
        <v>1629.4</v>
      </c>
      <c r="P16" s="341"/>
      <c r="Q16" s="112">
        <v>137077</v>
      </c>
      <c r="R16" s="112">
        <v>118615</v>
      </c>
      <c r="S16" s="112">
        <v>16572</v>
      </c>
      <c r="T16" s="112">
        <v>1890</v>
      </c>
      <c r="U16" s="112">
        <v>237386</v>
      </c>
      <c r="V16" s="112">
        <v>10573</v>
      </c>
      <c r="W16" s="112">
        <v>8758</v>
      </c>
      <c r="X16" s="112">
        <v>1815</v>
      </c>
      <c r="Y16" s="112">
        <v>0</v>
      </c>
      <c r="Z16" s="112"/>
      <c r="AA16" s="341"/>
      <c r="AB16" s="340">
        <f t="shared" si="9"/>
        <v>5092.542901180238</v>
      </c>
      <c r="AC16" s="340">
        <f t="shared" si="10"/>
        <v>3070.9930878564942</v>
      </c>
      <c r="AD16" s="340">
        <f t="shared" si="11"/>
        <v>5334.3490317158557</v>
      </c>
      <c r="AE16" s="340">
        <f t="shared" si="12"/>
        <v>5374.9846569289302</v>
      </c>
      <c r="AM16" s="344"/>
      <c r="AN16" s="344"/>
      <c r="AO16" s="344"/>
      <c r="AP16" s="344"/>
      <c r="AQ16" s="344"/>
      <c r="AR16" s="344"/>
      <c r="AS16" s="344"/>
      <c r="AT16" s="344"/>
      <c r="AU16" s="344"/>
      <c r="AV16" s="344"/>
      <c r="AY16" s="344"/>
      <c r="AZ16" s="344"/>
      <c r="BA16" s="344"/>
    </row>
    <row r="17" spans="1:53" ht="12.75" x14ac:dyDescent="0.2">
      <c r="A17" s="339">
        <f t="shared" si="13"/>
        <v>45170</v>
      </c>
      <c r="B17" s="337" t="s">
        <v>264</v>
      </c>
      <c r="C17" s="337">
        <f t="shared" si="14"/>
        <v>2023</v>
      </c>
      <c r="E17" s="112">
        <v>75976.399999999994</v>
      </c>
      <c r="F17" s="112">
        <v>25371</v>
      </c>
      <c r="G17" s="112">
        <v>50605.5</v>
      </c>
      <c r="H17" s="112">
        <v>43758.1</v>
      </c>
      <c r="I17" s="112">
        <v>1394.92</v>
      </c>
      <c r="J17" s="341"/>
      <c r="K17" s="112">
        <v>32528.089999999997</v>
      </c>
      <c r="L17" s="112">
        <v>25685.159999999996</v>
      </c>
      <c r="M17" s="112">
        <v>6842.93</v>
      </c>
      <c r="N17" s="112">
        <v>43758.1</v>
      </c>
      <c r="O17" s="112">
        <v>1697.54</v>
      </c>
      <c r="P17" s="341"/>
      <c r="Q17" s="112">
        <v>154203</v>
      </c>
      <c r="R17" s="112">
        <v>133046</v>
      </c>
      <c r="S17" s="112">
        <v>21067</v>
      </c>
      <c r="T17" s="112">
        <v>90</v>
      </c>
      <c r="U17" s="112">
        <v>242325</v>
      </c>
      <c r="V17" s="112">
        <v>11327</v>
      </c>
      <c r="W17" s="112">
        <v>9777</v>
      </c>
      <c r="X17" s="112">
        <v>1550</v>
      </c>
      <c r="Y17" s="112">
        <v>0</v>
      </c>
      <c r="Z17" s="112"/>
      <c r="AA17" s="341"/>
      <c r="AB17" s="340">
        <f t="shared" si="9"/>
        <v>5179.8781864703205</v>
      </c>
      <c r="AC17" s="340">
        <f t="shared" si="10"/>
        <v>3078.6519809496808</v>
      </c>
      <c r="AD17" s="340">
        <f t="shared" si="11"/>
        <v>5537.8318528455302</v>
      </c>
      <c r="AE17" s="340">
        <f t="shared" si="12"/>
        <v>5759.5108215417604</v>
      </c>
      <c r="AM17" s="344"/>
      <c r="AN17" s="344"/>
      <c r="AO17" s="344"/>
      <c r="AP17" s="344"/>
      <c r="AQ17" s="344"/>
      <c r="AR17" s="344"/>
      <c r="AS17" s="344"/>
      <c r="AT17" s="344"/>
      <c r="AU17" s="344"/>
      <c r="AV17" s="344"/>
      <c r="AY17" s="344"/>
      <c r="AZ17" s="344"/>
      <c r="BA17" s="344"/>
    </row>
    <row r="18" spans="1:53" ht="12.75" x14ac:dyDescent="0.2">
      <c r="A18" s="339">
        <f t="shared" si="13"/>
        <v>45078</v>
      </c>
      <c r="B18" s="337" t="s">
        <v>255</v>
      </c>
      <c r="C18" s="337">
        <f t="shared" si="14"/>
        <v>2023</v>
      </c>
      <c r="E18" s="112">
        <v>68727.899999999994</v>
      </c>
      <c r="F18" s="112">
        <v>22394.799999999999</v>
      </c>
      <c r="G18" s="112">
        <v>46333.2</v>
      </c>
      <c r="H18" s="112">
        <v>38627</v>
      </c>
      <c r="I18" s="112">
        <v>3827.1</v>
      </c>
      <c r="J18" s="341"/>
      <c r="K18" s="112">
        <v>29261.7</v>
      </c>
      <c r="L18" s="112">
        <v>22856.7</v>
      </c>
      <c r="M18" s="112">
        <v>6405</v>
      </c>
      <c r="N18" s="112">
        <v>38627</v>
      </c>
      <c r="O18" s="112">
        <v>3596.7</v>
      </c>
      <c r="P18" s="341"/>
      <c r="Q18" s="112">
        <v>145235</v>
      </c>
      <c r="R18" s="112">
        <v>124251.336</v>
      </c>
      <c r="S18" s="112">
        <v>20791.945</v>
      </c>
      <c r="T18" s="112">
        <v>191.71900000001187</v>
      </c>
      <c r="U18" s="112">
        <v>222515</v>
      </c>
      <c r="V18" s="112">
        <v>26720</v>
      </c>
      <c r="W18" s="112">
        <v>25319</v>
      </c>
      <c r="X18" s="112">
        <v>1401</v>
      </c>
      <c r="Y18" s="112">
        <v>0</v>
      </c>
      <c r="Z18" s="112"/>
      <c r="AA18" s="341"/>
      <c r="AB18" s="340">
        <f t="shared" si="9"/>
        <v>5436.1012744621921</v>
      </c>
      <c r="AC18" s="340">
        <f t="shared" si="10"/>
        <v>3246.2053083528494</v>
      </c>
      <c r="AD18" s="340">
        <f t="shared" si="11"/>
        <v>5760.6078649649207</v>
      </c>
      <c r="AE18" s="340">
        <f t="shared" si="12"/>
        <v>7039.5084382906552</v>
      </c>
      <c r="AM18" s="344"/>
      <c r="AN18" s="344"/>
      <c r="AO18" s="344"/>
      <c r="AP18" s="344"/>
      <c r="AQ18" s="344"/>
      <c r="AR18" s="344"/>
      <c r="AS18" s="344"/>
      <c r="AT18" s="344"/>
      <c r="AU18" s="344"/>
      <c r="AV18" s="344"/>
      <c r="AY18" s="344"/>
      <c r="AZ18" s="344"/>
      <c r="BA18" s="344"/>
    </row>
    <row r="19" spans="1:53" ht="12.75" x14ac:dyDescent="0.2">
      <c r="A19" s="339">
        <f t="shared" si="13"/>
        <v>44986</v>
      </c>
      <c r="B19" s="337" t="s">
        <v>253</v>
      </c>
      <c r="C19" s="337">
        <f t="shared" si="14"/>
        <v>2023</v>
      </c>
      <c r="E19" s="112">
        <v>73071.899999999994</v>
      </c>
      <c r="F19" s="112">
        <v>24596.3</v>
      </c>
      <c r="G19" s="112">
        <v>48475.5</v>
      </c>
      <c r="H19" s="112">
        <v>38103</v>
      </c>
      <c r="I19" s="112">
        <v>4186</v>
      </c>
      <c r="J19" s="341"/>
      <c r="K19" s="112">
        <v>29713.200000000001</v>
      </c>
      <c r="L19" s="112">
        <v>23220.7</v>
      </c>
      <c r="M19" s="112">
        <v>6492.5</v>
      </c>
      <c r="N19" s="112">
        <v>38103</v>
      </c>
      <c r="O19" s="112">
        <v>3991</v>
      </c>
      <c r="P19" s="341"/>
      <c r="Q19" s="112">
        <v>150712</v>
      </c>
      <c r="R19" s="112">
        <v>127449.069</v>
      </c>
      <c r="S19" s="112">
        <v>22798.221000000001</v>
      </c>
      <c r="T19" s="112">
        <v>464.70999999999185</v>
      </c>
      <c r="U19" s="112">
        <v>224052</v>
      </c>
      <c r="V19" s="112">
        <v>32120</v>
      </c>
      <c r="W19" s="112">
        <v>30924</v>
      </c>
      <c r="X19" s="112">
        <v>1196</v>
      </c>
      <c r="Y19" s="112">
        <v>0</v>
      </c>
      <c r="Z19" s="112"/>
      <c r="AA19" s="341"/>
      <c r="AB19" s="340">
        <f t="shared" si="9"/>
        <v>5488.5971999121475</v>
      </c>
      <c r="AC19" s="340">
        <f t="shared" si="10"/>
        <v>3511.4703118983443</v>
      </c>
      <c r="AD19" s="340">
        <f t="shared" si="11"/>
        <v>5880.166915990867</v>
      </c>
      <c r="AE19" s="340">
        <f t="shared" si="12"/>
        <v>7748.433976447006</v>
      </c>
      <c r="AM19" s="344"/>
      <c r="AN19" s="344"/>
      <c r="AO19" s="344"/>
      <c r="AP19" s="344"/>
      <c r="AQ19" s="344"/>
      <c r="AR19" s="344"/>
      <c r="AS19" s="344"/>
      <c r="AT19" s="344"/>
      <c r="AU19" s="344"/>
      <c r="AV19" s="344"/>
      <c r="AY19" s="344"/>
      <c r="AZ19" s="344"/>
      <c r="BA19" s="344"/>
    </row>
    <row r="20" spans="1:53" ht="12.75" x14ac:dyDescent="0.2">
      <c r="A20" s="339">
        <f t="shared" si="13"/>
        <v>44896</v>
      </c>
      <c r="B20" s="337" t="s">
        <v>208</v>
      </c>
      <c r="C20" s="337">
        <f t="shared" si="14"/>
        <v>2022</v>
      </c>
      <c r="E20" s="112">
        <v>76136</v>
      </c>
      <c r="F20" s="112">
        <v>25011.8</v>
      </c>
      <c r="G20" s="112">
        <v>51124.2</v>
      </c>
      <c r="H20" s="112">
        <v>39687</v>
      </c>
      <c r="I20" s="112">
        <v>2495</v>
      </c>
      <c r="J20" s="341"/>
      <c r="K20" s="112">
        <v>30216</v>
      </c>
      <c r="L20" s="112">
        <v>24385.1</v>
      </c>
      <c r="M20" s="112">
        <v>5831.1</v>
      </c>
      <c r="N20" s="112">
        <v>39687</v>
      </c>
      <c r="O20" s="112">
        <v>2279</v>
      </c>
      <c r="P20" s="341"/>
      <c r="Q20" s="112">
        <v>152741</v>
      </c>
      <c r="R20" s="112">
        <v>130115.11900000001</v>
      </c>
      <c r="S20" s="112">
        <v>22270.335999999999</v>
      </c>
      <c r="T20" s="112">
        <v>355.5449999999837</v>
      </c>
      <c r="U20" s="112">
        <v>233135</v>
      </c>
      <c r="V20" s="112">
        <v>22602</v>
      </c>
      <c r="W20" s="112">
        <v>20779</v>
      </c>
      <c r="X20" s="112">
        <v>1823</v>
      </c>
      <c r="Y20" s="112">
        <v>0</v>
      </c>
      <c r="Z20" s="112"/>
      <c r="AA20" s="341"/>
      <c r="AB20" s="340">
        <f t="shared" si="9"/>
        <v>5335.8452087545265</v>
      </c>
      <c r="AC20" s="340">
        <f t="shared" si="10"/>
        <v>3819.2341067723069</v>
      </c>
      <c r="AD20" s="340">
        <f t="shared" si="11"/>
        <v>5874.3417239902237</v>
      </c>
      <c r="AE20" s="340">
        <f t="shared" si="12"/>
        <v>9117.5954365949983</v>
      </c>
      <c r="AM20" s="344"/>
      <c r="AN20" s="344"/>
      <c r="AO20" s="344"/>
      <c r="AP20" s="344"/>
      <c r="AQ20" s="344"/>
      <c r="AR20" s="344"/>
      <c r="AS20" s="344"/>
      <c r="AT20" s="344"/>
      <c r="AU20" s="344"/>
      <c r="AV20" s="344"/>
      <c r="AY20" s="344"/>
      <c r="AZ20" s="344"/>
      <c r="BA20" s="344"/>
    </row>
    <row r="21" spans="1:53" ht="12.75" x14ac:dyDescent="0.2">
      <c r="A21" s="339">
        <f t="shared" si="13"/>
        <v>44805</v>
      </c>
      <c r="B21" s="337" t="s">
        <v>209</v>
      </c>
      <c r="C21" s="337">
        <f t="shared" si="14"/>
        <v>2022</v>
      </c>
      <c r="E21" s="112">
        <v>76799.7</v>
      </c>
      <c r="F21" s="112">
        <v>24106.2</v>
      </c>
      <c r="G21" s="112">
        <v>52694.400000000001</v>
      </c>
      <c r="H21" s="112">
        <v>45759</v>
      </c>
      <c r="I21" s="112">
        <v>3008</v>
      </c>
      <c r="J21" s="341"/>
      <c r="K21" s="112">
        <v>30181.7</v>
      </c>
      <c r="L21" s="112">
        <v>23607.9</v>
      </c>
      <c r="M21" s="112">
        <v>6573.8</v>
      </c>
      <c r="N21" s="112">
        <v>45759</v>
      </c>
      <c r="O21" s="112">
        <v>3020.8</v>
      </c>
      <c r="P21" s="341"/>
      <c r="Q21" s="112">
        <v>144943</v>
      </c>
      <c r="R21" s="112">
        <v>120283</v>
      </c>
      <c r="S21" s="112">
        <v>23852</v>
      </c>
      <c r="T21" s="112">
        <v>808</v>
      </c>
      <c r="U21" s="112">
        <v>261759</v>
      </c>
      <c r="V21" s="112">
        <v>34703</v>
      </c>
      <c r="W21" s="112">
        <v>31695</v>
      </c>
      <c r="X21" s="112">
        <v>3008</v>
      </c>
      <c r="Y21" s="112">
        <v>0</v>
      </c>
      <c r="Z21" s="112"/>
      <c r="AA21" s="341"/>
      <c r="AB21" s="340">
        <f t="shared" si="9"/>
        <v>5095.0317478471188</v>
      </c>
      <c r="AC21" s="340">
        <f t="shared" si="10"/>
        <v>3628.3428154187836</v>
      </c>
      <c r="AD21" s="340">
        <f t="shared" si="11"/>
        <v>5720.3828754999013</v>
      </c>
      <c r="AE21" s="340">
        <f t="shared" si="12"/>
        <v>10492.253707627118</v>
      </c>
      <c r="AM21" s="344"/>
      <c r="AN21" s="344"/>
      <c r="AO21" s="344"/>
      <c r="AP21" s="344"/>
      <c r="AQ21" s="344"/>
      <c r="AR21" s="344"/>
      <c r="AS21" s="344"/>
      <c r="AT21" s="344"/>
      <c r="AU21" s="344"/>
      <c r="AV21" s="344"/>
      <c r="AY21" s="344"/>
      <c r="AZ21" s="344"/>
      <c r="BA21" s="344"/>
    </row>
    <row r="22" spans="1:53" ht="12.75" x14ac:dyDescent="0.2">
      <c r="A22" s="339">
        <f t="shared" si="13"/>
        <v>44713</v>
      </c>
      <c r="B22" s="337" t="s">
        <v>210</v>
      </c>
      <c r="C22" s="337">
        <f t="shared" si="14"/>
        <v>2022</v>
      </c>
      <c r="E22" s="112">
        <v>75000</v>
      </c>
      <c r="F22" s="112">
        <v>25358.2</v>
      </c>
      <c r="G22" s="112">
        <v>49641.4</v>
      </c>
      <c r="H22" s="112">
        <v>39960</v>
      </c>
      <c r="I22" s="112">
        <v>3934</v>
      </c>
      <c r="J22" s="341"/>
      <c r="K22" s="112">
        <v>32717</v>
      </c>
      <c r="L22" s="112">
        <v>25336.7</v>
      </c>
      <c r="M22" s="112">
        <v>7379.8</v>
      </c>
      <c r="N22" s="112">
        <v>39960</v>
      </c>
      <c r="O22" s="112">
        <v>4240</v>
      </c>
      <c r="P22" s="341"/>
      <c r="Q22" s="112">
        <v>148470</v>
      </c>
      <c r="R22" s="112">
        <v>121961</v>
      </c>
      <c r="S22" s="112">
        <v>25498</v>
      </c>
      <c r="T22" s="112">
        <v>1011</v>
      </c>
      <c r="U22" s="112">
        <v>231683</v>
      </c>
      <c r="V22" s="112">
        <v>48710</v>
      </c>
      <c r="W22" s="112">
        <v>47244</v>
      </c>
      <c r="X22" s="112">
        <v>1466</v>
      </c>
      <c r="Y22" s="112">
        <v>0</v>
      </c>
      <c r="Z22" s="112"/>
      <c r="AA22" s="341"/>
      <c r="AB22" s="340">
        <f t="shared" si="9"/>
        <v>4813.6102965263826</v>
      </c>
      <c r="AC22" s="340">
        <f t="shared" si="10"/>
        <v>3455.1071844765438</v>
      </c>
      <c r="AD22" s="340">
        <f t="shared" si="11"/>
        <v>5797.8728728728729</v>
      </c>
      <c r="AE22" s="340">
        <f t="shared" si="12"/>
        <v>11142.452830188678</v>
      </c>
      <c r="AG22" s="345"/>
      <c r="AM22" s="344"/>
      <c r="AN22" s="344"/>
      <c r="AO22" s="344"/>
      <c r="AP22" s="344"/>
      <c r="AQ22" s="344"/>
      <c r="AR22" s="344"/>
      <c r="AS22" s="344"/>
      <c r="AT22" s="344"/>
      <c r="AU22" s="344"/>
      <c r="AV22" s="344"/>
      <c r="AY22" s="344"/>
      <c r="AZ22" s="344"/>
      <c r="BA22" s="344"/>
    </row>
    <row r="23" spans="1:53" ht="12.75" x14ac:dyDescent="0.2">
      <c r="A23" s="339">
        <f t="shared" si="13"/>
        <v>44621</v>
      </c>
      <c r="B23" s="337" t="s">
        <v>211</v>
      </c>
      <c r="C23" s="337">
        <f t="shared" si="14"/>
        <v>2022</v>
      </c>
      <c r="E23" s="112">
        <v>65620</v>
      </c>
      <c r="F23" s="112">
        <v>25479.4</v>
      </c>
      <c r="G23" s="112">
        <v>40140.5</v>
      </c>
      <c r="H23" s="112">
        <v>34434</v>
      </c>
      <c r="I23" s="112">
        <v>4295</v>
      </c>
      <c r="J23" s="341"/>
      <c r="K23" s="112">
        <v>31766</v>
      </c>
      <c r="L23" s="112">
        <v>24865</v>
      </c>
      <c r="M23" s="112">
        <v>6901.3</v>
      </c>
      <c r="N23" s="112">
        <v>34434</v>
      </c>
      <c r="O23" s="112">
        <v>4160</v>
      </c>
      <c r="P23" s="341"/>
      <c r="Q23" s="112">
        <v>144071</v>
      </c>
      <c r="R23" s="112">
        <v>116834</v>
      </c>
      <c r="S23" s="112">
        <v>25428</v>
      </c>
      <c r="T23" s="112">
        <v>1809</v>
      </c>
      <c r="U23" s="112">
        <v>209186</v>
      </c>
      <c r="V23" s="112">
        <v>54663</v>
      </c>
      <c r="W23" s="112">
        <v>52893</v>
      </c>
      <c r="X23" s="112">
        <v>1770</v>
      </c>
      <c r="Y23" s="112">
        <v>0</v>
      </c>
      <c r="Z23" s="112"/>
      <c r="AA23" s="341"/>
      <c r="AB23" s="340">
        <f t="shared" si="9"/>
        <v>4698.7331590589183</v>
      </c>
      <c r="AC23" s="340">
        <f t="shared" si="10"/>
        <v>3684.5232057728253</v>
      </c>
      <c r="AD23" s="340">
        <f t="shared" si="11"/>
        <v>6074.9840274147646</v>
      </c>
      <c r="AE23" s="340">
        <f t="shared" si="12"/>
        <v>12714.663461538461</v>
      </c>
      <c r="AG23" s="345"/>
      <c r="AM23" s="344"/>
      <c r="AN23" s="344"/>
      <c r="AO23" s="344"/>
      <c r="AP23" s="344"/>
      <c r="AQ23" s="344"/>
      <c r="AR23" s="344"/>
      <c r="AS23" s="344"/>
      <c r="AT23" s="344"/>
      <c r="AU23" s="344"/>
      <c r="AV23" s="344"/>
      <c r="AY23" s="344"/>
      <c r="AZ23" s="344"/>
      <c r="BA23" s="344"/>
    </row>
    <row r="24" spans="1:53" ht="12.75" x14ac:dyDescent="0.2">
      <c r="A24" s="339">
        <f t="shared" si="13"/>
        <v>44531</v>
      </c>
      <c r="B24" s="337" t="s">
        <v>212</v>
      </c>
      <c r="C24" s="337">
        <f t="shared" si="14"/>
        <v>2021</v>
      </c>
      <c r="E24" s="112">
        <v>73491</v>
      </c>
      <c r="F24" s="112">
        <v>26850.799999999999</v>
      </c>
      <c r="G24" s="112">
        <v>46640.1</v>
      </c>
      <c r="H24" s="112">
        <v>36666</v>
      </c>
      <c r="I24" s="112">
        <v>3235</v>
      </c>
      <c r="J24" s="341"/>
      <c r="K24" s="112">
        <v>32325</v>
      </c>
      <c r="L24" s="112">
        <v>27165.9</v>
      </c>
      <c r="M24" s="112">
        <v>5159.3999999999996</v>
      </c>
      <c r="N24" s="112">
        <v>36666</v>
      </c>
      <c r="O24" s="112">
        <v>3249</v>
      </c>
      <c r="P24" s="341"/>
      <c r="Q24" s="112">
        <v>144263</v>
      </c>
      <c r="R24" s="112">
        <v>122632</v>
      </c>
      <c r="S24" s="112">
        <v>20019</v>
      </c>
      <c r="T24" s="112">
        <v>1612</v>
      </c>
      <c r="U24" s="112">
        <v>227719</v>
      </c>
      <c r="V24" s="112">
        <v>42043</v>
      </c>
      <c r="W24" s="112">
        <v>40177</v>
      </c>
      <c r="X24" s="112">
        <v>1866</v>
      </c>
      <c r="Y24" s="112">
        <v>43</v>
      </c>
      <c r="Z24" s="112"/>
      <c r="AA24" s="341"/>
      <c r="AB24" s="340">
        <f t="shared" si="9"/>
        <v>4514.1887439768234</v>
      </c>
      <c r="AC24" s="340">
        <f t="shared" si="10"/>
        <v>3880.1023374811029</v>
      </c>
      <c r="AD24" s="340">
        <f t="shared" si="11"/>
        <v>6210.6311023836797</v>
      </c>
      <c r="AE24" s="340">
        <f t="shared" si="12"/>
        <v>12365.958756540474</v>
      </c>
      <c r="AM24" s="344"/>
      <c r="AN24" s="344"/>
      <c r="AO24" s="344"/>
      <c r="AP24" s="344"/>
      <c r="AQ24" s="344"/>
      <c r="AR24" s="344"/>
      <c r="AS24" s="344"/>
      <c r="AT24" s="344"/>
      <c r="AU24" s="344"/>
      <c r="AV24" s="344"/>
      <c r="AY24" s="344"/>
      <c r="AZ24" s="344"/>
      <c r="BA24" s="344"/>
    </row>
    <row r="25" spans="1:53" ht="12.75" x14ac:dyDescent="0.2">
      <c r="A25" s="339">
        <f t="shared" si="13"/>
        <v>44440</v>
      </c>
      <c r="B25" s="337" t="s">
        <v>213</v>
      </c>
      <c r="C25" s="337">
        <f t="shared" si="14"/>
        <v>2021</v>
      </c>
      <c r="E25" s="112">
        <v>74000</v>
      </c>
      <c r="F25" s="112">
        <v>26249.5</v>
      </c>
      <c r="G25" s="112">
        <v>47750</v>
      </c>
      <c r="H25" s="112">
        <v>39823</v>
      </c>
      <c r="I25" s="112">
        <v>4097</v>
      </c>
      <c r="J25" s="341"/>
      <c r="K25" s="112">
        <v>31966</v>
      </c>
      <c r="L25" s="112">
        <v>26135.1</v>
      </c>
      <c r="M25" s="112">
        <v>5831.2</v>
      </c>
      <c r="N25" s="112">
        <v>39823</v>
      </c>
      <c r="O25" s="112">
        <v>4009</v>
      </c>
      <c r="P25" s="341"/>
      <c r="Q25" s="112">
        <v>138629</v>
      </c>
      <c r="R25" s="112">
        <v>112769</v>
      </c>
      <c r="S25" s="112">
        <v>24185</v>
      </c>
      <c r="T25" s="112">
        <v>1675</v>
      </c>
      <c r="U25" s="112">
        <v>245339</v>
      </c>
      <c r="V25" s="112">
        <v>48494</v>
      </c>
      <c r="W25" s="112">
        <v>46822</v>
      </c>
      <c r="X25" s="112">
        <v>1672</v>
      </c>
      <c r="Y25" s="112">
        <v>6</v>
      </c>
      <c r="Z25" s="112"/>
      <c r="AA25" s="341"/>
      <c r="AB25" s="340">
        <f t="shared" si="9"/>
        <v>4314.8486135503599</v>
      </c>
      <c r="AC25" s="340">
        <f t="shared" si="10"/>
        <v>4147.5168061462482</v>
      </c>
      <c r="AD25" s="340">
        <f t="shared" si="11"/>
        <v>6160.7362579413902</v>
      </c>
      <c r="AE25" s="340">
        <f t="shared" si="12"/>
        <v>11679.221751060115</v>
      </c>
      <c r="AM25" s="344"/>
      <c r="AN25" s="344"/>
      <c r="AO25" s="344"/>
      <c r="AP25" s="344"/>
      <c r="AQ25" s="344"/>
      <c r="AR25" s="344"/>
      <c r="AS25" s="344"/>
      <c r="AT25" s="344"/>
      <c r="AU25" s="344"/>
      <c r="AV25" s="344"/>
      <c r="AY25" s="344"/>
      <c r="AZ25" s="344"/>
      <c r="BA25" s="344"/>
    </row>
    <row r="26" spans="1:53" ht="12.75" x14ac:dyDescent="0.2">
      <c r="A26" s="339">
        <f t="shared" si="13"/>
        <v>44348</v>
      </c>
      <c r="B26" s="337" t="s">
        <v>214</v>
      </c>
      <c r="C26" s="337">
        <f t="shared" si="14"/>
        <v>2021</v>
      </c>
      <c r="E26" s="112">
        <v>73996</v>
      </c>
      <c r="F26" s="112">
        <v>24649.4</v>
      </c>
      <c r="G26" s="112">
        <v>49346.8</v>
      </c>
      <c r="H26" s="112">
        <v>40518</v>
      </c>
      <c r="I26" s="112">
        <v>3928</v>
      </c>
      <c r="J26" s="341"/>
      <c r="K26" s="112">
        <v>30634</v>
      </c>
      <c r="L26" s="112">
        <v>24263.7</v>
      </c>
      <c r="M26" s="112">
        <v>6369.8</v>
      </c>
      <c r="N26" s="112">
        <v>40518</v>
      </c>
      <c r="O26" s="112">
        <v>3786</v>
      </c>
      <c r="P26" s="341"/>
      <c r="Q26" s="112">
        <v>127646</v>
      </c>
      <c r="R26" s="112">
        <v>100832</v>
      </c>
      <c r="S26" s="112">
        <v>25246</v>
      </c>
      <c r="T26" s="112">
        <v>1568</v>
      </c>
      <c r="U26" s="112">
        <v>232079</v>
      </c>
      <c r="V26" s="112">
        <v>43412</v>
      </c>
      <c r="W26" s="112">
        <v>42254</v>
      </c>
      <c r="X26" s="112">
        <v>1158</v>
      </c>
      <c r="Y26" s="112">
        <v>0</v>
      </c>
      <c r="Z26" s="112"/>
      <c r="AA26" s="341"/>
      <c r="AB26" s="340">
        <f t="shared" si="9"/>
        <v>4155.6728775908041</v>
      </c>
      <c r="AC26" s="340">
        <f t="shared" si="10"/>
        <v>3963.3897453609216</v>
      </c>
      <c r="AD26" s="340">
        <f t="shared" si="11"/>
        <v>5727.7999901278445</v>
      </c>
      <c r="AE26" s="340">
        <f t="shared" si="12"/>
        <v>11160.591653460117</v>
      </c>
      <c r="AM26" s="344"/>
      <c r="AN26" s="344"/>
      <c r="AO26" s="344"/>
      <c r="AP26" s="344"/>
      <c r="AQ26" s="344"/>
      <c r="AR26" s="344"/>
      <c r="AS26" s="344"/>
      <c r="AT26" s="344"/>
      <c r="AU26" s="344"/>
      <c r="AV26" s="344"/>
      <c r="AY26" s="344"/>
      <c r="AZ26" s="344"/>
      <c r="BA26" s="344"/>
    </row>
    <row r="27" spans="1:53" ht="12.75" x14ac:dyDescent="0.2">
      <c r="A27" s="339">
        <f t="shared" si="13"/>
        <v>44256</v>
      </c>
      <c r="B27" s="337" t="s">
        <v>215</v>
      </c>
      <c r="C27" s="337">
        <f t="shared" si="14"/>
        <v>2021</v>
      </c>
      <c r="E27" s="112">
        <v>75701</v>
      </c>
      <c r="F27" s="112">
        <v>24831.8</v>
      </c>
      <c r="G27" s="112">
        <v>50869.3</v>
      </c>
      <c r="H27" s="112">
        <v>40542</v>
      </c>
      <c r="I27" s="112">
        <v>4190</v>
      </c>
      <c r="J27" s="341"/>
      <c r="K27" s="112">
        <v>31131</v>
      </c>
      <c r="L27" s="112">
        <v>24469</v>
      </c>
      <c r="M27" s="112">
        <v>6662.3</v>
      </c>
      <c r="N27" s="112">
        <v>40542</v>
      </c>
      <c r="O27" s="112">
        <v>4485</v>
      </c>
      <c r="P27" s="341"/>
      <c r="Q27" s="112">
        <v>116955</v>
      </c>
      <c r="R27" s="112">
        <v>93321</v>
      </c>
      <c r="S27" s="112">
        <v>22531</v>
      </c>
      <c r="T27" s="112">
        <v>1103</v>
      </c>
      <c r="U27" s="112">
        <v>197655</v>
      </c>
      <c r="V27" s="112">
        <v>41551</v>
      </c>
      <c r="W27" s="112">
        <v>40452</v>
      </c>
      <c r="X27" s="112">
        <v>1099</v>
      </c>
      <c r="Y27" s="112">
        <v>0</v>
      </c>
      <c r="Z27" s="112"/>
      <c r="AA27" s="341"/>
      <c r="AB27" s="340">
        <f t="shared" si="9"/>
        <v>3813.8460909722507</v>
      </c>
      <c r="AC27" s="340">
        <f t="shared" si="10"/>
        <v>3381.8651216546837</v>
      </c>
      <c r="AD27" s="340">
        <f t="shared" si="11"/>
        <v>4875.3144886784075</v>
      </c>
      <c r="AE27" s="340">
        <f t="shared" si="12"/>
        <v>9019.3979933110368</v>
      </c>
      <c r="AM27" s="344"/>
      <c r="AN27" s="344"/>
      <c r="AO27" s="344"/>
      <c r="AP27" s="344"/>
      <c r="AQ27" s="344"/>
      <c r="AR27" s="344"/>
      <c r="AS27" s="344"/>
      <c r="AT27" s="344"/>
      <c r="AU27" s="344"/>
      <c r="AV27" s="344"/>
      <c r="AY27" s="344"/>
      <c r="AZ27" s="344"/>
      <c r="BA27" s="344"/>
    </row>
    <row r="28" spans="1:53" ht="12.75" x14ac:dyDescent="0.2">
      <c r="A28" s="339">
        <f t="shared" si="13"/>
        <v>44166</v>
      </c>
      <c r="B28" s="337" t="s">
        <v>216</v>
      </c>
      <c r="C28" s="337">
        <f t="shared" si="14"/>
        <v>2020</v>
      </c>
      <c r="E28" s="112">
        <v>75434</v>
      </c>
      <c r="F28" s="112">
        <v>24309.4</v>
      </c>
      <c r="G28" s="112">
        <v>51124.3</v>
      </c>
      <c r="H28" s="112">
        <v>42210</v>
      </c>
      <c r="I28" s="112">
        <v>3207</v>
      </c>
      <c r="J28" s="341"/>
      <c r="K28" s="112">
        <v>32603</v>
      </c>
      <c r="L28" s="112">
        <v>24587.4</v>
      </c>
      <c r="M28" s="112">
        <v>8015.4</v>
      </c>
      <c r="N28" s="112">
        <v>42210</v>
      </c>
      <c r="O28" s="112">
        <v>2858</v>
      </c>
      <c r="P28" s="341"/>
      <c r="Q28" s="112">
        <v>107718</v>
      </c>
      <c r="R28" s="112">
        <v>87444</v>
      </c>
      <c r="S28" s="112">
        <v>20195</v>
      </c>
      <c r="T28" s="112">
        <v>79</v>
      </c>
      <c r="U28" s="112">
        <v>164389</v>
      </c>
      <c r="V28" s="112">
        <v>18828</v>
      </c>
      <c r="W28" s="112">
        <v>17673</v>
      </c>
      <c r="X28" s="112">
        <v>1155</v>
      </c>
      <c r="Y28" s="112">
        <v>0</v>
      </c>
      <c r="Z28" s="112"/>
      <c r="AA28" s="341"/>
      <c r="AB28" s="340">
        <f t="shared" si="9"/>
        <v>3556.455745625808</v>
      </c>
      <c r="AC28" s="340">
        <f t="shared" si="10"/>
        <v>2519.5249145395114</v>
      </c>
      <c r="AD28" s="340">
        <f t="shared" si="11"/>
        <v>3894.5510542525467</v>
      </c>
      <c r="AE28" s="340">
        <f t="shared" si="12"/>
        <v>6183.6948915325402</v>
      </c>
      <c r="AG28" s="346"/>
      <c r="AM28" s="344"/>
      <c r="AN28" s="344"/>
      <c r="AO28" s="344"/>
      <c r="AP28" s="344"/>
      <c r="AQ28" s="344"/>
      <c r="AR28" s="344"/>
      <c r="AS28" s="344"/>
      <c r="AT28" s="344"/>
      <c r="AU28" s="344"/>
      <c r="AV28" s="344"/>
      <c r="AY28" s="344"/>
      <c r="AZ28" s="344"/>
      <c r="BA28" s="344"/>
    </row>
    <row r="29" spans="1:53" ht="12.75" x14ac:dyDescent="0.2">
      <c r="A29" s="339">
        <f t="shared" si="13"/>
        <v>44075</v>
      </c>
      <c r="B29" s="337" t="s">
        <v>217</v>
      </c>
      <c r="C29" s="337">
        <f t="shared" si="14"/>
        <v>2020</v>
      </c>
      <c r="E29" s="112">
        <v>75211</v>
      </c>
      <c r="F29" s="112">
        <v>23413.8</v>
      </c>
      <c r="G29" s="112">
        <v>51797.2</v>
      </c>
      <c r="H29" s="112">
        <v>43167</v>
      </c>
      <c r="I29" s="112">
        <v>3644</v>
      </c>
      <c r="J29" s="341"/>
      <c r="K29" s="112">
        <v>31923</v>
      </c>
      <c r="L29" s="112">
        <v>23572.1</v>
      </c>
      <c r="M29" s="112">
        <v>8351</v>
      </c>
      <c r="N29" s="112">
        <v>43167</v>
      </c>
      <c r="O29" s="112">
        <v>3146</v>
      </c>
      <c r="P29" s="341"/>
      <c r="Q29" s="112">
        <v>94638</v>
      </c>
      <c r="R29" s="112">
        <v>77077</v>
      </c>
      <c r="S29" s="112">
        <v>16384</v>
      </c>
      <c r="T29" s="112">
        <v>1177</v>
      </c>
      <c r="U29" s="112">
        <v>148869</v>
      </c>
      <c r="V29" s="112">
        <v>17856</v>
      </c>
      <c r="W29" s="112">
        <v>16946</v>
      </c>
      <c r="X29" s="112">
        <v>910</v>
      </c>
      <c r="Y29" s="112">
        <v>0</v>
      </c>
      <c r="Z29" s="112"/>
      <c r="AA29" s="341"/>
      <c r="AB29" s="340">
        <f t="shared" si="9"/>
        <v>3269.8401924308823</v>
      </c>
      <c r="AC29" s="340">
        <f t="shared" si="10"/>
        <v>1961.9207280565201</v>
      </c>
      <c r="AD29" s="340">
        <f t="shared" si="11"/>
        <v>3448.676071999444</v>
      </c>
      <c r="AE29" s="340">
        <f t="shared" si="12"/>
        <v>5386.5225683407498</v>
      </c>
      <c r="AM29" s="344"/>
      <c r="AN29" s="344"/>
      <c r="AO29" s="344"/>
      <c r="AP29" s="344"/>
      <c r="AQ29" s="344"/>
      <c r="AR29" s="344"/>
      <c r="AS29" s="344"/>
      <c r="AT29" s="344"/>
      <c r="AU29" s="344"/>
      <c r="AV29" s="344"/>
      <c r="AY29" s="344"/>
      <c r="AZ29" s="344"/>
      <c r="BA29" s="344"/>
    </row>
    <row r="30" spans="1:53" ht="12.75" x14ac:dyDescent="0.2">
      <c r="A30" s="339">
        <f t="shared" si="13"/>
        <v>43983</v>
      </c>
      <c r="B30" s="337" t="s">
        <v>218</v>
      </c>
      <c r="C30" s="337">
        <f t="shared" si="14"/>
        <v>2020</v>
      </c>
      <c r="E30" s="112">
        <v>72117</v>
      </c>
      <c r="F30" s="112">
        <v>19669.3</v>
      </c>
      <c r="G30" s="112">
        <v>52447.9</v>
      </c>
      <c r="H30" s="112">
        <v>33187</v>
      </c>
      <c r="I30" s="112">
        <v>3704</v>
      </c>
      <c r="J30" s="341"/>
      <c r="K30" s="112">
        <v>37531</v>
      </c>
      <c r="L30" s="112">
        <v>20851.2</v>
      </c>
      <c r="M30" s="112">
        <v>16680.3</v>
      </c>
      <c r="N30" s="112">
        <v>33187</v>
      </c>
      <c r="O30" s="112">
        <v>3942</v>
      </c>
      <c r="P30" s="341"/>
      <c r="Q30" s="112">
        <v>104879</v>
      </c>
      <c r="R30" s="112">
        <v>70341</v>
      </c>
      <c r="S30" s="112">
        <v>32869</v>
      </c>
      <c r="T30" s="112">
        <v>1669</v>
      </c>
      <c r="U30" s="112">
        <v>113660</v>
      </c>
      <c r="V30" s="112">
        <v>22445</v>
      </c>
      <c r="W30" s="112">
        <v>22060</v>
      </c>
      <c r="X30" s="112">
        <v>385</v>
      </c>
      <c r="Y30" s="112">
        <v>0</v>
      </c>
      <c r="Z30" s="112"/>
      <c r="AA30" s="341"/>
      <c r="AB30" s="340">
        <f t="shared" si="9"/>
        <v>3373.4749079189687</v>
      </c>
      <c r="AC30" s="340">
        <f t="shared" si="10"/>
        <v>1970.5281080076497</v>
      </c>
      <c r="AD30" s="340">
        <f t="shared" si="11"/>
        <v>3424.8350257631</v>
      </c>
      <c r="AE30" s="340">
        <f t="shared" si="12"/>
        <v>5596.1440892947739</v>
      </c>
      <c r="AM30" s="344"/>
      <c r="AN30" s="344"/>
      <c r="AO30" s="344"/>
      <c r="AP30" s="344"/>
      <c r="AQ30" s="344"/>
      <c r="AR30" s="344"/>
      <c r="AS30" s="344"/>
      <c r="AT30" s="344"/>
      <c r="AU30" s="344"/>
      <c r="AV30" s="344"/>
      <c r="AY30" s="344"/>
      <c r="AZ30" s="344"/>
      <c r="BA30" s="344"/>
    </row>
    <row r="31" spans="1:53" ht="12.75" x14ac:dyDescent="0.2">
      <c r="A31" s="339">
        <f t="shared" si="13"/>
        <v>43891</v>
      </c>
      <c r="B31" s="337" t="s">
        <v>219</v>
      </c>
      <c r="C31" s="337">
        <f t="shared" si="14"/>
        <v>2020</v>
      </c>
      <c r="E31" s="112">
        <v>70509</v>
      </c>
      <c r="F31" s="112">
        <v>21868.799999999999</v>
      </c>
      <c r="G31" s="112">
        <v>48640.5</v>
      </c>
      <c r="H31" s="112">
        <v>36875</v>
      </c>
      <c r="I31" s="112">
        <v>4052</v>
      </c>
      <c r="J31" s="341"/>
      <c r="K31" s="112">
        <v>33553</v>
      </c>
      <c r="L31" s="112">
        <v>20025.5</v>
      </c>
      <c r="M31" s="112">
        <v>13527.4</v>
      </c>
      <c r="N31" s="112">
        <v>36875</v>
      </c>
      <c r="O31" s="112">
        <v>3996</v>
      </c>
      <c r="P31" s="341"/>
      <c r="Q31" s="112">
        <v>92936</v>
      </c>
      <c r="R31" s="112">
        <v>67659</v>
      </c>
      <c r="S31" s="112">
        <v>24871</v>
      </c>
      <c r="T31" s="112">
        <v>406</v>
      </c>
      <c r="U31" s="112">
        <v>123482</v>
      </c>
      <c r="V31" s="112">
        <v>19905</v>
      </c>
      <c r="W31" s="112">
        <v>18872</v>
      </c>
      <c r="X31" s="112">
        <v>1033</v>
      </c>
      <c r="Y31" s="112">
        <v>0</v>
      </c>
      <c r="Z31" s="112"/>
      <c r="AA31" s="341"/>
      <c r="AB31" s="340">
        <f t="shared" si="9"/>
        <v>3378.6422311552769</v>
      </c>
      <c r="AC31" s="340">
        <f t="shared" si="10"/>
        <v>1838.564690923607</v>
      </c>
      <c r="AD31" s="340">
        <f t="shared" si="11"/>
        <v>3348.664406779661</v>
      </c>
      <c r="AE31" s="340">
        <f t="shared" si="12"/>
        <v>4722.7227227227231</v>
      </c>
      <c r="AM31" s="344"/>
      <c r="AN31" s="344"/>
      <c r="AO31" s="344"/>
      <c r="AP31" s="344"/>
      <c r="AQ31" s="344"/>
      <c r="AR31" s="344"/>
      <c r="AS31" s="344"/>
      <c r="AT31" s="344"/>
      <c r="AU31" s="344"/>
      <c r="AV31" s="344"/>
      <c r="AY31" s="344"/>
      <c r="AZ31" s="344"/>
      <c r="BA31" s="344"/>
    </row>
    <row r="32" spans="1:53" ht="12.75" x14ac:dyDescent="0.2">
      <c r="A32" s="339">
        <f t="shared" si="13"/>
        <v>43800</v>
      </c>
      <c r="B32" s="337" t="s">
        <v>220</v>
      </c>
      <c r="C32" s="337">
        <f t="shared" si="14"/>
        <v>2019</v>
      </c>
      <c r="E32" s="112">
        <v>73902</v>
      </c>
      <c r="F32" s="112">
        <v>22184.6</v>
      </c>
      <c r="G32" s="112">
        <v>51717.1</v>
      </c>
      <c r="H32" s="112">
        <v>39031</v>
      </c>
      <c r="I32" s="112">
        <v>2779</v>
      </c>
      <c r="J32" s="341"/>
      <c r="K32" s="112">
        <v>32979</v>
      </c>
      <c r="L32" s="112">
        <v>21903.599999999999</v>
      </c>
      <c r="M32" s="112">
        <v>11075.8</v>
      </c>
      <c r="N32" s="112">
        <v>39031</v>
      </c>
      <c r="O32" s="112">
        <v>3063</v>
      </c>
      <c r="P32" s="341"/>
      <c r="Q32" s="112">
        <v>89313</v>
      </c>
      <c r="R32" s="112">
        <v>68058</v>
      </c>
      <c r="S32" s="112">
        <v>19657</v>
      </c>
      <c r="T32" s="112">
        <v>1598</v>
      </c>
      <c r="U32" s="112">
        <v>129143</v>
      </c>
      <c r="V32" s="112">
        <v>14845</v>
      </c>
      <c r="W32" s="112">
        <v>13208</v>
      </c>
      <c r="X32" s="112">
        <v>1637</v>
      </c>
      <c r="Y32" s="112">
        <v>0</v>
      </c>
      <c r="Z32" s="112"/>
      <c r="AA32" s="341"/>
      <c r="AB32" s="340">
        <f t="shared" si="9"/>
        <v>3107.1604667725856</v>
      </c>
      <c r="AC32" s="340">
        <f t="shared" si="10"/>
        <v>1774.7702197583924</v>
      </c>
      <c r="AD32" s="340">
        <f t="shared" si="11"/>
        <v>3308.728959032564</v>
      </c>
      <c r="AE32" s="340">
        <f t="shared" si="12"/>
        <v>4312.1123081945807</v>
      </c>
      <c r="AM32" s="344"/>
      <c r="AN32" s="344"/>
      <c r="AO32" s="344"/>
      <c r="AP32" s="344"/>
      <c r="AQ32" s="344"/>
      <c r="AR32" s="344"/>
      <c r="AS32" s="344"/>
      <c r="AT32" s="344"/>
      <c r="AU32" s="344"/>
      <c r="AV32" s="344"/>
      <c r="AY32" s="344"/>
      <c r="AZ32" s="344"/>
      <c r="BA32" s="344"/>
    </row>
    <row r="33" spans="1:53" ht="12.75" x14ac:dyDescent="0.2">
      <c r="A33" s="339">
        <f t="shared" si="13"/>
        <v>43709</v>
      </c>
      <c r="B33" s="337" t="s">
        <v>221</v>
      </c>
      <c r="C33" s="337">
        <f t="shared" si="14"/>
        <v>2019</v>
      </c>
      <c r="E33" s="112">
        <v>73172</v>
      </c>
      <c r="F33" s="112">
        <v>23111.1</v>
      </c>
      <c r="G33" s="112">
        <v>50061.1</v>
      </c>
      <c r="H33" s="112">
        <v>42786</v>
      </c>
      <c r="I33" s="112">
        <v>3522</v>
      </c>
      <c r="J33" s="341"/>
      <c r="K33" s="112">
        <v>32057</v>
      </c>
      <c r="L33" s="112">
        <v>23355.9</v>
      </c>
      <c r="M33" s="112">
        <v>8701.1</v>
      </c>
      <c r="N33" s="112">
        <v>42786</v>
      </c>
      <c r="O33" s="112">
        <v>3401</v>
      </c>
      <c r="P33" s="341"/>
      <c r="Q33" s="112">
        <v>91165</v>
      </c>
      <c r="R33" s="112">
        <v>73924</v>
      </c>
      <c r="S33" s="112">
        <v>15564</v>
      </c>
      <c r="T33" s="112">
        <v>1677</v>
      </c>
      <c r="U33" s="112">
        <v>138592</v>
      </c>
      <c r="V33" s="112">
        <v>21416</v>
      </c>
      <c r="W33" s="112">
        <v>19601</v>
      </c>
      <c r="X33" s="112">
        <v>1815</v>
      </c>
      <c r="Y33" s="112">
        <v>0</v>
      </c>
      <c r="Z33" s="112"/>
      <c r="AA33" s="341"/>
      <c r="AB33" s="340">
        <f t="shared" si="9"/>
        <v>3165.1103147384597</v>
      </c>
      <c r="AC33" s="340">
        <f t="shared" si="10"/>
        <v>1788.7393547942213</v>
      </c>
      <c r="AD33" s="340">
        <f t="shared" si="11"/>
        <v>3239.1903893797034</v>
      </c>
      <c r="AE33" s="340">
        <f t="shared" si="12"/>
        <v>5763.3049103204939</v>
      </c>
      <c r="AM33" s="344"/>
      <c r="AN33" s="344"/>
      <c r="AO33" s="344"/>
      <c r="AP33" s="344"/>
      <c r="AQ33" s="344"/>
      <c r="AR33" s="344"/>
      <c r="AS33" s="344"/>
      <c r="AT33" s="344"/>
      <c r="AU33" s="344"/>
      <c r="AV33" s="344"/>
      <c r="AY33" s="344"/>
      <c r="AZ33" s="344"/>
      <c r="BA33" s="344"/>
    </row>
    <row r="34" spans="1:53" ht="12.75" x14ac:dyDescent="0.2">
      <c r="A34" s="339">
        <f t="shared" si="13"/>
        <v>43617</v>
      </c>
      <c r="B34" s="337" t="s">
        <v>222</v>
      </c>
      <c r="C34" s="337">
        <f t="shared" si="14"/>
        <v>2019</v>
      </c>
      <c r="E34" s="112">
        <v>73840</v>
      </c>
      <c r="F34" s="112">
        <v>23024</v>
      </c>
      <c r="G34" s="112">
        <v>50816</v>
      </c>
      <c r="H34" s="112">
        <v>40263</v>
      </c>
      <c r="I34" s="112">
        <v>3646</v>
      </c>
      <c r="J34" s="341"/>
      <c r="K34" s="112">
        <v>30995.31</v>
      </c>
      <c r="L34" s="112">
        <v>25277.15</v>
      </c>
      <c r="M34" s="112">
        <v>5718.15</v>
      </c>
      <c r="N34" s="112">
        <v>40263</v>
      </c>
      <c r="O34" s="112">
        <v>3956</v>
      </c>
      <c r="P34" s="341"/>
      <c r="Q34" s="112">
        <v>87863</v>
      </c>
      <c r="R34" s="112">
        <v>70684</v>
      </c>
      <c r="S34" s="112">
        <v>15404</v>
      </c>
      <c r="T34" s="112">
        <v>1775</v>
      </c>
      <c r="U34" s="112">
        <v>130492</v>
      </c>
      <c r="V34" s="112">
        <v>26701</v>
      </c>
      <c r="W34" s="112">
        <v>24582</v>
      </c>
      <c r="X34" s="112">
        <v>2119</v>
      </c>
      <c r="Y34" s="112">
        <v>0</v>
      </c>
      <c r="Z34" s="112"/>
      <c r="AA34" s="341"/>
      <c r="AB34" s="340">
        <f t="shared" si="9"/>
        <v>2796.3595579406697</v>
      </c>
      <c r="AC34" s="340">
        <f t="shared" si="10"/>
        <v>2693.8782648234132</v>
      </c>
      <c r="AD34" s="340">
        <f t="shared" si="11"/>
        <v>3240.9904875443958</v>
      </c>
      <c r="AE34" s="340">
        <f t="shared" si="12"/>
        <v>6213.8523761375127</v>
      </c>
      <c r="AM34" s="344"/>
      <c r="AN34" s="344"/>
      <c r="AO34" s="344"/>
      <c r="AP34" s="344"/>
      <c r="AQ34" s="344"/>
      <c r="AR34" s="344"/>
      <c r="AS34" s="344"/>
      <c r="AT34" s="344"/>
      <c r="AU34" s="344"/>
      <c r="AV34" s="344"/>
      <c r="AY34" s="344"/>
      <c r="AZ34" s="344"/>
      <c r="BA34" s="344"/>
    </row>
    <row r="35" spans="1:53" ht="12.75" x14ac:dyDescent="0.2">
      <c r="A35" s="339">
        <f t="shared" si="13"/>
        <v>43525</v>
      </c>
      <c r="B35" s="337" t="s">
        <v>223</v>
      </c>
      <c r="C35" s="337">
        <f t="shared" si="14"/>
        <v>2019</v>
      </c>
      <c r="E35" s="112">
        <v>71714</v>
      </c>
      <c r="F35" s="112">
        <v>20391</v>
      </c>
      <c r="G35" s="112">
        <v>51323</v>
      </c>
      <c r="H35" s="112">
        <v>42803</v>
      </c>
      <c r="I35" s="112">
        <v>3733</v>
      </c>
      <c r="J35" s="341"/>
      <c r="K35" s="112">
        <v>25319.25</v>
      </c>
      <c r="L35" s="112">
        <v>19976.75</v>
      </c>
      <c r="M35" s="112">
        <v>5342.51</v>
      </c>
      <c r="N35" s="112">
        <v>42803</v>
      </c>
      <c r="O35" s="112">
        <v>3084</v>
      </c>
      <c r="P35" s="341"/>
      <c r="Q35" s="112">
        <v>72847</v>
      </c>
      <c r="R35" s="112">
        <v>61218</v>
      </c>
      <c r="S35" s="112">
        <v>9933</v>
      </c>
      <c r="T35" s="112">
        <v>1696</v>
      </c>
      <c r="U35" s="112">
        <v>136040</v>
      </c>
      <c r="V35" s="112">
        <v>22137</v>
      </c>
      <c r="W35" s="112">
        <v>20106</v>
      </c>
      <c r="X35" s="112">
        <v>2031</v>
      </c>
      <c r="Y35" s="112">
        <v>0</v>
      </c>
      <c r="Z35" s="112"/>
      <c r="AA35" s="341"/>
      <c r="AB35" s="340">
        <f t="shared" si="9"/>
        <v>3064.4624375836911</v>
      </c>
      <c r="AC35" s="340">
        <f t="shared" si="10"/>
        <v>1859.2384478456754</v>
      </c>
      <c r="AD35" s="340">
        <f t="shared" si="11"/>
        <v>3178.2818961287762</v>
      </c>
      <c r="AE35" s="340">
        <f t="shared" si="12"/>
        <v>6519.4552529182884</v>
      </c>
      <c r="AM35" s="344"/>
      <c r="AN35" s="344"/>
      <c r="AO35" s="344"/>
      <c r="AP35" s="344"/>
      <c r="AQ35" s="344"/>
      <c r="AR35" s="344"/>
      <c r="AS35" s="344"/>
      <c r="AT35" s="344"/>
      <c r="AU35" s="344"/>
      <c r="AV35" s="344"/>
      <c r="AY35" s="344"/>
      <c r="AZ35" s="344"/>
      <c r="BA35" s="344"/>
    </row>
    <row r="36" spans="1:53" ht="12.75" x14ac:dyDescent="0.2">
      <c r="A36" s="339">
        <f t="shared" si="13"/>
        <v>43435</v>
      </c>
      <c r="B36" s="337" t="s">
        <v>224</v>
      </c>
      <c r="C36" s="337">
        <f t="shared" si="14"/>
        <v>2018</v>
      </c>
      <c r="E36" s="112">
        <v>71599</v>
      </c>
      <c r="F36" s="112">
        <v>21494</v>
      </c>
      <c r="G36" s="112">
        <v>50105</v>
      </c>
      <c r="H36" s="112">
        <v>45380</v>
      </c>
      <c r="I36" s="112">
        <v>2727</v>
      </c>
      <c r="J36" s="341"/>
      <c r="K36" s="112">
        <v>26451</v>
      </c>
      <c r="L36" s="112">
        <v>21759</v>
      </c>
      <c r="M36" s="112">
        <v>4692</v>
      </c>
      <c r="N36" s="112">
        <v>45380</v>
      </c>
      <c r="O36" s="112">
        <v>3053</v>
      </c>
      <c r="P36" s="341"/>
      <c r="Q36" s="112">
        <v>79074</v>
      </c>
      <c r="R36" s="112">
        <v>65359</v>
      </c>
      <c r="S36" s="112">
        <v>11415</v>
      </c>
      <c r="T36" s="112">
        <v>2300</v>
      </c>
      <c r="U36" s="112">
        <v>140461</v>
      </c>
      <c r="V36" s="112">
        <v>21071</v>
      </c>
      <c r="W36" s="112">
        <v>19298</v>
      </c>
      <c r="X36" s="112">
        <v>1773</v>
      </c>
      <c r="Y36" s="112">
        <v>0</v>
      </c>
      <c r="Z36" s="112"/>
      <c r="AA36" s="341"/>
      <c r="AB36" s="340">
        <f t="shared" si="9"/>
        <v>3003.7685555402363</v>
      </c>
      <c r="AC36" s="340">
        <f t="shared" si="10"/>
        <v>2432.8644501278773</v>
      </c>
      <c r="AD36" s="340">
        <f t="shared" si="11"/>
        <v>3095.2181577787574</v>
      </c>
      <c r="AE36" s="340">
        <f t="shared" si="12"/>
        <v>6320.9957418932199</v>
      </c>
      <c r="AM36" s="344"/>
      <c r="AN36" s="344"/>
      <c r="AO36" s="344"/>
      <c r="AP36" s="344"/>
      <c r="AQ36" s="344"/>
      <c r="AR36" s="344"/>
      <c r="AS36" s="344"/>
      <c r="AT36" s="344"/>
      <c r="AU36" s="344"/>
      <c r="AV36" s="344"/>
      <c r="AY36" s="344"/>
      <c r="AZ36" s="344"/>
      <c r="BA36" s="344"/>
    </row>
    <row r="37" spans="1:53" ht="12.75" x14ac:dyDescent="0.2">
      <c r="A37" s="339">
        <f t="shared" si="13"/>
        <v>43344</v>
      </c>
      <c r="B37" s="337" t="s">
        <v>225</v>
      </c>
      <c r="C37" s="337">
        <f t="shared" si="14"/>
        <v>2018</v>
      </c>
      <c r="E37" s="112">
        <v>71443</v>
      </c>
      <c r="F37" s="112">
        <v>22070</v>
      </c>
      <c r="G37" s="112">
        <v>49373</v>
      </c>
      <c r="H37" s="112">
        <v>46528</v>
      </c>
      <c r="I37" s="112">
        <v>3731</v>
      </c>
      <c r="J37" s="341"/>
      <c r="K37" s="112">
        <v>26021</v>
      </c>
      <c r="L37" s="112">
        <v>22543</v>
      </c>
      <c r="M37" s="112">
        <v>3479</v>
      </c>
      <c r="N37" s="112">
        <v>46528</v>
      </c>
      <c r="O37" s="112">
        <v>3690</v>
      </c>
      <c r="P37" s="341"/>
      <c r="Q37" s="112">
        <v>78571</v>
      </c>
      <c r="R37" s="112">
        <v>69647</v>
      </c>
      <c r="S37" s="112">
        <v>6726</v>
      </c>
      <c r="T37" s="112">
        <v>2198</v>
      </c>
      <c r="U37" s="112">
        <v>142849</v>
      </c>
      <c r="V37" s="112">
        <v>26599</v>
      </c>
      <c r="W37" s="112">
        <v>24846</v>
      </c>
      <c r="X37" s="112">
        <v>1753</v>
      </c>
      <c r="Y37" s="112">
        <v>0</v>
      </c>
      <c r="Z37" s="112"/>
      <c r="AA37" s="341"/>
      <c r="AB37" s="340">
        <f t="shared" si="9"/>
        <v>3089.5178104067782</v>
      </c>
      <c r="AC37" s="340">
        <f t="shared" si="10"/>
        <v>1933.3141707387181</v>
      </c>
      <c r="AD37" s="340">
        <f t="shared" si="11"/>
        <v>3070.1727991746907</v>
      </c>
      <c r="AE37" s="340">
        <f t="shared" si="12"/>
        <v>6733.333333333333</v>
      </c>
      <c r="AM37" s="344"/>
      <c r="AN37" s="344"/>
      <c r="AO37" s="344"/>
      <c r="AP37" s="344"/>
      <c r="AQ37" s="344"/>
      <c r="AR37" s="344"/>
      <c r="AS37" s="344"/>
      <c r="AT37" s="344"/>
      <c r="AU37" s="344"/>
      <c r="AV37" s="344"/>
      <c r="AY37" s="344"/>
      <c r="AZ37" s="344"/>
      <c r="BA37" s="344"/>
    </row>
    <row r="38" spans="1:53" ht="12.75" x14ac:dyDescent="0.2">
      <c r="A38" s="339">
        <f t="shared" si="13"/>
        <v>43252</v>
      </c>
      <c r="B38" s="337" t="s">
        <v>226</v>
      </c>
      <c r="C38" s="337">
        <f t="shared" si="14"/>
        <v>2018</v>
      </c>
      <c r="E38" s="112">
        <v>66590</v>
      </c>
      <c r="F38" s="112">
        <v>19197</v>
      </c>
      <c r="G38" s="112">
        <v>47393</v>
      </c>
      <c r="H38" s="112">
        <v>43644</v>
      </c>
      <c r="I38" s="112">
        <v>3268</v>
      </c>
      <c r="J38" s="341"/>
      <c r="K38" s="112">
        <v>21273</v>
      </c>
      <c r="L38" s="112">
        <v>19282</v>
      </c>
      <c r="M38" s="112">
        <v>1991</v>
      </c>
      <c r="N38" s="112">
        <v>43644</v>
      </c>
      <c r="O38" s="112">
        <v>2745</v>
      </c>
      <c r="P38" s="341"/>
      <c r="Q38" s="112">
        <v>63364</v>
      </c>
      <c r="R38" s="112">
        <v>56243</v>
      </c>
      <c r="S38" s="112">
        <v>3681</v>
      </c>
      <c r="T38" s="112">
        <v>3440</v>
      </c>
      <c r="U38" s="112">
        <v>136164</v>
      </c>
      <c r="V38" s="112">
        <v>19307</v>
      </c>
      <c r="W38" s="112">
        <v>17171</v>
      </c>
      <c r="X38" s="112">
        <v>2136</v>
      </c>
      <c r="Y38" s="112">
        <v>0</v>
      </c>
      <c r="Z38" s="112"/>
      <c r="AA38" s="341"/>
      <c r="AB38" s="340">
        <f t="shared" si="9"/>
        <v>2916.8654703868892</v>
      </c>
      <c r="AC38" s="340">
        <f t="shared" si="10"/>
        <v>1848.819688598694</v>
      </c>
      <c r="AD38" s="340">
        <f t="shared" si="11"/>
        <v>3119.8790211712949</v>
      </c>
      <c r="AE38" s="340">
        <f t="shared" si="12"/>
        <v>6255.3734061930782</v>
      </c>
      <c r="AM38" s="344"/>
      <c r="AN38" s="344"/>
      <c r="AO38" s="344"/>
      <c r="AP38" s="344"/>
      <c r="AQ38" s="344"/>
      <c r="AR38" s="344"/>
      <c r="AS38" s="344"/>
      <c r="AT38" s="344"/>
      <c r="AU38" s="344"/>
      <c r="AV38" s="344"/>
      <c r="AY38" s="344"/>
      <c r="AZ38" s="344"/>
      <c r="BA38" s="344"/>
    </row>
    <row r="39" spans="1:53" ht="12.75" x14ac:dyDescent="0.2">
      <c r="A39" s="339">
        <f t="shared" si="13"/>
        <v>43160</v>
      </c>
      <c r="B39" s="337" t="s">
        <v>227</v>
      </c>
      <c r="C39" s="337">
        <f t="shared" si="14"/>
        <v>2018</v>
      </c>
      <c r="E39" s="112">
        <v>69478</v>
      </c>
      <c r="F39" s="112">
        <v>21249</v>
      </c>
      <c r="G39" s="112">
        <v>48229</v>
      </c>
      <c r="H39" s="112">
        <v>46757</v>
      </c>
      <c r="I39" s="112">
        <v>3745</v>
      </c>
      <c r="J39" s="341"/>
      <c r="K39" s="112">
        <v>22213</v>
      </c>
      <c r="L39" s="112">
        <v>20990</v>
      </c>
      <c r="M39" s="112">
        <v>1223</v>
      </c>
      <c r="N39" s="112">
        <v>46757</v>
      </c>
      <c r="O39" s="112">
        <v>3667</v>
      </c>
      <c r="P39" s="341"/>
      <c r="Q39" s="112">
        <v>62666</v>
      </c>
      <c r="R39" s="112">
        <v>56905</v>
      </c>
      <c r="S39" s="112">
        <v>2231</v>
      </c>
      <c r="T39" s="112">
        <v>3530</v>
      </c>
      <c r="U39" s="112">
        <v>141461</v>
      </c>
      <c r="V39" s="112">
        <v>21230</v>
      </c>
      <c r="W39" s="112">
        <v>19253</v>
      </c>
      <c r="X39" s="112">
        <v>1977</v>
      </c>
      <c r="Y39" s="112">
        <v>0</v>
      </c>
      <c r="Z39" s="112"/>
      <c r="AA39" s="341"/>
      <c r="AB39" s="340">
        <f t="shared" si="9"/>
        <v>2711.0528823249165</v>
      </c>
      <c r="AC39" s="340">
        <f t="shared" si="10"/>
        <v>1824.2027800490596</v>
      </c>
      <c r="AD39" s="340">
        <f t="shared" si="11"/>
        <v>3025.4507346493574</v>
      </c>
      <c r="AE39" s="340">
        <f t="shared" si="12"/>
        <v>5250.3408781019907</v>
      </c>
      <c r="AM39" s="344"/>
      <c r="AN39" s="344"/>
      <c r="AO39" s="344"/>
      <c r="AP39" s="344"/>
      <c r="AQ39" s="344"/>
      <c r="AR39" s="344"/>
      <c r="AS39" s="344"/>
      <c r="AT39" s="344"/>
      <c r="AU39" s="344"/>
      <c r="AV39" s="344"/>
      <c r="AY39" s="344"/>
      <c r="AZ39" s="344"/>
      <c r="BA39" s="344"/>
    </row>
    <row r="40" spans="1:53" ht="12.75" x14ac:dyDescent="0.2">
      <c r="A40" s="339">
        <f t="shared" si="13"/>
        <v>43070</v>
      </c>
      <c r="B40" s="337" t="s">
        <v>228</v>
      </c>
      <c r="C40" s="337">
        <f t="shared" si="14"/>
        <v>2017</v>
      </c>
      <c r="E40" s="112">
        <v>73103</v>
      </c>
      <c r="F40" s="112">
        <v>21447</v>
      </c>
      <c r="G40" s="112">
        <v>51656</v>
      </c>
      <c r="H40" s="112">
        <v>49228</v>
      </c>
      <c r="I40" s="112">
        <v>2732</v>
      </c>
      <c r="J40" s="341"/>
      <c r="K40" s="112">
        <v>22234</v>
      </c>
      <c r="L40" s="112">
        <v>21210</v>
      </c>
      <c r="M40" s="112">
        <v>1024</v>
      </c>
      <c r="N40" s="112">
        <v>49228</v>
      </c>
      <c r="O40" s="112">
        <v>4167</v>
      </c>
      <c r="P40" s="341"/>
      <c r="Q40" s="112">
        <v>62967</v>
      </c>
      <c r="R40" s="112">
        <v>58401</v>
      </c>
      <c r="S40" s="112">
        <v>1617</v>
      </c>
      <c r="T40" s="112">
        <v>2949</v>
      </c>
      <c r="U40" s="112">
        <v>147661</v>
      </c>
      <c r="V40" s="112">
        <v>19990</v>
      </c>
      <c r="W40" s="112">
        <v>18609</v>
      </c>
      <c r="X40" s="112">
        <v>1381</v>
      </c>
      <c r="Y40" s="112">
        <v>0</v>
      </c>
      <c r="Z40" s="112"/>
      <c r="AA40" s="341"/>
      <c r="AB40" s="340">
        <f t="shared" si="9"/>
        <v>2753.4653465346537</v>
      </c>
      <c r="AC40" s="340">
        <f t="shared" si="10"/>
        <v>1579.1015625</v>
      </c>
      <c r="AD40" s="340">
        <f t="shared" si="11"/>
        <v>2999.5327862192248</v>
      </c>
      <c r="AE40" s="340">
        <f t="shared" si="12"/>
        <v>4465.8027357811379</v>
      </c>
      <c r="AM40" s="344"/>
      <c r="AN40" s="344"/>
      <c r="AO40" s="344"/>
      <c r="AP40" s="344"/>
      <c r="AQ40" s="344"/>
      <c r="AR40" s="344"/>
      <c r="AS40" s="344"/>
      <c r="AT40" s="344"/>
      <c r="AU40" s="344"/>
      <c r="AV40" s="344"/>
      <c r="AY40" s="344"/>
      <c r="AZ40" s="344"/>
      <c r="BA40" s="344"/>
    </row>
    <row r="41" spans="1:53" ht="12.75" x14ac:dyDescent="0.2">
      <c r="A41" s="339">
        <f t="shared" si="13"/>
        <v>42979</v>
      </c>
      <c r="B41" s="337" t="s">
        <v>229</v>
      </c>
      <c r="C41" s="337">
        <f t="shared" si="14"/>
        <v>2017</v>
      </c>
      <c r="E41" s="112">
        <v>72690</v>
      </c>
      <c r="F41" s="112">
        <v>22332</v>
      </c>
      <c r="G41" s="112">
        <v>50358</v>
      </c>
      <c r="H41" s="112">
        <v>51711</v>
      </c>
      <c r="I41" s="112">
        <v>2736</v>
      </c>
      <c r="J41" s="341"/>
      <c r="K41" s="112">
        <v>23093</v>
      </c>
      <c r="L41" s="112">
        <v>22425</v>
      </c>
      <c r="M41" s="112">
        <v>668</v>
      </c>
      <c r="N41" s="112">
        <v>51711</v>
      </c>
      <c r="O41" s="112">
        <v>1645</v>
      </c>
      <c r="P41" s="341"/>
      <c r="Q41" s="112">
        <v>63349</v>
      </c>
      <c r="R41" s="112">
        <v>59859</v>
      </c>
      <c r="S41" s="112">
        <v>1105</v>
      </c>
      <c r="T41" s="112">
        <v>2385</v>
      </c>
      <c r="U41" s="112">
        <v>151600</v>
      </c>
      <c r="V41" s="112">
        <v>9406</v>
      </c>
      <c r="W41" s="112">
        <v>7770</v>
      </c>
      <c r="X41" s="112">
        <v>1636</v>
      </c>
      <c r="Y41" s="112">
        <v>0</v>
      </c>
      <c r="Z41" s="112"/>
      <c r="AA41" s="341"/>
      <c r="AB41" s="340">
        <f t="shared" si="9"/>
        <v>2669.2976588628762</v>
      </c>
      <c r="AC41" s="340">
        <f t="shared" si="10"/>
        <v>1654.1916167664672</v>
      </c>
      <c r="AD41" s="340">
        <f t="shared" si="11"/>
        <v>2931.6779795401367</v>
      </c>
      <c r="AE41" s="340">
        <f t="shared" si="12"/>
        <v>4723.4042553191493</v>
      </c>
      <c r="AM41" s="344"/>
      <c r="AN41" s="344"/>
      <c r="AO41" s="344"/>
      <c r="AP41" s="344"/>
      <c r="AQ41" s="344"/>
      <c r="AR41" s="344"/>
      <c r="AS41" s="344"/>
      <c r="AT41" s="344"/>
      <c r="AU41" s="344"/>
      <c r="AV41" s="344"/>
      <c r="AY41" s="344"/>
      <c r="AZ41" s="344"/>
      <c r="BA41" s="344"/>
    </row>
    <row r="42" spans="1:53" ht="12.75" x14ac:dyDescent="0.2">
      <c r="A42" s="339">
        <f t="shared" si="13"/>
        <v>42887</v>
      </c>
      <c r="B42" s="337" t="s">
        <v>230</v>
      </c>
      <c r="C42" s="337">
        <f t="shared" si="14"/>
        <v>2017</v>
      </c>
      <c r="E42" s="112">
        <v>72485</v>
      </c>
      <c r="F42" s="112">
        <v>20887</v>
      </c>
      <c r="G42" s="112">
        <v>51598</v>
      </c>
      <c r="H42" s="112">
        <v>46980</v>
      </c>
      <c r="I42" s="112">
        <v>2763</v>
      </c>
      <c r="J42" s="341"/>
      <c r="K42" s="112">
        <v>22310</v>
      </c>
      <c r="L42" s="112">
        <v>21359</v>
      </c>
      <c r="M42" s="112">
        <v>951</v>
      </c>
      <c r="N42" s="112">
        <v>46980</v>
      </c>
      <c r="O42" s="112">
        <v>2728</v>
      </c>
      <c r="P42" s="341"/>
      <c r="Q42" s="112">
        <v>58782</v>
      </c>
      <c r="R42" s="112">
        <v>55899</v>
      </c>
      <c r="S42" s="112">
        <v>1579</v>
      </c>
      <c r="T42" s="112">
        <v>1304</v>
      </c>
      <c r="U42" s="112">
        <v>135609</v>
      </c>
      <c r="V42" s="112">
        <v>14468</v>
      </c>
      <c r="W42" s="112">
        <v>12999</v>
      </c>
      <c r="X42" s="112">
        <v>1469</v>
      </c>
      <c r="Y42" s="112">
        <v>0</v>
      </c>
      <c r="Z42" s="112"/>
      <c r="AA42" s="341"/>
      <c r="AB42" s="340">
        <f t="shared" si="9"/>
        <v>2617.1169062222016</v>
      </c>
      <c r="AC42" s="340">
        <f t="shared" si="10"/>
        <v>1660.3575184016825</v>
      </c>
      <c r="AD42" s="340">
        <f t="shared" si="11"/>
        <v>2886.5261813537677</v>
      </c>
      <c r="AE42" s="340">
        <f t="shared" si="12"/>
        <v>4765.0293255131965</v>
      </c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Y42" s="344"/>
      <c r="AZ42" s="344"/>
      <c r="BA42" s="344"/>
    </row>
    <row r="43" spans="1:53" ht="12.75" x14ac:dyDescent="0.2">
      <c r="A43" s="339">
        <f t="shared" si="13"/>
        <v>42795</v>
      </c>
      <c r="B43" s="337" t="s">
        <v>231</v>
      </c>
      <c r="C43" s="337">
        <f t="shared" si="14"/>
        <v>2017</v>
      </c>
      <c r="E43" s="112">
        <v>70741</v>
      </c>
      <c r="F43" s="112">
        <v>20365</v>
      </c>
      <c r="G43" s="112">
        <v>50376</v>
      </c>
      <c r="H43" s="112">
        <v>45337</v>
      </c>
      <c r="I43" s="112">
        <v>3610</v>
      </c>
      <c r="J43" s="341"/>
      <c r="K43" s="112">
        <v>21435</v>
      </c>
      <c r="L43" s="112">
        <v>20133</v>
      </c>
      <c r="M43" s="112">
        <v>1302</v>
      </c>
      <c r="N43" s="112">
        <v>45337</v>
      </c>
      <c r="O43" s="112">
        <v>3460</v>
      </c>
      <c r="P43" s="341"/>
      <c r="Q43" s="112">
        <v>53363</v>
      </c>
      <c r="R43" s="112">
        <v>50677</v>
      </c>
      <c r="S43" s="112">
        <v>2051</v>
      </c>
      <c r="T43" s="112">
        <v>635</v>
      </c>
      <c r="U43" s="112">
        <v>125725</v>
      </c>
      <c r="V43" s="112">
        <v>16249</v>
      </c>
      <c r="W43" s="112">
        <v>14844</v>
      </c>
      <c r="X43" s="112">
        <v>1405</v>
      </c>
      <c r="Y43" s="112">
        <v>0</v>
      </c>
      <c r="Z43" s="112"/>
      <c r="AA43" s="341"/>
      <c r="AB43" s="340">
        <f t="shared" si="9"/>
        <v>2517.1112104505041</v>
      </c>
      <c r="AC43" s="340">
        <f t="shared" si="10"/>
        <v>1575.2688172043011</v>
      </c>
      <c r="AD43" s="340">
        <f t="shared" si="11"/>
        <v>2773.1212916602335</v>
      </c>
      <c r="AE43" s="340">
        <f t="shared" si="12"/>
        <v>4290.1734104046245</v>
      </c>
      <c r="AM43" s="344"/>
      <c r="AN43" s="344"/>
      <c r="AO43" s="344"/>
      <c r="AP43" s="344"/>
      <c r="AQ43" s="344"/>
      <c r="AR43" s="344"/>
      <c r="AS43" s="344"/>
      <c r="AT43" s="344"/>
      <c r="AU43" s="344"/>
      <c r="AV43" s="344"/>
      <c r="AY43" s="344"/>
      <c r="AZ43" s="344"/>
      <c r="BA43" s="344"/>
    </row>
    <row r="44" spans="1:53" ht="12.75" x14ac:dyDescent="0.2">
      <c r="A44" s="339">
        <f t="shared" si="13"/>
        <v>42705</v>
      </c>
      <c r="B44" s="337" t="s">
        <v>232</v>
      </c>
      <c r="C44" s="337">
        <f t="shared" si="14"/>
        <v>2016</v>
      </c>
      <c r="E44" s="112">
        <v>62395</v>
      </c>
      <c r="F44" s="112">
        <v>20694</v>
      </c>
      <c r="G44" s="112">
        <v>41701</v>
      </c>
      <c r="H44" s="112">
        <v>43387</v>
      </c>
      <c r="I44" s="112">
        <v>2675</v>
      </c>
      <c r="J44" s="341"/>
      <c r="K44" s="112">
        <v>23913</v>
      </c>
      <c r="L44" s="112">
        <v>21637</v>
      </c>
      <c r="M44" s="112">
        <v>2276</v>
      </c>
      <c r="N44" s="112">
        <v>43387</v>
      </c>
      <c r="O44" s="112">
        <v>2465</v>
      </c>
      <c r="P44" s="341"/>
      <c r="Q44" s="112">
        <v>61422</v>
      </c>
      <c r="R44" s="112">
        <v>55878</v>
      </c>
      <c r="S44" s="112">
        <v>3719</v>
      </c>
      <c r="T44" s="112">
        <v>1825</v>
      </c>
      <c r="U44" s="112">
        <v>120413</v>
      </c>
      <c r="V44" s="112">
        <v>11755</v>
      </c>
      <c r="W44" s="112">
        <v>10802</v>
      </c>
      <c r="X44" s="112">
        <v>953</v>
      </c>
      <c r="Y44" s="112">
        <v>0</v>
      </c>
      <c r="Z44" s="112"/>
      <c r="AA44" s="341"/>
      <c r="AB44" s="340">
        <f t="shared" si="9"/>
        <v>2582.5206821648103</v>
      </c>
      <c r="AC44" s="340">
        <f t="shared" si="10"/>
        <v>1634.0070298769772</v>
      </c>
      <c r="AD44" s="340">
        <f t="shared" si="11"/>
        <v>2775.3244059280428</v>
      </c>
      <c r="AE44" s="340">
        <f t="shared" si="12"/>
        <v>4382.1501014198784</v>
      </c>
      <c r="AM44" s="344"/>
      <c r="AN44" s="344"/>
      <c r="AO44" s="344"/>
      <c r="AP44" s="344"/>
      <c r="AQ44" s="344"/>
      <c r="AR44" s="344"/>
      <c r="AS44" s="344"/>
      <c r="AT44" s="344"/>
      <c r="AU44" s="344"/>
      <c r="AV44" s="344"/>
      <c r="AY44" s="344"/>
      <c r="AZ44" s="344"/>
      <c r="BA44" s="344"/>
    </row>
    <row r="45" spans="1:53" ht="12.75" x14ac:dyDescent="0.2">
      <c r="A45" s="339">
        <f t="shared" si="13"/>
        <v>42614</v>
      </c>
      <c r="B45" s="337" t="s">
        <v>233</v>
      </c>
      <c r="C45" s="337">
        <f t="shared" si="14"/>
        <v>2016</v>
      </c>
      <c r="E45" s="112">
        <v>72093</v>
      </c>
      <c r="F45" s="112">
        <v>20304</v>
      </c>
      <c r="G45" s="112">
        <v>51789</v>
      </c>
      <c r="H45" s="112">
        <v>46278</v>
      </c>
      <c r="I45" s="112">
        <v>2811</v>
      </c>
      <c r="J45" s="341"/>
      <c r="K45" s="112">
        <v>22086</v>
      </c>
      <c r="L45" s="112">
        <v>20273</v>
      </c>
      <c r="M45" s="112">
        <v>1813</v>
      </c>
      <c r="N45" s="112">
        <v>46278</v>
      </c>
      <c r="O45" s="112">
        <v>2620</v>
      </c>
      <c r="P45" s="341"/>
      <c r="Q45" s="112">
        <v>56906</v>
      </c>
      <c r="R45" s="112">
        <v>52613</v>
      </c>
      <c r="S45" s="112">
        <v>2651</v>
      </c>
      <c r="T45" s="112">
        <v>1642</v>
      </c>
      <c r="U45" s="112">
        <v>126115</v>
      </c>
      <c r="V45" s="112">
        <v>12463</v>
      </c>
      <c r="W45" s="112">
        <v>11500</v>
      </c>
      <c r="X45" s="112">
        <v>963</v>
      </c>
      <c r="Y45" s="112">
        <v>0</v>
      </c>
      <c r="Z45" s="112"/>
      <c r="AA45" s="341"/>
      <c r="AB45" s="340">
        <f t="shared" si="9"/>
        <v>2595.225176342919</v>
      </c>
      <c r="AC45" s="340">
        <f t="shared" si="10"/>
        <v>1462.2173193601766</v>
      </c>
      <c r="AD45" s="340">
        <f t="shared" si="11"/>
        <v>2725.1609836207267</v>
      </c>
      <c r="AE45" s="340">
        <f t="shared" si="12"/>
        <v>4389.3129770992364</v>
      </c>
      <c r="AM45" s="344"/>
      <c r="AN45" s="344"/>
      <c r="AO45" s="344"/>
      <c r="AP45" s="344"/>
      <c r="AQ45" s="344"/>
      <c r="AR45" s="344"/>
      <c r="AS45" s="344"/>
      <c r="AT45" s="344"/>
      <c r="AU45" s="344"/>
      <c r="AV45" s="344"/>
      <c r="AY45" s="344"/>
      <c r="AZ45" s="344"/>
      <c r="BA45" s="344"/>
    </row>
    <row r="46" spans="1:53" ht="12.75" x14ac:dyDescent="0.2">
      <c r="A46" s="339">
        <f t="shared" si="13"/>
        <v>42522</v>
      </c>
      <c r="B46" s="337" t="s">
        <v>234</v>
      </c>
      <c r="C46" s="337">
        <f t="shared" si="14"/>
        <v>2016</v>
      </c>
      <c r="E46" s="112">
        <v>73023</v>
      </c>
      <c r="F46" s="112">
        <v>20304</v>
      </c>
      <c r="G46" s="112">
        <v>52719</v>
      </c>
      <c r="H46" s="112">
        <v>45562</v>
      </c>
      <c r="I46" s="112">
        <v>3090</v>
      </c>
      <c r="J46" s="341"/>
      <c r="K46" s="112">
        <v>22122</v>
      </c>
      <c r="L46" s="112">
        <v>20639</v>
      </c>
      <c r="M46" s="112">
        <v>1483</v>
      </c>
      <c r="N46" s="112">
        <v>45562</v>
      </c>
      <c r="O46" s="112">
        <v>3119</v>
      </c>
      <c r="P46" s="341"/>
      <c r="Q46" s="112">
        <v>58391</v>
      </c>
      <c r="R46" s="112">
        <v>52867</v>
      </c>
      <c r="S46" s="112">
        <v>2173</v>
      </c>
      <c r="T46" s="112">
        <v>3351</v>
      </c>
      <c r="U46" s="112">
        <v>122379</v>
      </c>
      <c r="V46" s="112">
        <v>15544</v>
      </c>
      <c r="W46" s="112">
        <v>14412</v>
      </c>
      <c r="X46" s="112">
        <v>1132</v>
      </c>
      <c r="Y46" s="112">
        <v>0</v>
      </c>
      <c r="Z46" s="112"/>
      <c r="AA46" s="341"/>
      <c r="AB46" s="340">
        <f t="shared" si="9"/>
        <v>2561.5097630699161</v>
      </c>
      <c r="AC46" s="340">
        <f t="shared" si="10"/>
        <v>1465.2730950775456</v>
      </c>
      <c r="AD46" s="340">
        <f t="shared" si="11"/>
        <v>2685.9883236030023</v>
      </c>
      <c r="AE46" s="340">
        <f t="shared" si="12"/>
        <v>4620.7117665918568</v>
      </c>
      <c r="AM46" s="344"/>
      <c r="AN46" s="344"/>
      <c r="AO46" s="344"/>
      <c r="AP46" s="344"/>
      <c r="AQ46" s="344"/>
      <c r="AR46" s="344"/>
      <c r="AS46" s="344"/>
      <c r="AT46" s="344"/>
      <c r="AU46" s="344"/>
      <c r="AV46" s="344"/>
      <c r="AY46" s="344"/>
      <c r="AZ46" s="344"/>
      <c r="BA46" s="344"/>
    </row>
    <row r="47" spans="1:53" ht="12.75" x14ac:dyDescent="0.2">
      <c r="A47" s="339">
        <f t="shared" si="13"/>
        <v>42430</v>
      </c>
      <c r="B47" s="337" t="s">
        <v>235</v>
      </c>
      <c r="C47" s="337">
        <f t="shared" si="14"/>
        <v>2016</v>
      </c>
      <c r="E47" s="112">
        <v>67935</v>
      </c>
      <c r="F47" s="112">
        <v>18153</v>
      </c>
      <c r="G47" s="112">
        <v>49782</v>
      </c>
      <c r="H47" s="112">
        <v>43518</v>
      </c>
      <c r="I47" s="112">
        <v>3350</v>
      </c>
      <c r="J47" s="341"/>
      <c r="K47" s="112">
        <v>20160</v>
      </c>
      <c r="L47" s="112">
        <v>18564</v>
      </c>
      <c r="M47" s="112">
        <v>1596</v>
      </c>
      <c r="N47" s="112">
        <v>43518</v>
      </c>
      <c r="O47" s="112">
        <v>4009</v>
      </c>
      <c r="P47" s="341"/>
      <c r="Q47" s="112">
        <v>54860</v>
      </c>
      <c r="R47" s="112">
        <v>50244</v>
      </c>
      <c r="S47" s="112">
        <v>2526</v>
      </c>
      <c r="T47" s="112">
        <v>2090</v>
      </c>
      <c r="U47" s="112">
        <v>114969</v>
      </c>
      <c r="V47" s="112">
        <v>21578</v>
      </c>
      <c r="W47" s="112">
        <v>20661</v>
      </c>
      <c r="X47" s="112">
        <v>917</v>
      </c>
      <c r="Y47" s="112">
        <v>0</v>
      </c>
      <c r="Z47" s="112"/>
      <c r="AA47" s="341"/>
      <c r="AB47" s="340">
        <f t="shared" si="9"/>
        <v>2706.5287653522946</v>
      </c>
      <c r="AC47" s="340">
        <f t="shared" si="10"/>
        <v>1582.7067669172932</v>
      </c>
      <c r="AD47" s="340">
        <f t="shared" si="11"/>
        <v>2641.8723286915761</v>
      </c>
      <c r="AE47" s="340">
        <f t="shared" si="12"/>
        <v>5153.6542778747817</v>
      </c>
      <c r="AM47" s="344"/>
      <c r="AN47" s="344"/>
      <c r="AO47" s="344"/>
      <c r="AP47" s="344"/>
      <c r="AQ47" s="344"/>
      <c r="AR47" s="344"/>
      <c r="AS47" s="344"/>
      <c r="AT47" s="344"/>
      <c r="AU47" s="344"/>
      <c r="AV47" s="344"/>
      <c r="AY47" s="344"/>
      <c r="AZ47" s="344"/>
      <c r="BA47" s="344"/>
    </row>
    <row r="48" spans="1:53" ht="12.75" x14ac:dyDescent="0.2">
      <c r="A48" s="339">
        <f t="shared" si="13"/>
        <v>42339</v>
      </c>
      <c r="B48" s="337" t="s">
        <v>236</v>
      </c>
      <c r="C48" s="337">
        <f t="shared" si="14"/>
        <v>2015</v>
      </c>
      <c r="E48" s="112">
        <v>72865</v>
      </c>
      <c r="F48" s="112">
        <v>19931</v>
      </c>
      <c r="G48" s="112">
        <v>52934</v>
      </c>
      <c r="H48" s="112">
        <v>52306</v>
      </c>
      <c r="I48" s="112">
        <v>1677</v>
      </c>
      <c r="J48" s="341"/>
      <c r="K48" s="112">
        <v>21432</v>
      </c>
      <c r="L48" s="112">
        <v>20019</v>
      </c>
      <c r="M48" s="112">
        <v>1413</v>
      </c>
      <c r="N48" s="112">
        <v>52306</v>
      </c>
      <c r="O48" s="112">
        <v>1252</v>
      </c>
      <c r="P48" s="341"/>
      <c r="Q48" s="112">
        <v>56600</v>
      </c>
      <c r="R48" s="112">
        <v>54083</v>
      </c>
      <c r="S48" s="112">
        <v>2024</v>
      </c>
      <c r="T48" s="112">
        <v>493</v>
      </c>
      <c r="U48" s="112">
        <v>130095</v>
      </c>
      <c r="V48" s="112">
        <v>7235</v>
      </c>
      <c r="W48" s="112">
        <v>6722</v>
      </c>
      <c r="X48" s="112">
        <v>513</v>
      </c>
      <c r="Y48" s="112">
        <v>0</v>
      </c>
      <c r="Z48" s="112"/>
      <c r="AA48" s="341"/>
      <c r="AB48" s="340">
        <f t="shared" si="9"/>
        <v>2701.583495679105</v>
      </c>
      <c r="AC48" s="340">
        <f t="shared" si="10"/>
        <v>1432.4133050247699</v>
      </c>
      <c r="AD48" s="340">
        <f t="shared" si="11"/>
        <v>2487.1907620540665</v>
      </c>
      <c r="AE48" s="340">
        <f t="shared" si="12"/>
        <v>5369.0095846645363</v>
      </c>
      <c r="AM48" s="344"/>
      <c r="AN48" s="344"/>
      <c r="AO48" s="344"/>
      <c r="AP48" s="344"/>
      <c r="AQ48" s="344"/>
      <c r="AR48" s="344"/>
      <c r="AS48" s="344"/>
      <c r="AT48" s="344"/>
      <c r="AU48" s="344"/>
      <c r="AV48" s="344"/>
      <c r="AY48" s="344"/>
      <c r="AZ48" s="344"/>
      <c r="BA48" s="344"/>
    </row>
    <row r="49" spans="1:53" ht="12.75" x14ac:dyDescent="0.2">
      <c r="A49" s="339">
        <f t="shared" si="13"/>
        <v>42248</v>
      </c>
      <c r="B49" s="337" t="s">
        <v>237</v>
      </c>
      <c r="C49" s="337">
        <f t="shared" si="14"/>
        <v>2015</v>
      </c>
      <c r="E49" s="112">
        <v>72889</v>
      </c>
      <c r="F49" s="112">
        <v>18923</v>
      </c>
      <c r="G49" s="112">
        <v>53966</v>
      </c>
      <c r="H49" s="112">
        <v>49425</v>
      </c>
      <c r="I49" s="112">
        <v>2596</v>
      </c>
      <c r="J49" s="341"/>
      <c r="K49" s="112">
        <v>20337</v>
      </c>
      <c r="L49" s="112">
        <v>19200</v>
      </c>
      <c r="M49" s="112">
        <v>1137</v>
      </c>
      <c r="N49" s="112">
        <v>49425</v>
      </c>
      <c r="O49" s="112">
        <v>2642</v>
      </c>
      <c r="P49" s="341"/>
      <c r="Q49" s="112">
        <v>55915</v>
      </c>
      <c r="R49" s="112">
        <v>50622</v>
      </c>
      <c r="S49" s="112">
        <v>1445</v>
      </c>
      <c r="T49" s="112">
        <v>3848</v>
      </c>
      <c r="U49" s="112">
        <v>125122</v>
      </c>
      <c r="V49" s="112">
        <v>15744</v>
      </c>
      <c r="W49" s="112">
        <v>14985</v>
      </c>
      <c r="X49" s="112">
        <v>759</v>
      </c>
      <c r="Y49" s="112">
        <v>0</v>
      </c>
      <c r="Z49" s="112"/>
      <c r="AA49" s="341"/>
      <c r="AB49" s="340">
        <f t="shared" si="9"/>
        <v>2636.5625</v>
      </c>
      <c r="AC49" s="340">
        <f t="shared" si="10"/>
        <v>1270.8883025505718</v>
      </c>
      <c r="AD49" s="340">
        <f t="shared" si="11"/>
        <v>2531.5528578654526</v>
      </c>
      <c r="AE49" s="340">
        <f t="shared" si="12"/>
        <v>5671.8395155185462</v>
      </c>
      <c r="AM49" s="344"/>
      <c r="AN49" s="344"/>
      <c r="AO49" s="344"/>
      <c r="AP49" s="344"/>
      <c r="AQ49" s="344"/>
      <c r="AR49" s="344"/>
      <c r="AS49" s="344"/>
      <c r="AT49" s="344"/>
      <c r="AU49" s="344"/>
      <c r="AV49" s="344"/>
      <c r="AY49" s="344"/>
      <c r="AZ49" s="344"/>
      <c r="BA49" s="344"/>
    </row>
    <row r="50" spans="1:53" ht="12.75" x14ac:dyDescent="0.2">
      <c r="A50" s="339">
        <f t="shared" si="13"/>
        <v>42156</v>
      </c>
      <c r="B50" s="337" t="s">
        <v>238</v>
      </c>
      <c r="C50" s="337">
        <f t="shared" si="14"/>
        <v>2015</v>
      </c>
      <c r="E50" s="112">
        <v>69772</v>
      </c>
      <c r="F50" s="112">
        <v>17868</v>
      </c>
      <c r="G50" s="112">
        <v>51904</v>
      </c>
      <c r="H50" s="112">
        <v>47582</v>
      </c>
      <c r="I50" s="112">
        <v>2800</v>
      </c>
      <c r="J50" s="341"/>
      <c r="K50" s="112">
        <v>17990</v>
      </c>
      <c r="L50" s="112">
        <v>17608</v>
      </c>
      <c r="M50" s="112">
        <v>382</v>
      </c>
      <c r="N50" s="112">
        <v>47582</v>
      </c>
      <c r="O50" s="112">
        <v>2887</v>
      </c>
      <c r="P50" s="341"/>
      <c r="Q50" s="112">
        <v>48028</v>
      </c>
      <c r="R50" s="112">
        <v>43687</v>
      </c>
      <c r="S50" s="112">
        <v>495</v>
      </c>
      <c r="T50" s="112">
        <v>3846</v>
      </c>
      <c r="U50" s="112">
        <v>120963</v>
      </c>
      <c r="V50" s="112">
        <v>16285</v>
      </c>
      <c r="W50" s="112">
        <v>15207</v>
      </c>
      <c r="X50" s="112">
        <v>1078</v>
      </c>
      <c r="Y50" s="112">
        <v>0</v>
      </c>
      <c r="Z50" s="112"/>
      <c r="AA50" s="341"/>
      <c r="AB50" s="340">
        <f t="shared" si="9"/>
        <v>2481.0881417537485</v>
      </c>
      <c r="AC50" s="340">
        <f t="shared" si="10"/>
        <v>1295.8115183246073</v>
      </c>
      <c r="AD50" s="340">
        <f t="shared" si="11"/>
        <v>2542.2008322474885</v>
      </c>
      <c r="AE50" s="340">
        <f t="shared" si="12"/>
        <v>5267.4056113612751</v>
      </c>
      <c r="AM50" s="344"/>
      <c r="AN50" s="344"/>
      <c r="AO50" s="344"/>
      <c r="AP50" s="344"/>
      <c r="AQ50" s="344"/>
      <c r="AR50" s="344"/>
      <c r="AS50" s="344"/>
      <c r="AT50" s="344"/>
      <c r="AU50" s="344"/>
      <c r="AV50" s="344"/>
      <c r="AY50" s="344"/>
      <c r="AZ50" s="344"/>
      <c r="BA50" s="344"/>
    </row>
    <row r="51" spans="1:53" ht="12.75" x14ac:dyDescent="0.2">
      <c r="A51" s="339">
        <v>42064</v>
      </c>
      <c r="B51" s="337" t="s">
        <v>239</v>
      </c>
      <c r="C51" s="337">
        <f t="shared" si="14"/>
        <v>2015</v>
      </c>
      <c r="E51" s="123">
        <v>71722</v>
      </c>
      <c r="F51" s="123">
        <v>17663</v>
      </c>
      <c r="G51" s="123">
        <v>54059</v>
      </c>
      <c r="H51" s="123">
        <v>48981</v>
      </c>
      <c r="I51" s="123">
        <v>2316</v>
      </c>
      <c r="J51" s="341"/>
      <c r="K51" s="123">
        <v>17578.080000000002</v>
      </c>
      <c r="L51" s="112">
        <v>17287.330000000002</v>
      </c>
      <c r="M51" s="112">
        <v>290.75</v>
      </c>
      <c r="N51" s="123">
        <v>48981</v>
      </c>
      <c r="O51" s="123">
        <v>2801</v>
      </c>
      <c r="P51" s="341"/>
      <c r="Q51" s="123">
        <v>45735</v>
      </c>
      <c r="R51" s="123">
        <v>43039</v>
      </c>
      <c r="S51" s="123">
        <v>365</v>
      </c>
      <c r="T51" s="123">
        <v>2331</v>
      </c>
      <c r="U51" s="123">
        <v>120972</v>
      </c>
      <c r="V51" s="112">
        <v>16064</v>
      </c>
      <c r="W51" s="112">
        <v>15233</v>
      </c>
      <c r="X51" s="112">
        <v>831</v>
      </c>
      <c r="Y51" s="123">
        <v>0</v>
      </c>
      <c r="Z51" s="123"/>
      <c r="AA51" s="341"/>
      <c r="AB51" s="340">
        <f t="shared" si="9"/>
        <v>2489.6267960407995</v>
      </c>
      <c r="AC51" s="340">
        <f t="shared" si="10"/>
        <v>1255.3740326741186</v>
      </c>
      <c r="AD51" s="340">
        <f t="shared" si="11"/>
        <v>2469.7739939976727</v>
      </c>
      <c r="AE51" s="340">
        <f t="shared" si="12"/>
        <v>5438.4148518386291</v>
      </c>
      <c r="AM51" s="344"/>
      <c r="AN51" s="344"/>
      <c r="AO51" s="344"/>
      <c r="AP51" s="344"/>
      <c r="AQ51" s="344"/>
      <c r="AR51" s="344"/>
      <c r="AS51" s="344"/>
      <c r="AT51" s="344"/>
      <c r="AU51" s="344"/>
      <c r="AV51" s="344"/>
      <c r="AY51" s="344"/>
      <c r="AZ51" s="344"/>
      <c r="BA51" s="344"/>
    </row>
    <row r="52" spans="1:53" x14ac:dyDescent="0.2">
      <c r="A52" s="337"/>
      <c r="B52" s="337"/>
      <c r="C52" s="337"/>
      <c r="Q52" s="340"/>
      <c r="R52" s="340"/>
      <c r="S52" s="340"/>
      <c r="T52" s="340"/>
      <c r="U52" s="340"/>
      <c r="V52" s="340"/>
      <c r="W52" s="340"/>
      <c r="X52" s="340"/>
      <c r="Y52" s="340"/>
      <c r="Z52" s="340"/>
    </row>
    <row r="53" spans="1:53" x14ac:dyDescent="0.2">
      <c r="A53" s="337"/>
      <c r="B53" s="337"/>
      <c r="C53" s="337"/>
      <c r="Q53" s="340"/>
      <c r="R53" s="340"/>
      <c r="S53" s="340"/>
      <c r="T53" s="340"/>
      <c r="U53" s="340"/>
      <c r="V53" s="340"/>
      <c r="W53" s="340"/>
      <c r="X53" s="340"/>
      <c r="Y53" s="340"/>
      <c r="Z53" s="340"/>
    </row>
    <row r="54" spans="1:53" x14ac:dyDescent="0.2">
      <c r="A54" s="107"/>
      <c r="B54" s="107" t="s">
        <v>240</v>
      </c>
      <c r="C54" s="108"/>
      <c r="D54" s="109"/>
      <c r="E54" s="110"/>
      <c r="F54" s="110"/>
      <c r="G54" s="110"/>
      <c r="H54" s="110"/>
      <c r="I54" s="110"/>
      <c r="K54" s="110"/>
      <c r="L54" s="110"/>
      <c r="M54" s="110"/>
      <c r="N54" s="110"/>
      <c r="O54" s="110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05"/>
      <c r="AB54" s="110"/>
      <c r="AC54" s="110"/>
      <c r="AD54" s="110"/>
      <c r="AE54" s="110"/>
    </row>
    <row r="55" spans="1:53" ht="12.75" x14ac:dyDescent="0.2">
      <c r="A55" s="337"/>
      <c r="B55" s="337"/>
      <c r="C55" s="337">
        <v>2025</v>
      </c>
      <c r="E55" s="340">
        <f t="shared" ref="E55:I65" si="15">SUMIF($C$7:$C$51,$C55,E$7:E$51)</f>
        <v>317059.90000000002</v>
      </c>
      <c r="F55" s="340">
        <f t="shared" si="15"/>
        <v>103840.6</v>
      </c>
      <c r="G55" s="340">
        <f t="shared" si="15"/>
        <v>213219.3</v>
      </c>
      <c r="H55" s="340">
        <f t="shared" si="15"/>
        <v>170043</v>
      </c>
      <c r="I55" s="340">
        <f t="shared" si="15"/>
        <v>0</v>
      </c>
      <c r="J55" s="347"/>
      <c r="K55" s="340">
        <f t="shared" ref="K55:O65" si="16">SUMIF($C$7:$C$51,$C55,K$7:K$51)</f>
        <v>127549.4</v>
      </c>
      <c r="L55" s="340">
        <f t="shared" si="16"/>
        <v>102998.1</v>
      </c>
      <c r="M55" s="340">
        <f t="shared" ref="M55:O57" si="17">SUMIF($C$7:$C$51,$C55,M$7:M$51)</f>
        <v>24552.600000000002</v>
      </c>
      <c r="N55" s="340">
        <f t="shared" si="17"/>
        <v>170043</v>
      </c>
      <c r="O55" s="340">
        <f t="shared" si="17"/>
        <v>0</v>
      </c>
      <c r="P55" s="340"/>
      <c r="Q55" s="340">
        <f t="shared" ref="Q55:Y65" si="18">SUMIF($C$7:$C$51,$C55,Q$7:Q$51)</f>
        <v>645712</v>
      </c>
      <c r="R55" s="340">
        <f t="shared" si="18"/>
        <v>551349.5</v>
      </c>
      <c r="S55" s="340">
        <f t="shared" si="18"/>
        <v>92098.6</v>
      </c>
      <c r="T55" s="340">
        <f t="shared" si="18"/>
        <v>2264</v>
      </c>
      <c r="U55" s="340">
        <f t="shared" si="18"/>
        <v>1028876</v>
      </c>
      <c r="V55" s="340">
        <f t="shared" si="18"/>
        <v>0</v>
      </c>
      <c r="W55" s="340">
        <f t="shared" ref="W55:X65" si="19">SUMIF($C$7:$C$51,$C55,W$7:W$51)</f>
        <v>0</v>
      </c>
      <c r="X55" s="340">
        <f t="shared" si="19"/>
        <v>0</v>
      </c>
      <c r="Y55" s="340">
        <f t="shared" si="18"/>
        <v>0</v>
      </c>
      <c r="Z55" s="340"/>
      <c r="AA55" s="341"/>
      <c r="AB55" s="340">
        <f t="shared" ref="AB55" si="20">R55*1000/L55</f>
        <v>5353.0065117706054</v>
      </c>
      <c r="AC55" s="340">
        <f t="shared" ref="AC55" si="21">S55*1000/M55</f>
        <v>3751.0732060962991</v>
      </c>
      <c r="AD55" s="340">
        <f t="shared" ref="AD55" si="22">U55*1000/N55</f>
        <v>6050.6812982598522</v>
      </c>
      <c r="AE55" s="340"/>
    </row>
    <row r="56" spans="1:53" ht="12.75" x14ac:dyDescent="0.2">
      <c r="A56" s="337"/>
      <c r="B56" s="337"/>
      <c r="C56" s="337">
        <v>2024</v>
      </c>
      <c r="E56" s="340">
        <f t="shared" si="15"/>
        <v>313722.40000000002</v>
      </c>
      <c r="F56" s="340">
        <f t="shared" si="15"/>
        <v>99961.700000000012</v>
      </c>
      <c r="G56" s="340">
        <f t="shared" si="15"/>
        <v>213759.90000000002</v>
      </c>
      <c r="H56" s="340">
        <f t="shared" si="15"/>
        <v>174468.2</v>
      </c>
      <c r="I56" s="340">
        <f t="shared" si="15"/>
        <v>10503.6</v>
      </c>
      <c r="J56" s="347"/>
      <c r="K56" s="340">
        <f t="shared" si="16"/>
        <v>124322.337</v>
      </c>
      <c r="L56" s="340">
        <f t="shared" si="16"/>
        <v>99363.494999999995</v>
      </c>
      <c r="M56" s="340">
        <f t="shared" si="17"/>
        <v>24958.542000000001</v>
      </c>
      <c r="N56" s="340">
        <f t="shared" si="17"/>
        <v>174468.6</v>
      </c>
      <c r="O56" s="340">
        <f t="shared" si="17"/>
        <v>10818.1</v>
      </c>
      <c r="P56" s="340"/>
      <c r="Q56" s="340">
        <f t="shared" si="18"/>
        <v>596010</v>
      </c>
      <c r="R56" s="340">
        <f t="shared" si="18"/>
        <v>513957.4</v>
      </c>
      <c r="S56" s="340">
        <f t="shared" si="18"/>
        <v>80799.8</v>
      </c>
      <c r="T56" s="340">
        <f t="shared" si="18"/>
        <v>1253</v>
      </c>
      <c r="U56" s="340">
        <f t="shared" si="18"/>
        <v>951879</v>
      </c>
      <c r="V56" s="340">
        <f t="shared" si="18"/>
        <v>79581</v>
      </c>
      <c r="W56" s="340">
        <f t="shared" si="19"/>
        <v>72125</v>
      </c>
      <c r="X56" s="340">
        <f t="shared" si="19"/>
        <v>7456</v>
      </c>
      <c r="Y56" s="340">
        <f t="shared" si="18"/>
        <v>0</v>
      </c>
      <c r="Z56" s="340"/>
      <c r="AA56" s="341"/>
      <c r="AB56" s="340">
        <f t="shared" ref="AB56:AB65" si="23">R56*1000/L56</f>
        <v>5172.4972033240174</v>
      </c>
      <c r="AC56" s="340">
        <f t="shared" ref="AC56:AC65" si="24">S56*1000/M56</f>
        <v>3237.3605797966884</v>
      </c>
      <c r="AD56" s="340">
        <f t="shared" ref="AD56:AD65" si="25">U56*1000/N56</f>
        <v>5455.8757277813884</v>
      </c>
      <c r="AE56" s="340">
        <f t="shared" ref="AE56:AE65" si="26">V56*1000/O56</f>
        <v>7356.282526506503</v>
      </c>
    </row>
    <row r="57" spans="1:53" ht="12.75" x14ac:dyDescent="0.2">
      <c r="A57" s="337"/>
      <c r="B57" s="337"/>
      <c r="C57" s="337">
        <v>2023</v>
      </c>
      <c r="E57" s="340">
        <f t="shared" si="15"/>
        <v>298271.3</v>
      </c>
      <c r="F57" s="340">
        <f t="shared" si="15"/>
        <v>96976.2</v>
      </c>
      <c r="G57" s="340">
        <f t="shared" si="15"/>
        <v>201295.2</v>
      </c>
      <c r="H57" s="340">
        <f t="shared" si="15"/>
        <v>164989.5</v>
      </c>
      <c r="I57" s="340">
        <f t="shared" si="15"/>
        <v>11980.52</v>
      </c>
      <c r="J57" s="347"/>
      <c r="K57" s="340">
        <f t="shared" si="16"/>
        <v>120191.18999999999</v>
      </c>
      <c r="L57" s="340">
        <f t="shared" si="16"/>
        <v>95054.459999999992</v>
      </c>
      <c r="M57" s="340">
        <f t="shared" si="17"/>
        <v>25136.73</v>
      </c>
      <c r="N57" s="340">
        <f t="shared" si="17"/>
        <v>164989.5</v>
      </c>
      <c r="O57" s="340">
        <f t="shared" si="17"/>
        <v>10914.64</v>
      </c>
      <c r="P57" s="340"/>
      <c r="Q57" s="340">
        <f t="shared" si="18"/>
        <v>587227</v>
      </c>
      <c r="R57" s="340">
        <f t="shared" si="18"/>
        <v>503361.40500000003</v>
      </c>
      <c r="S57" s="340">
        <f t="shared" si="18"/>
        <v>81229.165999999997</v>
      </c>
      <c r="T57" s="340">
        <f t="shared" si="18"/>
        <v>2636.4290000000037</v>
      </c>
      <c r="U57" s="340">
        <f t="shared" si="18"/>
        <v>926278</v>
      </c>
      <c r="V57" s="340">
        <f t="shared" si="18"/>
        <v>80740</v>
      </c>
      <c r="W57" s="340">
        <f t="shared" si="19"/>
        <v>74778</v>
      </c>
      <c r="X57" s="340">
        <f t="shared" si="19"/>
        <v>5962</v>
      </c>
      <c r="Y57" s="340">
        <f t="shared" si="18"/>
        <v>0</v>
      </c>
      <c r="Z57" s="340"/>
      <c r="AA57" s="341"/>
      <c r="AB57" s="340">
        <f t="shared" si="23"/>
        <v>5295.5053871222881</v>
      </c>
      <c r="AC57" s="340">
        <f t="shared" si="24"/>
        <v>3231.492958710222</v>
      </c>
      <c r="AD57" s="340">
        <f t="shared" si="25"/>
        <v>5614.1633255449588</v>
      </c>
      <c r="AE57" s="340">
        <f t="shared" si="26"/>
        <v>7397.4038539063131</v>
      </c>
    </row>
    <row r="58" spans="1:53" ht="12.75" x14ac:dyDescent="0.2">
      <c r="A58" s="337"/>
      <c r="B58" s="337"/>
      <c r="C58" s="337">
        <v>2022</v>
      </c>
      <c r="E58" s="340">
        <f t="shared" si="15"/>
        <v>293555.7</v>
      </c>
      <c r="F58" s="340">
        <f t="shared" si="15"/>
        <v>99955.6</v>
      </c>
      <c r="G58" s="340">
        <f t="shared" si="15"/>
        <v>193600.5</v>
      </c>
      <c r="H58" s="340">
        <f t="shared" si="15"/>
        <v>159840</v>
      </c>
      <c r="I58" s="340">
        <f t="shared" si="15"/>
        <v>13732</v>
      </c>
      <c r="J58" s="341"/>
      <c r="K58" s="340">
        <f t="shared" si="16"/>
        <v>124880.7</v>
      </c>
      <c r="L58" s="340">
        <f t="shared" si="16"/>
        <v>98194.7</v>
      </c>
      <c r="M58" s="340">
        <f t="shared" si="16"/>
        <v>26686</v>
      </c>
      <c r="N58" s="340">
        <f t="shared" si="16"/>
        <v>159840</v>
      </c>
      <c r="O58" s="340">
        <f t="shared" si="16"/>
        <v>13699.8</v>
      </c>
      <c r="P58" s="341"/>
      <c r="Q58" s="340">
        <f t="shared" si="18"/>
        <v>590225</v>
      </c>
      <c r="R58" s="340">
        <f t="shared" si="18"/>
        <v>489193.11900000001</v>
      </c>
      <c r="S58" s="340">
        <f t="shared" si="18"/>
        <v>97048.335999999996</v>
      </c>
      <c r="T58" s="340">
        <f t="shared" si="18"/>
        <v>3983.5449999999837</v>
      </c>
      <c r="U58" s="340">
        <f t="shared" si="18"/>
        <v>935763</v>
      </c>
      <c r="V58" s="340">
        <f t="shared" si="18"/>
        <v>160678</v>
      </c>
      <c r="W58" s="340">
        <f t="shared" si="19"/>
        <v>152611</v>
      </c>
      <c r="X58" s="340">
        <f t="shared" si="19"/>
        <v>8067</v>
      </c>
      <c r="Y58" s="340">
        <f t="shared" si="18"/>
        <v>0</v>
      </c>
      <c r="Z58" s="340"/>
      <c r="AA58" s="341"/>
      <c r="AB58" s="340">
        <f t="shared" si="23"/>
        <v>4981.8688686863952</v>
      </c>
      <c r="AC58" s="340">
        <f t="shared" si="24"/>
        <v>3636.6760098928276</v>
      </c>
      <c r="AD58" s="340">
        <f t="shared" si="25"/>
        <v>5854.3731231231232</v>
      </c>
      <c r="AE58" s="340">
        <f t="shared" si="26"/>
        <v>11728.492386750173</v>
      </c>
    </row>
    <row r="59" spans="1:53" ht="12.75" x14ac:dyDescent="0.2">
      <c r="A59" s="337"/>
      <c r="B59" s="337"/>
      <c r="C59" s="337">
        <v>2021</v>
      </c>
      <c r="E59" s="340">
        <f t="shared" si="15"/>
        <v>297188</v>
      </c>
      <c r="F59" s="340">
        <f t="shared" si="15"/>
        <v>102581.50000000001</v>
      </c>
      <c r="G59" s="340">
        <f t="shared" si="15"/>
        <v>194606.2</v>
      </c>
      <c r="H59" s="340">
        <f t="shared" si="15"/>
        <v>157549</v>
      </c>
      <c r="I59" s="340">
        <f t="shared" si="15"/>
        <v>15450</v>
      </c>
      <c r="J59" s="341"/>
      <c r="K59" s="340">
        <f t="shared" si="16"/>
        <v>126056</v>
      </c>
      <c r="L59" s="340">
        <f t="shared" si="16"/>
        <v>102033.7</v>
      </c>
      <c r="M59" s="340">
        <f t="shared" si="16"/>
        <v>24022.699999999997</v>
      </c>
      <c r="N59" s="340">
        <f t="shared" si="16"/>
        <v>157549</v>
      </c>
      <c r="O59" s="340">
        <f t="shared" si="16"/>
        <v>15529</v>
      </c>
      <c r="P59" s="341"/>
      <c r="Q59" s="340">
        <f t="shared" si="18"/>
        <v>527493</v>
      </c>
      <c r="R59" s="340">
        <f t="shared" si="18"/>
        <v>429554</v>
      </c>
      <c r="S59" s="340">
        <f t="shared" si="18"/>
        <v>91981</v>
      </c>
      <c r="T59" s="340">
        <f t="shared" si="18"/>
        <v>5958</v>
      </c>
      <c r="U59" s="340">
        <f t="shared" si="18"/>
        <v>902792</v>
      </c>
      <c r="V59" s="340">
        <f t="shared" si="18"/>
        <v>175500</v>
      </c>
      <c r="W59" s="340">
        <f t="shared" si="19"/>
        <v>169705</v>
      </c>
      <c r="X59" s="340">
        <f t="shared" si="19"/>
        <v>5795</v>
      </c>
      <c r="Y59" s="340">
        <f t="shared" si="18"/>
        <v>49</v>
      </c>
      <c r="Z59" s="340"/>
      <c r="AA59" s="341"/>
      <c r="AB59" s="340">
        <f t="shared" si="23"/>
        <v>4209.9228000160729</v>
      </c>
      <c r="AC59" s="340">
        <f t="shared" si="24"/>
        <v>3828.9201463615668</v>
      </c>
      <c r="AD59" s="340">
        <f t="shared" si="25"/>
        <v>5730.2299602028579</v>
      </c>
      <c r="AE59" s="340">
        <f t="shared" si="26"/>
        <v>11301.43602292485</v>
      </c>
    </row>
    <row r="60" spans="1:53" ht="12.75" x14ac:dyDescent="0.2">
      <c r="C60" s="337">
        <v>2020</v>
      </c>
      <c r="E60" s="340">
        <f t="shared" si="15"/>
        <v>293271</v>
      </c>
      <c r="F60" s="340">
        <f t="shared" si="15"/>
        <v>89261.3</v>
      </c>
      <c r="G60" s="340">
        <f t="shared" si="15"/>
        <v>204009.9</v>
      </c>
      <c r="H60" s="340">
        <f t="shared" si="15"/>
        <v>155439</v>
      </c>
      <c r="I60" s="340">
        <f t="shared" si="15"/>
        <v>14607</v>
      </c>
      <c r="J60" s="341"/>
      <c r="K60" s="340">
        <f t="shared" si="16"/>
        <v>135610</v>
      </c>
      <c r="L60" s="340">
        <f t="shared" si="16"/>
        <v>89036.2</v>
      </c>
      <c r="M60" s="340">
        <f t="shared" si="16"/>
        <v>46574.1</v>
      </c>
      <c r="N60" s="340">
        <f t="shared" si="16"/>
        <v>155439</v>
      </c>
      <c r="O60" s="340">
        <f t="shared" si="16"/>
        <v>13942</v>
      </c>
      <c r="P60" s="341"/>
      <c r="Q60" s="340">
        <f t="shared" si="18"/>
        <v>400171</v>
      </c>
      <c r="R60" s="340">
        <f t="shared" si="18"/>
        <v>302521</v>
      </c>
      <c r="S60" s="340">
        <f t="shared" si="18"/>
        <v>94319</v>
      </c>
      <c r="T60" s="340">
        <f t="shared" si="18"/>
        <v>3331</v>
      </c>
      <c r="U60" s="340">
        <f t="shared" si="18"/>
        <v>550400</v>
      </c>
      <c r="V60" s="340">
        <f t="shared" si="18"/>
        <v>79034</v>
      </c>
      <c r="W60" s="340">
        <f t="shared" si="19"/>
        <v>75551</v>
      </c>
      <c r="X60" s="340">
        <f t="shared" si="19"/>
        <v>3483</v>
      </c>
      <c r="Y60" s="340">
        <f t="shared" si="18"/>
        <v>0</v>
      </c>
      <c r="Z60" s="340"/>
      <c r="AA60" s="341"/>
      <c r="AB60" s="340">
        <f t="shared" si="23"/>
        <v>3397.7303613586387</v>
      </c>
      <c r="AC60" s="340">
        <f t="shared" si="24"/>
        <v>2025.1384353106125</v>
      </c>
      <c r="AD60" s="340">
        <f t="shared" si="25"/>
        <v>3540.9388892105585</v>
      </c>
      <c r="AE60" s="340">
        <f t="shared" si="26"/>
        <v>5668.7706211447421</v>
      </c>
    </row>
    <row r="61" spans="1:53" x14ac:dyDescent="0.2">
      <c r="C61" s="337">
        <v>2019</v>
      </c>
      <c r="E61" s="340">
        <f t="shared" si="15"/>
        <v>292628</v>
      </c>
      <c r="F61" s="340">
        <f t="shared" si="15"/>
        <v>88710.7</v>
      </c>
      <c r="G61" s="340">
        <f t="shared" si="15"/>
        <v>203917.2</v>
      </c>
      <c r="H61" s="340">
        <f t="shared" si="15"/>
        <v>164883</v>
      </c>
      <c r="I61" s="340">
        <f t="shared" si="15"/>
        <v>13680</v>
      </c>
      <c r="K61" s="340">
        <f t="shared" si="16"/>
        <v>121350.56</v>
      </c>
      <c r="L61" s="340">
        <f t="shared" si="16"/>
        <v>90513.4</v>
      </c>
      <c r="M61" s="340">
        <f t="shared" si="16"/>
        <v>30837.560000000005</v>
      </c>
      <c r="N61" s="340">
        <f t="shared" si="16"/>
        <v>164883</v>
      </c>
      <c r="O61" s="340">
        <f t="shared" si="16"/>
        <v>13504</v>
      </c>
      <c r="Q61" s="340">
        <f t="shared" si="18"/>
        <v>341188</v>
      </c>
      <c r="R61" s="340">
        <f t="shared" si="18"/>
        <v>273884</v>
      </c>
      <c r="S61" s="340">
        <f t="shared" si="18"/>
        <v>60558</v>
      </c>
      <c r="T61" s="340">
        <f t="shared" si="18"/>
        <v>6746</v>
      </c>
      <c r="U61" s="340">
        <f t="shared" si="18"/>
        <v>534267</v>
      </c>
      <c r="V61" s="340">
        <f t="shared" si="18"/>
        <v>85099</v>
      </c>
      <c r="W61" s="340">
        <f t="shared" si="19"/>
        <v>77497</v>
      </c>
      <c r="X61" s="340">
        <f t="shared" si="19"/>
        <v>7602</v>
      </c>
      <c r="Y61" s="340">
        <f t="shared" si="18"/>
        <v>0</v>
      </c>
      <c r="Z61" s="340"/>
      <c r="AB61" s="340">
        <f t="shared" si="23"/>
        <v>3025.894508437425</v>
      </c>
      <c r="AC61" s="340">
        <f t="shared" si="24"/>
        <v>1963.7740469738849</v>
      </c>
      <c r="AD61" s="340">
        <f t="shared" si="25"/>
        <v>3240.2794708975457</v>
      </c>
      <c r="AE61" s="340">
        <f t="shared" si="26"/>
        <v>6301.7624407582935</v>
      </c>
    </row>
    <row r="62" spans="1:53" x14ac:dyDescent="0.2">
      <c r="C62" s="337">
        <v>2018</v>
      </c>
      <c r="E62" s="340">
        <f t="shared" si="15"/>
        <v>279110</v>
      </c>
      <c r="F62" s="340">
        <f t="shared" si="15"/>
        <v>84010</v>
      </c>
      <c r="G62" s="340">
        <f t="shared" si="15"/>
        <v>195100</v>
      </c>
      <c r="H62" s="340">
        <f t="shared" si="15"/>
        <v>182309</v>
      </c>
      <c r="I62" s="340">
        <f t="shared" si="15"/>
        <v>13471</v>
      </c>
      <c r="K62" s="340">
        <f t="shared" si="16"/>
        <v>95958</v>
      </c>
      <c r="L62" s="340">
        <f t="shared" si="16"/>
        <v>84574</v>
      </c>
      <c r="M62" s="340">
        <f t="shared" si="16"/>
        <v>11385</v>
      </c>
      <c r="N62" s="340">
        <f t="shared" si="16"/>
        <v>182309</v>
      </c>
      <c r="O62" s="340">
        <f t="shared" si="16"/>
        <v>13155</v>
      </c>
      <c r="Q62" s="340">
        <f t="shared" si="18"/>
        <v>283675</v>
      </c>
      <c r="R62" s="340">
        <f t="shared" si="18"/>
        <v>248154</v>
      </c>
      <c r="S62" s="340">
        <f t="shared" si="18"/>
        <v>24053</v>
      </c>
      <c r="T62" s="340">
        <f t="shared" si="18"/>
        <v>11468</v>
      </c>
      <c r="U62" s="340">
        <f t="shared" si="18"/>
        <v>560935</v>
      </c>
      <c r="V62" s="340">
        <f t="shared" si="18"/>
        <v>88207</v>
      </c>
      <c r="W62" s="340">
        <f t="shared" si="19"/>
        <v>80568</v>
      </c>
      <c r="X62" s="340">
        <f t="shared" si="19"/>
        <v>7639</v>
      </c>
      <c r="Y62" s="340">
        <f t="shared" si="18"/>
        <v>0</v>
      </c>
      <c r="Z62" s="340"/>
      <c r="AB62" s="340">
        <f t="shared" si="23"/>
        <v>2934.164163927448</v>
      </c>
      <c r="AC62" s="340">
        <f t="shared" si="24"/>
        <v>2112.6921387790953</v>
      </c>
      <c r="AD62" s="340">
        <f t="shared" si="25"/>
        <v>3076.8365796532262</v>
      </c>
      <c r="AE62" s="340">
        <f t="shared" si="26"/>
        <v>6705.2071455720261</v>
      </c>
    </row>
    <row r="63" spans="1:53" x14ac:dyDescent="0.2">
      <c r="C63" s="337">
        <v>2017</v>
      </c>
      <c r="E63" s="340">
        <f t="shared" si="15"/>
        <v>289019</v>
      </c>
      <c r="F63" s="340">
        <f t="shared" si="15"/>
        <v>85031</v>
      </c>
      <c r="G63" s="340">
        <f t="shared" si="15"/>
        <v>203988</v>
      </c>
      <c r="H63" s="340">
        <f t="shared" si="15"/>
        <v>193256</v>
      </c>
      <c r="I63" s="340">
        <f t="shared" si="15"/>
        <v>11841</v>
      </c>
      <c r="K63" s="340">
        <f t="shared" si="16"/>
        <v>89072</v>
      </c>
      <c r="L63" s="340">
        <f t="shared" si="16"/>
        <v>85127</v>
      </c>
      <c r="M63" s="340">
        <f t="shared" si="16"/>
        <v>3945</v>
      </c>
      <c r="N63" s="340">
        <f t="shared" si="16"/>
        <v>193256</v>
      </c>
      <c r="O63" s="340">
        <f t="shared" si="16"/>
        <v>12000</v>
      </c>
      <c r="Q63" s="340">
        <f t="shared" si="18"/>
        <v>238461</v>
      </c>
      <c r="R63" s="340">
        <f t="shared" si="18"/>
        <v>224836</v>
      </c>
      <c r="S63" s="340">
        <f t="shared" si="18"/>
        <v>6352</v>
      </c>
      <c r="T63" s="340">
        <f t="shared" si="18"/>
        <v>7273</v>
      </c>
      <c r="U63" s="340">
        <f t="shared" si="18"/>
        <v>560595</v>
      </c>
      <c r="V63" s="340">
        <f t="shared" si="18"/>
        <v>60113</v>
      </c>
      <c r="W63" s="340">
        <f t="shared" si="19"/>
        <v>54222</v>
      </c>
      <c r="X63" s="340">
        <f t="shared" si="19"/>
        <v>5891</v>
      </c>
      <c r="Y63" s="340">
        <f t="shared" si="18"/>
        <v>0</v>
      </c>
      <c r="Z63" s="340"/>
      <c r="AB63" s="340">
        <f t="shared" si="23"/>
        <v>2641.1831733762497</v>
      </c>
      <c r="AC63" s="340">
        <f t="shared" si="24"/>
        <v>1610.1394169835235</v>
      </c>
      <c r="AD63" s="340">
        <f t="shared" si="25"/>
        <v>2900.7896261953056</v>
      </c>
      <c r="AE63" s="340">
        <f t="shared" si="26"/>
        <v>5009.416666666667</v>
      </c>
    </row>
    <row r="64" spans="1:53" x14ac:dyDescent="0.2">
      <c r="C64" s="337">
        <v>2016</v>
      </c>
      <c r="E64" s="340">
        <f t="shared" si="15"/>
        <v>275446</v>
      </c>
      <c r="F64" s="340">
        <f t="shared" si="15"/>
        <v>79455</v>
      </c>
      <c r="G64" s="340">
        <f t="shared" si="15"/>
        <v>195991</v>
      </c>
      <c r="H64" s="340">
        <f t="shared" si="15"/>
        <v>178745</v>
      </c>
      <c r="I64" s="340">
        <f t="shared" si="15"/>
        <v>11926</v>
      </c>
      <c r="K64" s="340">
        <f t="shared" si="16"/>
        <v>88281</v>
      </c>
      <c r="L64" s="340">
        <f t="shared" si="16"/>
        <v>81113</v>
      </c>
      <c r="M64" s="340">
        <f t="shared" si="16"/>
        <v>7168</v>
      </c>
      <c r="N64" s="340">
        <f t="shared" si="16"/>
        <v>178745</v>
      </c>
      <c r="O64" s="340">
        <f t="shared" si="16"/>
        <v>12213</v>
      </c>
      <c r="Q64" s="340">
        <f t="shared" si="18"/>
        <v>231579</v>
      </c>
      <c r="R64" s="340">
        <f t="shared" si="18"/>
        <v>211602</v>
      </c>
      <c r="S64" s="340">
        <f t="shared" si="18"/>
        <v>11069</v>
      </c>
      <c r="T64" s="340">
        <f t="shared" si="18"/>
        <v>8908</v>
      </c>
      <c r="U64" s="340">
        <f t="shared" si="18"/>
        <v>483876</v>
      </c>
      <c r="V64" s="340">
        <f t="shared" si="18"/>
        <v>61340</v>
      </c>
      <c r="W64" s="340">
        <f t="shared" si="19"/>
        <v>57375</v>
      </c>
      <c r="X64" s="340">
        <f t="shared" si="19"/>
        <v>3965</v>
      </c>
      <c r="Y64" s="340">
        <f t="shared" si="18"/>
        <v>0</v>
      </c>
      <c r="Z64" s="340"/>
      <c r="AB64" s="340">
        <f t="shared" si="23"/>
        <v>2608.7310295513666</v>
      </c>
      <c r="AC64" s="340">
        <f t="shared" si="24"/>
        <v>1544.2243303571429</v>
      </c>
      <c r="AD64" s="340">
        <f t="shared" si="25"/>
        <v>2707.0743237573079</v>
      </c>
      <c r="AE64" s="340">
        <f t="shared" si="26"/>
        <v>5022.5169900925248</v>
      </c>
    </row>
    <row r="65" spans="1:31" x14ac:dyDescent="0.2">
      <c r="C65" s="337">
        <v>2015</v>
      </c>
      <c r="E65" s="340">
        <f t="shared" si="15"/>
        <v>287248</v>
      </c>
      <c r="F65" s="340">
        <f t="shared" si="15"/>
        <v>74385</v>
      </c>
      <c r="G65" s="340">
        <f t="shared" si="15"/>
        <v>212863</v>
      </c>
      <c r="H65" s="340">
        <f t="shared" si="15"/>
        <v>198294</v>
      </c>
      <c r="I65" s="340">
        <f t="shared" si="15"/>
        <v>9389</v>
      </c>
      <c r="K65" s="340">
        <f t="shared" si="16"/>
        <v>77337.08</v>
      </c>
      <c r="L65" s="340">
        <f t="shared" si="16"/>
        <v>74114.33</v>
      </c>
      <c r="M65" s="340">
        <f t="shared" si="16"/>
        <v>3222.75</v>
      </c>
      <c r="N65" s="340">
        <f t="shared" si="16"/>
        <v>198294</v>
      </c>
      <c r="O65" s="340">
        <f t="shared" si="16"/>
        <v>9582</v>
      </c>
      <c r="Q65" s="340">
        <f t="shared" si="18"/>
        <v>206278</v>
      </c>
      <c r="R65" s="340">
        <f t="shared" si="18"/>
        <v>191431</v>
      </c>
      <c r="S65" s="340">
        <f t="shared" si="18"/>
        <v>4329</v>
      </c>
      <c r="T65" s="340">
        <f t="shared" si="18"/>
        <v>10518</v>
      </c>
      <c r="U65" s="340">
        <f t="shared" si="18"/>
        <v>497152</v>
      </c>
      <c r="V65" s="340">
        <f t="shared" si="18"/>
        <v>55328</v>
      </c>
      <c r="W65" s="340">
        <f t="shared" si="19"/>
        <v>52147</v>
      </c>
      <c r="X65" s="340">
        <f t="shared" si="19"/>
        <v>3181</v>
      </c>
      <c r="Y65" s="340">
        <f t="shared" si="18"/>
        <v>0</v>
      </c>
      <c r="Z65" s="340"/>
      <c r="AB65" s="340">
        <f t="shared" si="23"/>
        <v>2582.9148020362595</v>
      </c>
      <c r="AC65" s="340">
        <f t="shared" si="24"/>
        <v>1343.2627414475214</v>
      </c>
      <c r="AD65" s="340">
        <f t="shared" si="25"/>
        <v>2507.1459549961169</v>
      </c>
      <c r="AE65" s="340">
        <f t="shared" si="26"/>
        <v>5774.1598831141728</v>
      </c>
    </row>
    <row r="66" spans="1:31" x14ac:dyDescent="0.2">
      <c r="C66" s="337"/>
    </row>
    <row r="68" spans="1:31" x14ac:dyDescent="0.2">
      <c r="A68" s="342" t="s">
        <v>293</v>
      </c>
    </row>
    <row r="69" spans="1:31" x14ac:dyDescent="0.2">
      <c r="A69" s="342" t="s">
        <v>278</v>
      </c>
    </row>
    <row r="70" spans="1:31" x14ac:dyDescent="0.2">
      <c r="A70" s="342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25AB-F014-4656-904C-CEA175D838A7}">
  <sheetPr>
    <tabColor theme="6" tint="-0.499984740745262"/>
  </sheetPr>
  <dimension ref="A1:AO111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 activeCell="AO40" sqref="AO40"/>
    </sheetView>
  </sheetViews>
  <sheetFormatPr defaultRowHeight="15.75" x14ac:dyDescent="0.2"/>
  <cols>
    <col min="1" max="1" width="87.42578125" style="71" bestFit="1" customWidth="1"/>
    <col min="2" max="3" width="2.140625" style="71" customWidth="1"/>
    <col min="4" max="4" width="12.42578125" style="71" bestFit="1" customWidth="1"/>
    <col min="5" max="6" width="13.42578125" style="71" bestFit="1" customWidth="1"/>
    <col min="7" max="10" width="14.85546875" style="71" bestFit="1" customWidth="1"/>
    <col min="11" max="11" width="5" style="71" customWidth="1"/>
    <col min="12" max="12" width="14.85546875" style="16" bestFit="1" customWidth="1"/>
    <col min="13" max="13" width="5" style="71" customWidth="1"/>
    <col min="14" max="14" width="13.42578125" style="71" bestFit="1" customWidth="1"/>
    <col min="15" max="15" width="13.85546875" style="71" bestFit="1" customWidth="1"/>
    <col min="16" max="18" width="13.42578125" style="71" bestFit="1" customWidth="1"/>
    <col min="19" max="21" width="12.85546875" style="71" bestFit="1" customWidth="1"/>
    <col min="22" max="28" width="13.42578125" style="71" bestFit="1" customWidth="1"/>
    <col min="29" max="30" width="13.42578125" style="71" customWidth="1"/>
    <col min="31" max="31" width="14.85546875" style="71" bestFit="1" customWidth="1"/>
    <col min="32" max="41" width="14.85546875" style="71" customWidth="1"/>
    <col min="42" max="270" width="9.140625" style="71"/>
    <col min="271" max="271" width="34.42578125" style="71" customWidth="1"/>
    <col min="272" max="272" width="8.42578125" style="71" customWidth="1"/>
    <col min="273" max="273" width="4.85546875" style="71" customWidth="1"/>
    <col min="274" max="274" width="11.28515625" style="71" customWidth="1"/>
    <col min="275" max="275" width="4.85546875" style="71" customWidth="1"/>
    <col min="276" max="276" width="8.42578125" style="71" customWidth="1"/>
    <col min="277" max="277" width="4.85546875" style="71" customWidth="1"/>
    <col min="278" max="278" width="11.5703125" style="71" customWidth="1"/>
    <col min="279" max="279" width="0" style="71" hidden="1" customWidth="1"/>
    <col min="280" max="280" width="5" style="71" customWidth="1"/>
    <col min="281" max="526" width="9.140625" style="71"/>
    <col min="527" max="527" width="34.42578125" style="71" customWidth="1"/>
    <col min="528" max="528" width="8.42578125" style="71" customWidth="1"/>
    <col min="529" max="529" width="4.85546875" style="71" customWidth="1"/>
    <col min="530" max="530" width="11.28515625" style="71" customWidth="1"/>
    <col min="531" max="531" width="4.85546875" style="71" customWidth="1"/>
    <col min="532" max="532" width="8.42578125" style="71" customWidth="1"/>
    <col min="533" max="533" width="4.85546875" style="71" customWidth="1"/>
    <col min="534" max="534" width="11.5703125" style="71" customWidth="1"/>
    <col min="535" max="535" width="0" style="71" hidden="1" customWidth="1"/>
    <col min="536" max="536" width="5" style="71" customWidth="1"/>
    <col min="537" max="782" width="9.140625" style="71"/>
    <col min="783" max="783" width="34.42578125" style="71" customWidth="1"/>
    <col min="784" max="784" width="8.42578125" style="71" customWidth="1"/>
    <col min="785" max="785" width="4.85546875" style="71" customWidth="1"/>
    <col min="786" max="786" width="11.28515625" style="71" customWidth="1"/>
    <col min="787" max="787" width="4.85546875" style="71" customWidth="1"/>
    <col min="788" max="788" width="8.42578125" style="71" customWidth="1"/>
    <col min="789" max="789" width="4.85546875" style="71" customWidth="1"/>
    <col min="790" max="790" width="11.5703125" style="71" customWidth="1"/>
    <col min="791" max="791" width="0" style="71" hidden="1" customWidth="1"/>
    <col min="792" max="792" width="5" style="71" customWidth="1"/>
    <col min="793" max="1038" width="9.140625" style="71"/>
    <col min="1039" max="1039" width="34.42578125" style="71" customWidth="1"/>
    <col min="1040" max="1040" width="8.42578125" style="71" customWidth="1"/>
    <col min="1041" max="1041" width="4.85546875" style="71" customWidth="1"/>
    <col min="1042" max="1042" width="11.28515625" style="71" customWidth="1"/>
    <col min="1043" max="1043" width="4.85546875" style="71" customWidth="1"/>
    <col min="1044" max="1044" width="8.42578125" style="71" customWidth="1"/>
    <col min="1045" max="1045" width="4.85546875" style="71" customWidth="1"/>
    <col min="1046" max="1046" width="11.5703125" style="71" customWidth="1"/>
    <col min="1047" max="1047" width="0" style="71" hidden="1" customWidth="1"/>
    <col min="1048" max="1048" width="5" style="71" customWidth="1"/>
    <col min="1049" max="1294" width="9.140625" style="71"/>
    <col min="1295" max="1295" width="34.42578125" style="71" customWidth="1"/>
    <col min="1296" max="1296" width="8.42578125" style="71" customWidth="1"/>
    <col min="1297" max="1297" width="4.85546875" style="71" customWidth="1"/>
    <col min="1298" max="1298" width="11.28515625" style="71" customWidth="1"/>
    <col min="1299" max="1299" width="4.85546875" style="71" customWidth="1"/>
    <col min="1300" max="1300" width="8.42578125" style="71" customWidth="1"/>
    <col min="1301" max="1301" width="4.85546875" style="71" customWidth="1"/>
    <col min="1302" max="1302" width="11.5703125" style="71" customWidth="1"/>
    <col min="1303" max="1303" width="0" style="71" hidden="1" customWidth="1"/>
    <col min="1304" max="1304" width="5" style="71" customWidth="1"/>
    <col min="1305" max="1550" width="9.140625" style="71"/>
    <col min="1551" max="1551" width="34.42578125" style="71" customWidth="1"/>
    <col min="1552" max="1552" width="8.42578125" style="71" customWidth="1"/>
    <col min="1553" max="1553" width="4.85546875" style="71" customWidth="1"/>
    <col min="1554" max="1554" width="11.28515625" style="71" customWidth="1"/>
    <col min="1555" max="1555" width="4.85546875" style="71" customWidth="1"/>
    <col min="1556" max="1556" width="8.42578125" style="71" customWidth="1"/>
    <col min="1557" max="1557" width="4.85546875" style="71" customWidth="1"/>
    <col min="1558" max="1558" width="11.5703125" style="71" customWidth="1"/>
    <col min="1559" max="1559" width="0" style="71" hidden="1" customWidth="1"/>
    <col min="1560" max="1560" width="5" style="71" customWidth="1"/>
    <col min="1561" max="1806" width="9.140625" style="71"/>
    <col min="1807" max="1807" width="34.42578125" style="71" customWidth="1"/>
    <col min="1808" max="1808" width="8.42578125" style="71" customWidth="1"/>
    <col min="1809" max="1809" width="4.85546875" style="71" customWidth="1"/>
    <col min="1810" max="1810" width="11.28515625" style="71" customWidth="1"/>
    <col min="1811" max="1811" width="4.85546875" style="71" customWidth="1"/>
    <col min="1812" max="1812" width="8.42578125" style="71" customWidth="1"/>
    <col min="1813" max="1813" width="4.85546875" style="71" customWidth="1"/>
    <col min="1814" max="1814" width="11.5703125" style="71" customWidth="1"/>
    <col min="1815" max="1815" width="0" style="71" hidden="1" customWidth="1"/>
    <col min="1816" max="1816" width="5" style="71" customWidth="1"/>
    <col min="1817" max="2062" width="9.140625" style="71"/>
    <col min="2063" max="2063" width="34.42578125" style="71" customWidth="1"/>
    <col min="2064" max="2064" width="8.42578125" style="71" customWidth="1"/>
    <col min="2065" max="2065" width="4.85546875" style="71" customWidth="1"/>
    <col min="2066" max="2066" width="11.28515625" style="71" customWidth="1"/>
    <col min="2067" max="2067" width="4.85546875" style="71" customWidth="1"/>
    <col min="2068" max="2068" width="8.42578125" style="71" customWidth="1"/>
    <col min="2069" max="2069" width="4.85546875" style="71" customWidth="1"/>
    <col min="2070" max="2070" width="11.5703125" style="71" customWidth="1"/>
    <col min="2071" max="2071" width="0" style="71" hidden="1" customWidth="1"/>
    <col min="2072" max="2072" width="5" style="71" customWidth="1"/>
    <col min="2073" max="2318" width="9.140625" style="71"/>
    <col min="2319" max="2319" width="34.42578125" style="71" customWidth="1"/>
    <col min="2320" max="2320" width="8.42578125" style="71" customWidth="1"/>
    <col min="2321" max="2321" width="4.85546875" style="71" customWidth="1"/>
    <col min="2322" max="2322" width="11.28515625" style="71" customWidth="1"/>
    <col min="2323" max="2323" width="4.85546875" style="71" customWidth="1"/>
    <col min="2324" max="2324" width="8.42578125" style="71" customWidth="1"/>
    <col min="2325" max="2325" width="4.85546875" style="71" customWidth="1"/>
    <col min="2326" max="2326" width="11.5703125" style="71" customWidth="1"/>
    <col min="2327" max="2327" width="0" style="71" hidden="1" customWidth="1"/>
    <col min="2328" max="2328" width="5" style="71" customWidth="1"/>
    <col min="2329" max="2574" width="9.140625" style="71"/>
    <col min="2575" max="2575" width="34.42578125" style="71" customWidth="1"/>
    <col min="2576" max="2576" width="8.42578125" style="71" customWidth="1"/>
    <col min="2577" max="2577" width="4.85546875" style="71" customWidth="1"/>
    <col min="2578" max="2578" width="11.28515625" style="71" customWidth="1"/>
    <col min="2579" max="2579" width="4.85546875" style="71" customWidth="1"/>
    <col min="2580" max="2580" width="8.42578125" style="71" customWidth="1"/>
    <col min="2581" max="2581" width="4.85546875" style="71" customWidth="1"/>
    <col min="2582" max="2582" width="11.5703125" style="71" customWidth="1"/>
    <col min="2583" max="2583" width="0" style="71" hidden="1" customWidth="1"/>
    <col min="2584" max="2584" width="5" style="71" customWidth="1"/>
    <col min="2585" max="2830" width="9.140625" style="71"/>
    <col min="2831" max="2831" width="34.42578125" style="71" customWidth="1"/>
    <col min="2832" max="2832" width="8.42578125" style="71" customWidth="1"/>
    <col min="2833" max="2833" width="4.85546875" style="71" customWidth="1"/>
    <col min="2834" max="2834" width="11.28515625" style="71" customWidth="1"/>
    <col min="2835" max="2835" width="4.85546875" style="71" customWidth="1"/>
    <col min="2836" max="2836" width="8.42578125" style="71" customWidth="1"/>
    <col min="2837" max="2837" width="4.85546875" style="71" customWidth="1"/>
    <col min="2838" max="2838" width="11.5703125" style="71" customWidth="1"/>
    <col min="2839" max="2839" width="0" style="71" hidden="1" customWidth="1"/>
    <col min="2840" max="2840" width="5" style="71" customWidth="1"/>
    <col min="2841" max="3086" width="9.140625" style="71"/>
    <col min="3087" max="3087" width="34.42578125" style="71" customWidth="1"/>
    <col min="3088" max="3088" width="8.42578125" style="71" customWidth="1"/>
    <col min="3089" max="3089" width="4.85546875" style="71" customWidth="1"/>
    <col min="3090" max="3090" width="11.28515625" style="71" customWidth="1"/>
    <col min="3091" max="3091" width="4.85546875" style="71" customWidth="1"/>
    <col min="3092" max="3092" width="8.42578125" style="71" customWidth="1"/>
    <col min="3093" max="3093" width="4.85546875" style="71" customWidth="1"/>
    <col min="3094" max="3094" width="11.5703125" style="71" customWidth="1"/>
    <col min="3095" max="3095" width="0" style="71" hidden="1" customWidth="1"/>
    <col min="3096" max="3096" width="5" style="71" customWidth="1"/>
    <col min="3097" max="3342" width="9.140625" style="71"/>
    <col min="3343" max="3343" width="34.42578125" style="71" customWidth="1"/>
    <col min="3344" max="3344" width="8.42578125" style="71" customWidth="1"/>
    <col min="3345" max="3345" width="4.85546875" style="71" customWidth="1"/>
    <col min="3346" max="3346" width="11.28515625" style="71" customWidth="1"/>
    <col min="3347" max="3347" width="4.85546875" style="71" customWidth="1"/>
    <col min="3348" max="3348" width="8.42578125" style="71" customWidth="1"/>
    <col min="3349" max="3349" width="4.85546875" style="71" customWidth="1"/>
    <col min="3350" max="3350" width="11.5703125" style="71" customWidth="1"/>
    <col min="3351" max="3351" width="0" style="71" hidden="1" customWidth="1"/>
    <col min="3352" max="3352" width="5" style="71" customWidth="1"/>
    <col min="3353" max="3598" width="9.140625" style="71"/>
    <col min="3599" max="3599" width="34.42578125" style="71" customWidth="1"/>
    <col min="3600" max="3600" width="8.42578125" style="71" customWidth="1"/>
    <col min="3601" max="3601" width="4.85546875" style="71" customWidth="1"/>
    <col min="3602" max="3602" width="11.28515625" style="71" customWidth="1"/>
    <col min="3603" max="3603" width="4.85546875" style="71" customWidth="1"/>
    <col min="3604" max="3604" width="8.42578125" style="71" customWidth="1"/>
    <col min="3605" max="3605" width="4.85546875" style="71" customWidth="1"/>
    <col min="3606" max="3606" width="11.5703125" style="71" customWidth="1"/>
    <col min="3607" max="3607" width="0" style="71" hidden="1" customWidth="1"/>
    <col min="3608" max="3608" width="5" style="71" customWidth="1"/>
    <col min="3609" max="3854" width="9.140625" style="71"/>
    <col min="3855" max="3855" width="34.42578125" style="71" customWidth="1"/>
    <col min="3856" max="3856" width="8.42578125" style="71" customWidth="1"/>
    <col min="3857" max="3857" width="4.85546875" style="71" customWidth="1"/>
    <col min="3858" max="3858" width="11.28515625" style="71" customWidth="1"/>
    <col min="3859" max="3859" width="4.85546875" style="71" customWidth="1"/>
    <col min="3860" max="3860" width="8.42578125" style="71" customWidth="1"/>
    <col min="3861" max="3861" width="4.85546875" style="71" customWidth="1"/>
    <col min="3862" max="3862" width="11.5703125" style="71" customWidth="1"/>
    <col min="3863" max="3863" width="0" style="71" hidden="1" customWidth="1"/>
    <col min="3864" max="3864" width="5" style="71" customWidth="1"/>
    <col min="3865" max="4110" width="9.140625" style="71"/>
    <col min="4111" max="4111" width="34.42578125" style="71" customWidth="1"/>
    <col min="4112" max="4112" width="8.42578125" style="71" customWidth="1"/>
    <col min="4113" max="4113" width="4.85546875" style="71" customWidth="1"/>
    <col min="4114" max="4114" width="11.28515625" style="71" customWidth="1"/>
    <col min="4115" max="4115" width="4.85546875" style="71" customWidth="1"/>
    <col min="4116" max="4116" width="8.42578125" style="71" customWidth="1"/>
    <col min="4117" max="4117" width="4.85546875" style="71" customWidth="1"/>
    <col min="4118" max="4118" width="11.5703125" style="71" customWidth="1"/>
    <col min="4119" max="4119" width="0" style="71" hidden="1" customWidth="1"/>
    <col min="4120" max="4120" width="5" style="71" customWidth="1"/>
    <col min="4121" max="4366" width="9.140625" style="71"/>
    <col min="4367" max="4367" width="34.42578125" style="71" customWidth="1"/>
    <col min="4368" max="4368" width="8.42578125" style="71" customWidth="1"/>
    <col min="4369" max="4369" width="4.85546875" style="71" customWidth="1"/>
    <col min="4370" max="4370" width="11.28515625" style="71" customWidth="1"/>
    <col min="4371" max="4371" width="4.85546875" style="71" customWidth="1"/>
    <col min="4372" max="4372" width="8.42578125" style="71" customWidth="1"/>
    <col min="4373" max="4373" width="4.85546875" style="71" customWidth="1"/>
    <col min="4374" max="4374" width="11.5703125" style="71" customWidth="1"/>
    <col min="4375" max="4375" width="0" style="71" hidden="1" customWidth="1"/>
    <col min="4376" max="4376" width="5" style="71" customWidth="1"/>
    <col min="4377" max="4622" width="9.140625" style="71"/>
    <col min="4623" max="4623" width="34.42578125" style="71" customWidth="1"/>
    <col min="4624" max="4624" width="8.42578125" style="71" customWidth="1"/>
    <col min="4625" max="4625" width="4.85546875" style="71" customWidth="1"/>
    <col min="4626" max="4626" width="11.28515625" style="71" customWidth="1"/>
    <col min="4627" max="4627" width="4.85546875" style="71" customWidth="1"/>
    <col min="4628" max="4628" width="8.42578125" style="71" customWidth="1"/>
    <col min="4629" max="4629" width="4.85546875" style="71" customWidth="1"/>
    <col min="4630" max="4630" width="11.5703125" style="71" customWidth="1"/>
    <col min="4631" max="4631" width="0" style="71" hidden="1" customWidth="1"/>
    <col min="4632" max="4632" width="5" style="71" customWidth="1"/>
    <col min="4633" max="4878" width="9.140625" style="71"/>
    <col min="4879" max="4879" width="34.42578125" style="71" customWidth="1"/>
    <col min="4880" max="4880" width="8.42578125" style="71" customWidth="1"/>
    <col min="4881" max="4881" width="4.85546875" style="71" customWidth="1"/>
    <col min="4882" max="4882" width="11.28515625" style="71" customWidth="1"/>
    <col min="4883" max="4883" width="4.85546875" style="71" customWidth="1"/>
    <col min="4884" max="4884" width="8.42578125" style="71" customWidth="1"/>
    <col min="4885" max="4885" width="4.85546875" style="71" customWidth="1"/>
    <col min="4886" max="4886" width="11.5703125" style="71" customWidth="1"/>
    <col min="4887" max="4887" width="0" style="71" hidden="1" customWidth="1"/>
    <col min="4888" max="4888" width="5" style="71" customWidth="1"/>
    <col min="4889" max="5134" width="9.140625" style="71"/>
    <col min="5135" max="5135" width="34.42578125" style="71" customWidth="1"/>
    <col min="5136" max="5136" width="8.42578125" style="71" customWidth="1"/>
    <col min="5137" max="5137" width="4.85546875" style="71" customWidth="1"/>
    <col min="5138" max="5138" width="11.28515625" style="71" customWidth="1"/>
    <col min="5139" max="5139" width="4.85546875" style="71" customWidth="1"/>
    <col min="5140" max="5140" width="8.42578125" style="71" customWidth="1"/>
    <col min="5141" max="5141" width="4.85546875" style="71" customWidth="1"/>
    <col min="5142" max="5142" width="11.5703125" style="71" customWidth="1"/>
    <col min="5143" max="5143" width="0" style="71" hidden="1" customWidth="1"/>
    <col min="5144" max="5144" width="5" style="71" customWidth="1"/>
    <col min="5145" max="5390" width="9.140625" style="71"/>
    <col min="5391" max="5391" width="34.42578125" style="71" customWidth="1"/>
    <col min="5392" max="5392" width="8.42578125" style="71" customWidth="1"/>
    <col min="5393" max="5393" width="4.85546875" style="71" customWidth="1"/>
    <col min="5394" max="5394" width="11.28515625" style="71" customWidth="1"/>
    <col min="5395" max="5395" width="4.85546875" style="71" customWidth="1"/>
    <col min="5396" max="5396" width="8.42578125" style="71" customWidth="1"/>
    <col min="5397" max="5397" width="4.85546875" style="71" customWidth="1"/>
    <col min="5398" max="5398" width="11.5703125" style="71" customWidth="1"/>
    <col min="5399" max="5399" width="0" style="71" hidden="1" customWidth="1"/>
    <col min="5400" max="5400" width="5" style="71" customWidth="1"/>
    <col min="5401" max="5646" width="9.140625" style="71"/>
    <col min="5647" max="5647" width="34.42578125" style="71" customWidth="1"/>
    <col min="5648" max="5648" width="8.42578125" style="71" customWidth="1"/>
    <col min="5649" max="5649" width="4.85546875" style="71" customWidth="1"/>
    <col min="5650" max="5650" width="11.28515625" style="71" customWidth="1"/>
    <col min="5651" max="5651" width="4.85546875" style="71" customWidth="1"/>
    <col min="5652" max="5652" width="8.42578125" style="71" customWidth="1"/>
    <col min="5653" max="5653" width="4.85546875" style="71" customWidth="1"/>
    <col min="5654" max="5654" width="11.5703125" style="71" customWidth="1"/>
    <col min="5655" max="5655" width="0" style="71" hidden="1" customWidth="1"/>
    <col min="5656" max="5656" width="5" style="71" customWidth="1"/>
    <col min="5657" max="5902" width="9.140625" style="71"/>
    <col min="5903" max="5903" width="34.42578125" style="71" customWidth="1"/>
    <col min="5904" max="5904" width="8.42578125" style="71" customWidth="1"/>
    <col min="5905" max="5905" width="4.85546875" style="71" customWidth="1"/>
    <col min="5906" max="5906" width="11.28515625" style="71" customWidth="1"/>
    <col min="5907" max="5907" width="4.85546875" style="71" customWidth="1"/>
    <col min="5908" max="5908" width="8.42578125" style="71" customWidth="1"/>
    <col min="5909" max="5909" width="4.85546875" style="71" customWidth="1"/>
    <col min="5910" max="5910" width="11.5703125" style="71" customWidth="1"/>
    <col min="5911" max="5911" width="0" style="71" hidden="1" customWidth="1"/>
    <col min="5912" max="5912" width="5" style="71" customWidth="1"/>
    <col min="5913" max="6158" width="9.140625" style="71"/>
    <col min="6159" max="6159" width="34.42578125" style="71" customWidth="1"/>
    <col min="6160" max="6160" width="8.42578125" style="71" customWidth="1"/>
    <col min="6161" max="6161" width="4.85546875" style="71" customWidth="1"/>
    <col min="6162" max="6162" width="11.28515625" style="71" customWidth="1"/>
    <col min="6163" max="6163" width="4.85546875" style="71" customWidth="1"/>
    <col min="6164" max="6164" width="8.42578125" style="71" customWidth="1"/>
    <col min="6165" max="6165" width="4.85546875" style="71" customWidth="1"/>
    <col min="6166" max="6166" width="11.5703125" style="71" customWidth="1"/>
    <col min="6167" max="6167" width="0" style="71" hidden="1" customWidth="1"/>
    <col min="6168" max="6168" width="5" style="71" customWidth="1"/>
    <col min="6169" max="6414" width="9.140625" style="71"/>
    <col min="6415" max="6415" width="34.42578125" style="71" customWidth="1"/>
    <col min="6416" max="6416" width="8.42578125" style="71" customWidth="1"/>
    <col min="6417" max="6417" width="4.85546875" style="71" customWidth="1"/>
    <col min="6418" max="6418" width="11.28515625" style="71" customWidth="1"/>
    <col min="6419" max="6419" width="4.85546875" style="71" customWidth="1"/>
    <col min="6420" max="6420" width="8.42578125" style="71" customWidth="1"/>
    <col min="6421" max="6421" width="4.85546875" style="71" customWidth="1"/>
    <col min="6422" max="6422" width="11.5703125" style="71" customWidth="1"/>
    <col min="6423" max="6423" width="0" style="71" hidden="1" customWidth="1"/>
    <col min="6424" max="6424" width="5" style="71" customWidth="1"/>
    <col min="6425" max="6670" width="9.140625" style="71"/>
    <col min="6671" max="6671" width="34.42578125" style="71" customWidth="1"/>
    <col min="6672" max="6672" width="8.42578125" style="71" customWidth="1"/>
    <col min="6673" max="6673" width="4.85546875" style="71" customWidth="1"/>
    <col min="6674" max="6674" width="11.28515625" style="71" customWidth="1"/>
    <col min="6675" max="6675" width="4.85546875" style="71" customWidth="1"/>
    <col min="6676" max="6676" width="8.42578125" style="71" customWidth="1"/>
    <col min="6677" max="6677" width="4.85546875" style="71" customWidth="1"/>
    <col min="6678" max="6678" width="11.5703125" style="71" customWidth="1"/>
    <col min="6679" max="6679" width="0" style="71" hidden="1" customWidth="1"/>
    <col min="6680" max="6680" width="5" style="71" customWidth="1"/>
    <col min="6681" max="6926" width="9.140625" style="71"/>
    <col min="6927" max="6927" width="34.42578125" style="71" customWidth="1"/>
    <col min="6928" max="6928" width="8.42578125" style="71" customWidth="1"/>
    <col min="6929" max="6929" width="4.85546875" style="71" customWidth="1"/>
    <col min="6930" max="6930" width="11.28515625" style="71" customWidth="1"/>
    <col min="6931" max="6931" width="4.85546875" style="71" customWidth="1"/>
    <col min="6932" max="6932" width="8.42578125" style="71" customWidth="1"/>
    <col min="6933" max="6933" width="4.85546875" style="71" customWidth="1"/>
    <col min="6934" max="6934" width="11.5703125" style="71" customWidth="1"/>
    <col min="6935" max="6935" width="0" style="71" hidden="1" customWidth="1"/>
    <col min="6936" max="6936" width="5" style="71" customWidth="1"/>
    <col min="6937" max="7182" width="9.140625" style="71"/>
    <col min="7183" max="7183" width="34.42578125" style="71" customWidth="1"/>
    <col min="7184" max="7184" width="8.42578125" style="71" customWidth="1"/>
    <col min="7185" max="7185" width="4.85546875" style="71" customWidth="1"/>
    <col min="7186" max="7186" width="11.28515625" style="71" customWidth="1"/>
    <col min="7187" max="7187" width="4.85546875" style="71" customWidth="1"/>
    <col min="7188" max="7188" width="8.42578125" style="71" customWidth="1"/>
    <col min="7189" max="7189" width="4.85546875" style="71" customWidth="1"/>
    <col min="7190" max="7190" width="11.5703125" style="71" customWidth="1"/>
    <col min="7191" max="7191" width="0" style="71" hidden="1" customWidth="1"/>
    <col min="7192" max="7192" width="5" style="71" customWidth="1"/>
    <col min="7193" max="7438" width="9.140625" style="71"/>
    <col min="7439" max="7439" width="34.42578125" style="71" customWidth="1"/>
    <col min="7440" max="7440" width="8.42578125" style="71" customWidth="1"/>
    <col min="7441" max="7441" width="4.85546875" style="71" customWidth="1"/>
    <col min="7442" max="7442" width="11.28515625" style="71" customWidth="1"/>
    <col min="7443" max="7443" width="4.85546875" style="71" customWidth="1"/>
    <col min="7444" max="7444" width="8.42578125" style="71" customWidth="1"/>
    <col min="7445" max="7445" width="4.85546875" style="71" customWidth="1"/>
    <col min="7446" max="7446" width="11.5703125" style="71" customWidth="1"/>
    <col min="7447" max="7447" width="0" style="71" hidden="1" customWidth="1"/>
    <col min="7448" max="7448" width="5" style="71" customWidth="1"/>
    <col min="7449" max="7694" width="9.140625" style="71"/>
    <col min="7695" max="7695" width="34.42578125" style="71" customWidth="1"/>
    <col min="7696" max="7696" width="8.42578125" style="71" customWidth="1"/>
    <col min="7697" max="7697" width="4.85546875" style="71" customWidth="1"/>
    <col min="7698" max="7698" width="11.28515625" style="71" customWidth="1"/>
    <col min="7699" max="7699" width="4.85546875" style="71" customWidth="1"/>
    <col min="7700" max="7700" width="8.42578125" style="71" customWidth="1"/>
    <col min="7701" max="7701" width="4.85546875" style="71" customWidth="1"/>
    <col min="7702" max="7702" width="11.5703125" style="71" customWidth="1"/>
    <col min="7703" max="7703" width="0" style="71" hidden="1" customWidth="1"/>
    <col min="7704" max="7704" width="5" style="71" customWidth="1"/>
    <col min="7705" max="7950" width="9.140625" style="71"/>
    <col min="7951" max="7951" width="34.42578125" style="71" customWidth="1"/>
    <col min="7952" max="7952" width="8.42578125" style="71" customWidth="1"/>
    <col min="7953" max="7953" width="4.85546875" style="71" customWidth="1"/>
    <col min="7954" max="7954" width="11.28515625" style="71" customWidth="1"/>
    <col min="7955" max="7955" width="4.85546875" style="71" customWidth="1"/>
    <col min="7956" max="7956" width="8.42578125" style="71" customWidth="1"/>
    <col min="7957" max="7957" width="4.85546875" style="71" customWidth="1"/>
    <col min="7958" max="7958" width="11.5703125" style="71" customWidth="1"/>
    <col min="7959" max="7959" width="0" style="71" hidden="1" customWidth="1"/>
    <col min="7960" max="7960" width="5" style="71" customWidth="1"/>
    <col min="7961" max="8206" width="9.140625" style="71"/>
    <col min="8207" max="8207" width="34.42578125" style="71" customWidth="1"/>
    <col min="8208" max="8208" width="8.42578125" style="71" customWidth="1"/>
    <col min="8209" max="8209" width="4.85546875" style="71" customWidth="1"/>
    <col min="8210" max="8210" width="11.28515625" style="71" customWidth="1"/>
    <col min="8211" max="8211" width="4.85546875" style="71" customWidth="1"/>
    <col min="8212" max="8212" width="8.42578125" style="71" customWidth="1"/>
    <col min="8213" max="8213" width="4.85546875" style="71" customWidth="1"/>
    <col min="8214" max="8214" width="11.5703125" style="71" customWidth="1"/>
    <col min="8215" max="8215" width="0" style="71" hidden="1" customWidth="1"/>
    <col min="8216" max="8216" width="5" style="71" customWidth="1"/>
    <col min="8217" max="8462" width="9.140625" style="71"/>
    <col min="8463" max="8463" width="34.42578125" style="71" customWidth="1"/>
    <col min="8464" max="8464" width="8.42578125" style="71" customWidth="1"/>
    <col min="8465" max="8465" width="4.85546875" style="71" customWidth="1"/>
    <col min="8466" max="8466" width="11.28515625" style="71" customWidth="1"/>
    <col min="8467" max="8467" width="4.85546875" style="71" customWidth="1"/>
    <col min="8468" max="8468" width="8.42578125" style="71" customWidth="1"/>
    <col min="8469" max="8469" width="4.85546875" style="71" customWidth="1"/>
    <col min="8470" max="8470" width="11.5703125" style="71" customWidth="1"/>
    <col min="8471" max="8471" width="0" style="71" hidden="1" customWidth="1"/>
    <col min="8472" max="8472" width="5" style="71" customWidth="1"/>
    <col min="8473" max="8718" width="9.140625" style="71"/>
    <col min="8719" max="8719" width="34.42578125" style="71" customWidth="1"/>
    <col min="8720" max="8720" width="8.42578125" style="71" customWidth="1"/>
    <col min="8721" max="8721" width="4.85546875" style="71" customWidth="1"/>
    <col min="8722" max="8722" width="11.28515625" style="71" customWidth="1"/>
    <col min="8723" max="8723" width="4.85546875" style="71" customWidth="1"/>
    <col min="8724" max="8724" width="8.42578125" style="71" customWidth="1"/>
    <col min="8725" max="8725" width="4.85546875" style="71" customWidth="1"/>
    <col min="8726" max="8726" width="11.5703125" style="71" customWidth="1"/>
    <col min="8727" max="8727" width="0" style="71" hidden="1" customWidth="1"/>
    <col min="8728" max="8728" width="5" style="71" customWidth="1"/>
    <col min="8729" max="8974" width="9.140625" style="71"/>
    <col min="8975" max="8975" width="34.42578125" style="71" customWidth="1"/>
    <col min="8976" max="8976" width="8.42578125" style="71" customWidth="1"/>
    <col min="8977" max="8977" width="4.85546875" style="71" customWidth="1"/>
    <col min="8978" max="8978" width="11.28515625" style="71" customWidth="1"/>
    <col min="8979" max="8979" width="4.85546875" style="71" customWidth="1"/>
    <col min="8980" max="8980" width="8.42578125" style="71" customWidth="1"/>
    <col min="8981" max="8981" width="4.85546875" style="71" customWidth="1"/>
    <col min="8982" max="8982" width="11.5703125" style="71" customWidth="1"/>
    <col min="8983" max="8983" width="0" style="71" hidden="1" customWidth="1"/>
    <col min="8984" max="8984" width="5" style="71" customWidth="1"/>
    <col min="8985" max="9230" width="9.140625" style="71"/>
    <col min="9231" max="9231" width="34.42578125" style="71" customWidth="1"/>
    <col min="9232" max="9232" width="8.42578125" style="71" customWidth="1"/>
    <col min="9233" max="9233" width="4.85546875" style="71" customWidth="1"/>
    <col min="9234" max="9234" width="11.28515625" style="71" customWidth="1"/>
    <col min="9235" max="9235" width="4.85546875" style="71" customWidth="1"/>
    <col min="9236" max="9236" width="8.42578125" style="71" customWidth="1"/>
    <col min="9237" max="9237" width="4.85546875" style="71" customWidth="1"/>
    <col min="9238" max="9238" width="11.5703125" style="71" customWidth="1"/>
    <col min="9239" max="9239" width="0" style="71" hidden="1" customWidth="1"/>
    <col min="9240" max="9240" width="5" style="71" customWidth="1"/>
    <col min="9241" max="9486" width="9.140625" style="71"/>
    <col min="9487" max="9487" width="34.42578125" style="71" customWidth="1"/>
    <col min="9488" max="9488" width="8.42578125" style="71" customWidth="1"/>
    <col min="9489" max="9489" width="4.85546875" style="71" customWidth="1"/>
    <col min="9490" max="9490" width="11.28515625" style="71" customWidth="1"/>
    <col min="9491" max="9491" width="4.85546875" style="71" customWidth="1"/>
    <col min="9492" max="9492" width="8.42578125" style="71" customWidth="1"/>
    <col min="9493" max="9493" width="4.85546875" style="71" customWidth="1"/>
    <col min="9494" max="9494" width="11.5703125" style="71" customWidth="1"/>
    <col min="9495" max="9495" width="0" style="71" hidden="1" customWidth="1"/>
    <col min="9496" max="9496" width="5" style="71" customWidth="1"/>
    <col min="9497" max="9742" width="9.140625" style="71"/>
    <col min="9743" max="9743" width="34.42578125" style="71" customWidth="1"/>
    <col min="9744" max="9744" width="8.42578125" style="71" customWidth="1"/>
    <col min="9745" max="9745" width="4.85546875" style="71" customWidth="1"/>
    <col min="9746" max="9746" width="11.28515625" style="71" customWidth="1"/>
    <col min="9747" max="9747" width="4.85546875" style="71" customWidth="1"/>
    <col min="9748" max="9748" width="8.42578125" style="71" customWidth="1"/>
    <col min="9749" max="9749" width="4.85546875" style="71" customWidth="1"/>
    <col min="9750" max="9750" width="11.5703125" style="71" customWidth="1"/>
    <col min="9751" max="9751" width="0" style="71" hidden="1" customWidth="1"/>
    <col min="9752" max="9752" width="5" style="71" customWidth="1"/>
    <col min="9753" max="9998" width="9.140625" style="71"/>
    <col min="9999" max="9999" width="34.42578125" style="71" customWidth="1"/>
    <col min="10000" max="10000" width="8.42578125" style="71" customWidth="1"/>
    <col min="10001" max="10001" width="4.85546875" style="71" customWidth="1"/>
    <col min="10002" max="10002" width="11.28515625" style="71" customWidth="1"/>
    <col min="10003" max="10003" width="4.85546875" style="71" customWidth="1"/>
    <col min="10004" max="10004" width="8.42578125" style="71" customWidth="1"/>
    <col min="10005" max="10005" width="4.85546875" style="71" customWidth="1"/>
    <col min="10006" max="10006" width="11.5703125" style="71" customWidth="1"/>
    <col min="10007" max="10007" width="0" style="71" hidden="1" customWidth="1"/>
    <col min="10008" max="10008" width="5" style="71" customWidth="1"/>
    <col min="10009" max="10254" width="9.140625" style="71"/>
    <col min="10255" max="10255" width="34.42578125" style="71" customWidth="1"/>
    <col min="10256" max="10256" width="8.42578125" style="71" customWidth="1"/>
    <col min="10257" max="10257" width="4.85546875" style="71" customWidth="1"/>
    <col min="10258" max="10258" width="11.28515625" style="71" customWidth="1"/>
    <col min="10259" max="10259" width="4.85546875" style="71" customWidth="1"/>
    <col min="10260" max="10260" width="8.42578125" style="71" customWidth="1"/>
    <col min="10261" max="10261" width="4.85546875" style="71" customWidth="1"/>
    <col min="10262" max="10262" width="11.5703125" style="71" customWidth="1"/>
    <col min="10263" max="10263" width="0" style="71" hidden="1" customWidth="1"/>
    <col min="10264" max="10264" width="5" style="71" customWidth="1"/>
    <col min="10265" max="10510" width="9.140625" style="71"/>
    <col min="10511" max="10511" width="34.42578125" style="71" customWidth="1"/>
    <col min="10512" max="10512" width="8.42578125" style="71" customWidth="1"/>
    <col min="10513" max="10513" width="4.85546875" style="71" customWidth="1"/>
    <col min="10514" max="10514" width="11.28515625" style="71" customWidth="1"/>
    <col min="10515" max="10515" width="4.85546875" style="71" customWidth="1"/>
    <col min="10516" max="10516" width="8.42578125" style="71" customWidth="1"/>
    <col min="10517" max="10517" width="4.85546875" style="71" customWidth="1"/>
    <col min="10518" max="10518" width="11.5703125" style="71" customWidth="1"/>
    <col min="10519" max="10519" width="0" style="71" hidden="1" customWidth="1"/>
    <col min="10520" max="10520" width="5" style="71" customWidth="1"/>
    <col min="10521" max="10766" width="9.140625" style="71"/>
    <col min="10767" max="10767" width="34.42578125" style="71" customWidth="1"/>
    <col min="10768" max="10768" width="8.42578125" style="71" customWidth="1"/>
    <col min="10769" max="10769" width="4.85546875" style="71" customWidth="1"/>
    <col min="10770" max="10770" width="11.28515625" style="71" customWidth="1"/>
    <col min="10771" max="10771" width="4.85546875" style="71" customWidth="1"/>
    <col min="10772" max="10772" width="8.42578125" style="71" customWidth="1"/>
    <col min="10773" max="10773" width="4.85546875" style="71" customWidth="1"/>
    <col min="10774" max="10774" width="11.5703125" style="71" customWidth="1"/>
    <col min="10775" max="10775" width="0" style="71" hidden="1" customWidth="1"/>
    <col min="10776" max="10776" width="5" style="71" customWidth="1"/>
    <col min="10777" max="11022" width="9.140625" style="71"/>
    <col min="11023" max="11023" width="34.42578125" style="71" customWidth="1"/>
    <col min="11024" max="11024" width="8.42578125" style="71" customWidth="1"/>
    <col min="11025" max="11025" width="4.85546875" style="71" customWidth="1"/>
    <col min="11026" max="11026" width="11.28515625" style="71" customWidth="1"/>
    <col min="11027" max="11027" width="4.85546875" style="71" customWidth="1"/>
    <col min="11028" max="11028" width="8.42578125" style="71" customWidth="1"/>
    <col min="11029" max="11029" width="4.85546875" style="71" customWidth="1"/>
    <col min="11030" max="11030" width="11.5703125" style="71" customWidth="1"/>
    <col min="11031" max="11031" width="0" style="71" hidden="1" customWidth="1"/>
    <col min="11032" max="11032" width="5" style="71" customWidth="1"/>
    <col min="11033" max="11278" width="9.140625" style="71"/>
    <col min="11279" max="11279" width="34.42578125" style="71" customWidth="1"/>
    <col min="11280" max="11280" width="8.42578125" style="71" customWidth="1"/>
    <col min="11281" max="11281" width="4.85546875" style="71" customWidth="1"/>
    <col min="11282" max="11282" width="11.28515625" style="71" customWidth="1"/>
    <col min="11283" max="11283" width="4.85546875" style="71" customWidth="1"/>
    <col min="11284" max="11284" width="8.42578125" style="71" customWidth="1"/>
    <col min="11285" max="11285" width="4.85546875" style="71" customWidth="1"/>
    <col min="11286" max="11286" width="11.5703125" style="71" customWidth="1"/>
    <col min="11287" max="11287" width="0" style="71" hidden="1" customWidth="1"/>
    <col min="11288" max="11288" width="5" style="71" customWidth="1"/>
    <col min="11289" max="11534" width="9.140625" style="71"/>
    <col min="11535" max="11535" width="34.42578125" style="71" customWidth="1"/>
    <col min="11536" max="11536" width="8.42578125" style="71" customWidth="1"/>
    <col min="11537" max="11537" width="4.85546875" style="71" customWidth="1"/>
    <col min="11538" max="11538" width="11.28515625" style="71" customWidth="1"/>
    <col min="11539" max="11539" width="4.85546875" style="71" customWidth="1"/>
    <col min="11540" max="11540" width="8.42578125" style="71" customWidth="1"/>
    <col min="11541" max="11541" width="4.85546875" style="71" customWidth="1"/>
    <col min="11542" max="11542" width="11.5703125" style="71" customWidth="1"/>
    <col min="11543" max="11543" width="0" style="71" hidden="1" customWidth="1"/>
    <col min="11544" max="11544" width="5" style="71" customWidth="1"/>
    <col min="11545" max="11790" width="9.140625" style="71"/>
    <col min="11791" max="11791" width="34.42578125" style="71" customWidth="1"/>
    <col min="11792" max="11792" width="8.42578125" style="71" customWidth="1"/>
    <col min="11793" max="11793" width="4.85546875" style="71" customWidth="1"/>
    <col min="11794" max="11794" width="11.28515625" style="71" customWidth="1"/>
    <col min="11795" max="11795" width="4.85546875" style="71" customWidth="1"/>
    <col min="11796" max="11796" width="8.42578125" style="71" customWidth="1"/>
    <col min="11797" max="11797" width="4.85546875" style="71" customWidth="1"/>
    <col min="11798" max="11798" width="11.5703125" style="71" customWidth="1"/>
    <col min="11799" max="11799" width="0" style="71" hidden="1" customWidth="1"/>
    <col min="11800" max="11800" width="5" style="71" customWidth="1"/>
    <col min="11801" max="12046" width="9.140625" style="71"/>
    <col min="12047" max="12047" width="34.42578125" style="71" customWidth="1"/>
    <col min="12048" max="12048" width="8.42578125" style="71" customWidth="1"/>
    <col min="12049" max="12049" width="4.85546875" style="71" customWidth="1"/>
    <col min="12050" max="12050" width="11.28515625" style="71" customWidth="1"/>
    <col min="12051" max="12051" width="4.85546875" style="71" customWidth="1"/>
    <col min="12052" max="12052" width="8.42578125" style="71" customWidth="1"/>
    <col min="12053" max="12053" width="4.85546875" style="71" customWidth="1"/>
    <col min="12054" max="12054" width="11.5703125" style="71" customWidth="1"/>
    <col min="12055" max="12055" width="0" style="71" hidden="1" customWidth="1"/>
    <col min="12056" max="12056" width="5" style="71" customWidth="1"/>
    <col min="12057" max="12302" width="9.140625" style="71"/>
    <col min="12303" max="12303" width="34.42578125" style="71" customWidth="1"/>
    <col min="12304" max="12304" width="8.42578125" style="71" customWidth="1"/>
    <col min="12305" max="12305" width="4.85546875" style="71" customWidth="1"/>
    <col min="12306" max="12306" width="11.28515625" style="71" customWidth="1"/>
    <col min="12307" max="12307" width="4.85546875" style="71" customWidth="1"/>
    <col min="12308" max="12308" width="8.42578125" style="71" customWidth="1"/>
    <col min="12309" max="12309" width="4.85546875" style="71" customWidth="1"/>
    <col min="12310" max="12310" width="11.5703125" style="71" customWidth="1"/>
    <col min="12311" max="12311" width="0" style="71" hidden="1" customWidth="1"/>
    <col min="12312" max="12312" width="5" style="71" customWidth="1"/>
    <col min="12313" max="12558" width="9.140625" style="71"/>
    <col min="12559" max="12559" width="34.42578125" style="71" customWidth="1"/>
    <col min="12560" max="12560" width="8.42578125" style="71" customWidth="1"/>
    <col min="12561" max="12561" width="4.85546875" style="71" customWidth="1"/>
    <col min="12562" max="12562" width="11.28515625" style="71" customWidth="1"/>
    <col min="12563" max="12563" width="4.85546875" style="71" customWidth="1"/>
    <col min="12564" max="12564" width="8.42578125" style="71" customWidth="1"/>
    <col min="12565" max="12565" width="4.85546875" style="71" customWidth="1"/>
    <col min="12566" max="12566" width="11.5703125" style="71" customWidth="1"/>
    <col min="12567" max="12567" width="0" style="71" hidden="1" customWidth="1"/>
    <col min="12568" max="12568" width="5" style="71" customWidth="1"/>
    <col min="12569" max="12814" width="9.140625" style="71"/>
    <col min="12815" max="12815" width="34.42578125" style="71" customWidth="1"/>
    <col min="12816" max="12816" width="8.42578125" style="71" customWidth="1"/>
    <col min="12817" max="12817" width="4.85546875" style="71" customWidth="1"/>
    <col min="12818" max="12818" width="11.28515625" style="71" customWidth="1"/>
    <col min="12819" max="12819" width="4.85546875" style="71" customWidth="1"/>
    <col min="12820" max="12820" width="8.42578125" style="71" customWidth="1"/>
    <col min="12821" max="12821" width="4.85546875" style="71" customWidth="1"/>
    <col min="12822" max="12822" width="11.5703125" style="71" customWidth="1"/>
    <col min="12823" max="12823" width="0" style="71" hidden="1" customWidth="1"/>
    <col min="12824" max="12824" width="5" style="71" customWidth="1"/>
    <col min="12825" max="13070" width="9.140625" style="71"/>
    <col min="13071" max="13071" width="34.42578125" style="71" customWidth="1"/>
    <col min="13072" max="13072" width="8.42578125" style="71" customWidth="1"/>
    <col min="13073" max="13073" width="4.85546875" style="71" customWidth="1"/>
    <col min="13074" max="13074" width="11.28515625" style="71" customWidth="1"/>
    <col min="13075" max="13075" width="4.85546875" style="71" customWidth="1"/>
    <col min="13076" max="13076" width="8.42578125" style="71" customWidth="1"/>
    <col min="13077" max="13077" width="4.85546875" style="71" customWidth="1"/>
    <col min="13078" max="13078" width="11.5703125" style="71" customWidth="1"/>
    <col min="13079" max="13079" width="0" style="71" hidden="1" customWidth="1"/>
    <col min="13080" max="13080" width="5" style="71" customWidth="1"/>
    <col min="13081" max="13326" width="9.140625" style="71"/>
    <col min="13327" max="13327" width="34.42578125" style="71" customWidth="1"/>
    <col min="13328" max="13328" width="8.42578125" style="71" customWidth="1"/>
    <col min="13329" max="13329" width="4.85546875" style="71" customWidth="1"/>
    <col min="13330" max="13330" width="11.28515625" style="71" customWidth="1"/>
    <col min="13331" max="13331" width="4.85546875" style="71" customWidth="1"/>
    <col min="13332" max="13332" width="8.42578125" style="71" customWidth="1"/>
    <col min="13333" max="13333" width="4.85546875" style="71" customWidth="1"/>
    <col min="13334" max="13334" width="11.5703125" style="71" customWidth="1"/>
    <col min="13335" max="13335" width="0" style="71" hidden="1" customWidth="1"/>
    <col min="13336" max="13336" width="5" style="71" customWidth="1"/>
    <col min="13337" max="13582" width="9.140625" style="71"/>
    <col min="13583" max="13583" width="34.42578125" style="71" customWidth="1"/>
    <col min="13584" max="13584" width="8.42578125" style="71" customWidth="1"/>
    <col min="13585" max="13585" width="4.85546875" style="71" customWidth="1"/>
    <col min="13586" max="13586" width="11.28515625" style="71" customWidth="1"/>
    <col min="13587" max="13587" width="4.85546875" style="71" customWidth="1"/>
    <col min="13588" max="13588" width="8.42578125" style="71" customWidth="1"/>
    <col min="13589" max="13589" width="4.85546875" style="71" customWidth="1"/>
    <col min="13590" max="13590" width="11.5703125" style="71" customWidth="1"/>
    <col min="13591" max="13591" width="0" style="71" hidden="1" customWidth="1"/>
    <col min="13592" max="13592" width="5" style="71" customWidth="1"/>
    <col min="13593" max="13838" width="9.140625" style="71"/>
    <col min="13839" max="13839" width="34.42578125" style="71" customWidth="1"/>
    <col min="13840" max="13840" width="8.42578125" style="71" customWidth="1"/>
    <col min="13841" max="13841" width="4.85546875" style="71" customWidth="1"/>
    <col min="13842" max="13842" width="11.28515625" style="71" customWidth="1"/>
    <col min="13843" max="13843" width="4.85546875" style="71" customWidth="1"/>
    <col min="13844" max="13844" width="8.42578125" style="71" customWidth="1"/>
    <col min="13845" max="13845" width="4.85546875" style="71" customWidth="1"/>
    <col min="13846" max="13846" width="11.5703125" style="71" customWidth="1"/>
    <col min="13847" max="13847" width="0" style="71" hidden="1" customWidth="1"/>
    <col min="13848" max="13848" width="5" style="71" customWidth="1"/>
    <col min="13849" max="14094" width="9.140625" style="71"/>
    <col min="14095" max="14095" width="34.42578125" style="71" customWidth="1"/>
    <col min="14096" max="14096" width="8.42578125" style="71" customWidth="1"/>
    <col min="14097" max="14097" width="4.85546875" style="71" customWidth="1"/>
    <col min="14098" max="14098" width="11.28515625" style="71" customWidth="1"/>
    <col min="14099" max="14099" width="4.85546875" style="71" customWidth="1"/>
    <col min="14100" max="14100" width="8.42578125" style="71" customWidth="1"/>
    <col min="14101" max="14101" width="4.85546875" style="71" customWidth="1"/>
    <col min="14102" max="14102" width="11.5703125" style="71" customWidth="1"/>
    <col min="14103" max="14103" width="0" style="71" hidden="1" customWidth="1"/>
    <col min="14104" max="14104" width="5" style="71" customWidth="1"/>
    <col min="14105" max="14350" width="9.140625" style="71"/>
    <col min="14351" max="14351" width="34.42578125" style="71" customWidth="1"/>
    <col min="14352" max="14352" width="8.42578125" style="71" customWidth="1"/>
    <col min="14353" max="14353" width="4.85546875" style="71" customWidth="1"/>
    <col min="14354" max="14354" width="11.28515625" style="71" customWidth="1"/>
    <col min="14355" max="14355" width="4.85546875" style="71" customWidth="1"/>
    <col min="14356" max="14356" width="8.42578125" style="71" customWidth="1"/>
    <col min="14357" max="14357" width="4.85546875" style="71" customWidth="1"/>
    <col min="14358" max="14358" width="11.5703125" style="71" customWidth="1"/>
    <col min="14359" max="14359" width="0" style="71" hidden="1" customWidth="1"/>
    <col min="14360" max="14360" width="5" style="71" customWidth="1"/>
    <col min="14361" max="14606" width="9.140625" style="71"/>
    <col min="14607" max="14607" width="34.42578125" style="71" customWidth="1"/>
    <col min="14608" max="14608" width="8.42578125" style="71" customWidth="1"/>
    <col min="14609" max="14609" width="4.85546875" style="71" customWidth="1"/>
    <col min="14610" max="14610" width="11.28515625" style="71" customWidth="1"/>
    <col min="14611" max="14611" width="4.85546875" style="71" customWidth="1"/>
    <col min="14612" max="14612" width="8.42578125" style="71" customWidth="1"/>
    <col min="14613" max="14613" width="4.85546875" style="71" customWidth="1"/>
    <col min="14614" max="14614" width="11.5703125" style="71" customWidth="1"/>
    <col min="14615" max="14615" width="0" style="71" hidden="1" customWidth="1"/>
    <col min="14616" max="14616" width="5" style="71" customWidth="1"/>
    <col min="14617" max="14862" width="9.140625" style="71"/>
    <col min="14863" max="14863" width="34.42578125" style="71" customWidth="1"/>
    <col min="14864" max="14864" width="8.42578125" style="71" customWidth="1"/>
    <col min="14865" max="14865" width="4.85546875" style="71" customWidth="1"/>
    <col min="14866" max="14866" width="11.28515625" style="71" customWidth="1"/>
    <col min="14867" max="14867" width="4.85546875" style="71" customWidth="1"/>
    <col min="14868" max="14868" width="8.42578125" style="71" customWidth="1"/>
    <col min="14869" max="14869" width="4.85546875" style="71" customWidth="1"/>
    <col min="14870" max="14870" width="11.5703125" style="71" customWidth="1"/>
    <col min="14871" max="14871" width="0" style="71" hidden="1" customWidth="1"/>
    <col min="14872" max="14872" width="5" style="71" customWidth="1"/>
    <col min="14873" max="15118" width="9.140625" style="71"/>
    <col min="15119" max="15119" width="34.42578125" style="71" customWidth="1"/>
    <col min="15120" max="15120" width="8.42578125" style="71" customWidth="1"/>
    <col min="15121" max="15121" width="4.85546875" style="71" customWidth="1"/>
    <col min="15122" max="15122" width="11.28515625" style="71" customWidth="1"/>
    <col min="15123" max="15123" width="4.85546875" style="71" customWidth="1"/>
    <col min="15124" max="15124" width="8.42578125" style="71" customWidth="1"/>
    <col min="15125" max="15125" width="4.85546875" style="71" customWidth="1"/>
    <col min="15126" max="15126" width="11.5703125" style="71" customWidth="1"/>
    <col min="15127" max="15127" width="0" style="71" hidden="1" customWidth="1"/>
    <col min="15128" max="15128" width="5" style="71" customWidth="1"/>
    <col min="15129" max="15374" width="9.140625" style="71"/>
    <col min="15375" max="15375" width="34.42578125" style="71" customWidth="1"/>
    <col min="15376" max="15376" width="8.42578125" style="71" customWidth="1"/>
    <col min="15377" max="15377" width="4.85546875" style="71" customWidth="1"/>
    <col min="15378" max="15378" width="11.28515625" style="71" customWidth="1"/>
    <col min="15379" max="15379" width="4.85546875" style="71" customWidth="1"/>
    <col min="15380" max="15380" width="8.42578125" style="71" customWidth="1"/>
    <col min="15381" max="15381" width="4.85546875" style="71" customWidth="1"/>
    <col min="15382" max="15382" width="11.5703125" style="71" customWidth="1"/>
    <col min="15383" max="15383" width="0" style="71" hidden="1" customWidth="1"/>
    <col min="15384" max="15384" width="5" style="71" customWidth="1"/>
    <col min="15385" max="15630" width="9.140625" style="71"/>
    <col min="15631" max="15631" width="34.42578125" style="71" customWidth="1"/>
    <col min="15632" max="15632" width="8.42578125" style="71" customWidth="1"/>
    <col min="15633" max="15633" width="4.85546875" style="71" customWidth="1"/>
    <col min="15634" max="15634" width="11.28515625" style="71" customWidth="1"/>
    <col min="15635" max="15635" width="4.85546875" style="71" customWidth="1"/>
    <col min="15636" max="15636" width="8.42578125" style="71" customWidth="1"/>
    <col min="15637" max="15637" width="4.85546875" style="71" customWidth="1"/>
    <col min="15638" max="15638" width="11.5703125" style="71" customWidth="1"/>
    <col min="15639" max="15639" width="0" style="71" hidden="1" customWidth="1"/>
    <col min="15640" max="15640" width="5" style="71" customWidth="1"/>
    <col min="15641" max="15886" width="9.140625" style="71"/>
    <col min="15887" max="15887" width="34.42578125" style="71" customWidth="1"/>
    <col min="15888" max="15888" width="8.42578125" style="71" customWidth="1"/>
    <col min="15889" max="15889" width="4.85546875" style="71" customWidth="1"/>
    <col min="15890" max="15890" width="11.28515625" style="71" customWidth="1"/>
    <col min="15891" max="15891" width="4.85546875" style="71" customWidth="1"/>
    <col min="15892" max="15892" width="8.42578125" style="71" customWidth="1"/>
    <col min="15893" max="15893" width="4.85546875" style="71" customWidth="1"/>
    <col min="15894" max="15894" width="11.5703125" style="71" customWidth="1"/>
    <col min="15895" max="15895" width="0" style="71" hidden="1" customWidth="1"/>
    <col min="15896" max="15896" width="5" style="71" customWidth="1"/>
    <col min="15897" max="16142" width="9.140625" style="71"/>
    <col min="16143" max="16143" width="34.42578125" style="71" customWidth="1"/>
    <col min="16144" max="16144" width="8.42578125" style="71" customWidth="1"/>
    <col min="16145" max="16145" width="4.85546875" style="71" customWidth="1"/>
    <col min="16146" max="16146" width="11.28515625" style="71" customWidth="1"/>
    <col min="16147" max="16147" width="4.85546875" style="71" customWidth="1"/>
    <col min="16148" max="16148" width="8.42578125" style="71" customWidth="1"/>
    <col min="16149" max="16149" width="4.85546875" style="71" customWidth="1"/>
    <col min="16150" max="16150" width="11.5703125" style="71" customWidth="1"/>
    <col min="16151" max="16151" width="0" style="71" hidden="1" customWidth="1"/>
    <col min="16152" max="16152" width="5" style="71" customWidth="1"/>
    <col min="16153" max="16384" width="9.140625" style="71"/>
  </cols>
  <sheetData>
    <row r="1" spans="1:41" s="16" customFormat="1" x14ac:dyDescent="0.2">
      <c r="B1" s="47"/>
      <c r="C1" s="47"/>
      <c r="K1" s="47"/>
      <c r="M1" s="47"/>
    </row>
    <row r="2" spans="1:41" s="16" customFormat="1" ht="26.25" x14ac:dyDescent="0.2">
      <c r="B2" s="42"/>
      <c r="C2" s="42"/>
      <c r="D2" s="42"/>
      <c r="E2" s="42"/>
      <c r="F2" s="42"/>
      <c r="G2" s="42"/>
      <c r="H2" s="42"/>
      <c r="I2" s="42"/>
      <c r="J2" s="42"/>
      <c r="K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spans="1:41" s="16" customFormat="1" ht="18.75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spans="1:41" ht="26.25" x14ac:dyDescent="0.2">
      <c r="A4" s="42" t="s">
        <v>4</v>
      </c>
      <c r="Q4" s="74"/>
      <c r="U4" s="74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 t="s">
        <v>5</v>
      </c>
      <c r="AM4" s="48" t="s">
        <v>5</v>
      </c>
      <c r="AN4" s="48" t="s">
        <v>5</v>
      </c>
      <c r="AO4" s="48" t="s">
        <v>5</v>
      </c>
    </row>
    <row r="5" spans="1:41" ht="18.75" x14ac:dyDescent="0.2">
      <c r="A5" s="44" t="s">
        <v>241</v>
      </c>
      <c r="D5" s="21"/>
      <c r="E5" s="21"/>
      <c r="F5" s="21"/>
      <c r="G5" s="21"/>
      <c r="H5" s="21"/>
      <c r="I5" s="21"/>
      <c r="J5" s="21"/>
      <c r="L5" s="48" t="s">
        <v>5</v>
      </c>
      <c r="N5" s="48">
        <v>2019</v>
      </c>
      <c r="O5" s="48">
        <v>2019</v>
      </c>
      <c r="P5" s="48">
        <v>2019</v>
      </c>
      <c r="Q5" s="48">
        <v>2019</v>
      </c>
      <c r="R5" s="48">
        <v>2020</v>
      </c>
      <c r="S5" s="48">
        <v>2020</v>
      </c>
      <c r="T5" s="48">
        <v>2020</v>
      </c>
      <c r="U5" s="48">
        <v>2020</v>
      </c>
      <c r="V5" s="48">
        <v>2021</v>
      </c>
      <c r="W5" s="48">
        <v>2021</v>
      </c>
      <c r="X5" s="48">
        <v>2021</v>
      </c>
      <c r="Y5" s="48">
        <v>2021</v>
      </c>
      <c r="Z5" s="48">
        <v>2022</v>
      </c>
      <c r="AA5" s="48">
        <v>2022</v>
      </c>
      <c r="AB5" s="48">
        <v>2022</v>
      </c>
      <c r="AC5" s="48">
        <v>2022</v>
      </c>
      <c r="AD5" s="48">
        <v>2023</v>
      </c>
      <c r="AE5" s="48">
        <v>2023</v>
      </c>
      <c r="AF5" s="48">
        <v>2023</v>
      </c>
      <c r="AG5" s="48">
        <v>2023</v>
      </c>
      <c r="AH5" s="48">
        <v>2024</v>
      </c>
      <c r="AI5" s="48">
        <v>2024</v>
      </c>
      <c r="AJ5" s="48">
        <v>2024</v>
      </c>
      <c r="AK5" s="48">
        <v>2024</v>
      </c>
      <c r="AL5" s="48">
        <v>2025</v>
      </c>
      <c r="AM5" s="48">
        <v>2025</v>
      </c>
      <c r="AN5" s="48">
        <v>2025</v>
      </c>
      <c r="AO5" s="48" t="s">
        <v>5</v>
      </c>
    </row>
    <row r="6" spans="1:41" s="1" customFormat="1" ht="5.25" customHeight="1" x14ac:dyDescent="0.2">
      <c r="B6" s="15"/>
      <c r="C6" s="15"/>
      <c r="D6" s="22"/>
      <c r="E6" s="22"/>
      <c r="F6" s="22"/>
      <c r="G6" s="22"/>
      <c r="H6" s="22"/>
      <c r="I6" s="22"/>
      <c r="J6" s="22"/>
      <c r="K6" s="15"/>
      <c r="L6" s="15"/>
      <c r="M6" s="15"/>
      <c r="N6" s="22"/>
      <c r="O6" s="22"/>
      <c r="P6" s="22"/>
      <c r="Q6" s="22"/>
      <c r="R6" s="15"/>
      <c r="S6" s="22"/>
      <c r="T6" s="22"/>
      <c r="U6" s="22"/>
      <c r="V6" s="15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x14ac:dyDescent="0.2">
      <c r="A7" s="22" t="s">
        <v>256</v>
      </c>
      <c r="B7" s="75"/>
      <c r="C7" s="75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75"/>
      <c r="L7" s="10" t="s">
        <v>5</v>
      </c>
      <c r="M7" s="75"/>
      <c r="N7" s="9" t="s">
        <v>8</v>
      </c>
      <c r="O7" s="9" t="s">
        <v>9</v>
      </c>
      <c r="P7" s="9" t="s">
        <v>10</v>
      </c>
      <c r="Q7" s="9" t="s">
        <v>11</v>
      </c>
      <c r="R7" s="9" t="s">
        <v>12</v>
      </c>
      <c r="S7" s="9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18</v>
      </c>
      <c r="Y7" s="9" t="s">
        <v>19</v>
      </c>
      <c r="Z7" s="9" t="s">
        <v>20</v>
      </c>
      <c r="AA7" s="9" t="s">
        <v>21</v>
      </c>
      <c r="AB7" s="9" t="s">
        <v>22</v>
      </c>
      <c r="AC7" s="9" t="s">
        <v>23</v>
      </c>
      <c r="AD7" s="9" t="s">
        <v>251</v>
      </c>
      <c r="AE7" s="9" t="s">
        <v>254</v>
      </c>
      <c r="AF7" s="9" t="s">
        <v>263</v>
      </c>
      <c r="AG7" s="9" t="s">
        <v>283</v>
      </c>
      <c r="AH7" s="9" t="s">
        <v>288</v>
      </c>
      <c r="AI7" s="9" t="s">
        <v>296</v>
      </c>
      <c r="AJ7" s="9" t="s">
        <v>298</v>
      </c>
      <c r="AK7" s="9" t="s">
        <v>300</v>
      </c>
      <c r="AL7" s="9" t="s">
        <v>304</v>
      </c>
      <c r="AM7" s="9" t="s">
        <v>312</v>
      </c>
      <c r="AN7" s="9" t="s">
        <v>318</v>
      </c>
      <c r="AO7" s="9" t="s">
        <v>320</v>
      </c>
    </row>
    <row r="8" spans="1:41" s="1" customFormat="1" ht="5.25" customHeight="1" x14ac:dyDescent="0.2">
      <c r="B8" s="15"/>
      <c r="C8" s="15"/>
      <c r="D8" s="22"/>
      <c r="E8" s="22"/>
      <c r="F8" s="22"/>
      <c r="G8" s="22"/>
      <c r="H8" s="22"/>
      <c r="I8" s="22"/>
      <c r="J8" s="22"/>
      <c r="K8" s="15"/>
      <c r="L8" s="15"/>
      <c r="M8" s="15"/>
      <c r="N8" s="22"/>
      <c r="O8" s="22"/>
      <c r="P8" s="22"/>
      <c r="Q8" s="22"/>
      <c r="R8" s="15"/>
      <c r="S8" s="22"/>
      <c r="T8" s="22"/>
      <c r="U8" s="22"/>
      <c r="V8" s="15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41" s="1" customFormat="1" ht="5.25" customHeight="1" x14ac:dyDescent="0.2">
      <c r="B9" s="15"/>
      <c r="C9" s="15"/>
      <c r="D9" s="22"/>
      <c r="E9" s="22"/>
      <c r="F9" s="22"/>
      <c r="G9" s="22"/>
      <c r="H9" s="22"/>
      <c r="I9" s="22"/>
      <c r="J9" s="22"/>
      <c r="K9" s="15"/>
      <c r="L9" s="15"/>
      <c r="M9" s="15"/>
      <c r="N9" s="22"/>
      <c r="O9" s="22"/>
      <c r="P9" s="22"/>
      <c r="Q9" s="22"/>
      <c r="R9" s="15"/>
      <c r="S9" s="22"/>
      <c r="T9" s="22"/>
      <c r="U9" s="22"/>
      <c r="V9" s="1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41" x14ac:dyDescent="0.2">
      <c r="A10" s="234" t="s">
        <v>257</v>
      </c>
      <c r="B10" s="76"/>
      <c r="C10" s="76"/>
      <c r="D10" s="262">
        <f>SUM(D11,D12)</f>
        <v>2.2793999999999998E-2</v>
      </c>
      <c r="E10" s="262">
        <f t="shared" ref="E10:H10" si="0">SUM(E11,E12)</f>
        <v>6.6050345400000002E-2</v>
      </c>
      <c r="F10" s="262">
        <f t="shared" si="0"/>
        <v>0.35399199999999997</v>
      </c>
      <c r="G10" s="262">
        <f t="shared" si="0"/>
        <v>0.63934697600000012</v>
      </c>
      <c r="H10" s="262">
        <f t="shared" si="0"/>
        <v>0.85333615419999997</v>
      </c>
      <c r="I10" s="262">
        <f>SUM(I11,I12)</f>
        <v>0.52671918699999998</v>
      </c>
      <c r="J10" s="262">
        <f>SUM(J11,J12)</f>
        <v>0.68878294500000004</v>
      </c>
      <c r="K10" s="76"/>
      <c r="L10" s="262">
        <f>SUM(L11,L12)</f>
        <v>0.73356294500000008</v>
      </c>
      <c r="M10" s="76"/>
      <c r="N10" s="262">
        <f t="shared" ref="N10:AO10" si="1">SUM(N11,N12)</f>
        <v>0</v>
      </c>
      <c r="O10" s="262">
        <f t="shared" si="1"/>
        <v>2.2793999999999998E-2</v>
      </c>
      <c r="P10" s="262">
        <f t="shared" si="1"/>
        <v>0</v>
      </c>
      <c r="Q10" s="262">
        <f t="shared" si="1"/>
        <v>0</v>
      </c>
      <c r="R10" s="262">
        <f t="shared" si="1"/>
        <v>0</v>
      </c>
      <c r="S10" s="262">
        <f t="shared" si="1"/>
        <v>1.07973454E-2</v>
      </c>
      <c r="T10" s="262">
        <f t="shared" si="1"/>
        <v>3.2153000000000001E-2</v>
      </c>
      <c r="U10" s="262">
        <f t="shared" si="1"/>
        <v>2.3099999999999999E-2</v>
      </c>
      <c r="V10" s="262">
        <f t="shared" si="1"/>
        <v>4.0738000000000003E-2</v>
      </c>
      <c r="W10" s="262">
        <f t="shared" si="1"/>
        <v>0.147282</v>
      </c>
      <c r="X10" s="262">
        <f t="shared" si="1"/>
        <v>6.4642000000000005E-2</v>
      </c>
      <c r="Y10" s="262">
        <f t="shared" si="1"/>
        <v>0.10133</v>
      </c>
      <c r="Z10" s="262">
        <f t="shared" si="1"/>
        <v>6.3469800000000007E-2</v>
      </c>
      <c r="AA10" s="262">
        <f t="shared" si="1"/>
        <v>0.3841619</v>
      </c>
      <c r="AB10" s="262">
        <f t="shared" si="1"/>
        <v>9.5683799999999999E-2</v>
      </c>
      <c r="AC10" s="262">
        <f t="shared" si="1"/>
        <v>9.6031476000000005E-2</v>
      </c>
      <c r="AD10" s="262">
        <f t="shared" si="1"/>
        <v>8.7216399E-2</v>
      </c>
      <c r="AE10" s="262">
        <f t="shared" si="1"/>
        <v>0.47025329999999999</v>
      </c>
      <c r="AF10" s="262">
        <f t="shared" si="1"/>
        <v>0.22905839780000001</v>
      </c>
      <c r="AG10" s="262">
        <f t="shared" si="1"/>
        <v>6.6808057399999995E-2</v>
      </c>
      <c r="AH10" s="262">
        <f t="shared" si="1"/>
        <v>9.6078550000000002E-3</v>
      </c>
      <c r="AI10" s="262">
        <f t="shared" si="1"/>
        <v>0.43359083199999998</v>
      </c>
      <c r="AJ10" s="262">
        <f t="shared" si="1"/>
        <v>4.2700000000000002E-2</v>
      </c>
      <c r="AK10" s="262">
        <f t="shared" si="1"/>
        <v>4.0820500000000003E-2</v>
      </c>
      <c r="AL10" s="262">
        <f t="shared" si="1"/>
        <v>0.19326102100000001</v>
      </c>
      <c r="AM10" s="262">
        <f t="shared" si="1"/>
        <v>0.38575730000000003</v>
      </c>
      <c r="AN10" s="262">
        <f t="shared" si="1"/>
        <v>0.10976462400000001</v>
      </c>
      <c r="AO10" s="262">
        <f t="shared" si="1"/>
        <v>4.478E-2</v>
      </c>
    </row>
    <row r="11" spans="1:41" x14ac:dyDescent="0.25">
      <c r="A11" s="142" t="s">
        <v>258</v>
      </c>
      <c r="B11" s="76"/>
      <c r="C11" s="76"/>
      <c r="D11" s="263">
        <f>SUMIFS($N11:$AP11,$N$5:$AP$5,D$7)</f>
        <v>2.2793999999999998E-2</v>
      </c>
      <c r="E11" s="263">
        <f t="shared" ref="E11:I11" si="2">SUMIFS($N11:$AP11,$N$5:$AP$5,E$7)</f>
        <v>5.0096345400000006E-2</v>
      </c>
      <c r="F11" s="263">
        <f t="shared" si="2"/>
        <v>0.35399199999999997</v>
      </c>
      <c r="G11" s="263">
        <f t="shared" si="2"/>
        <v>0.63934697600000012</v>
      </c>
      <c r="H11" s="263">
        <f t="shared" si="2"/>
        <v>0.85333615419999997</v>
      </c>
      <c r="I11" s="263">
        <f t="shared" si="2"/>
        <v>0.52671918699999998</v>
      </c>
      <c r="J11" s="263">
        <f>SUMIFS($N11:$AP11,$N$5:$AP$5,J$7)</f>
        <v>0.68878294500000004</v>
      </c>
      <c r="K11" s="76"/>
      <c r="L11" s="263">
        <f>SUMIFS($N11:$AP11,$N$4:$AP$4,L$5)</f>
        <v>0.73356294500000008</v>
      </c>
      <c r="M11" s="76"/>
      <c r="N11" s="264">
        <v>0</v>
      </c>
      <c r="O11" s="264">
        <v>2.2793999999999998E-2</v>
      </c>
      <c r="P11" s="264">
        <v>0</v>
      </c>
      <c r="Q11" s="264">
        <v>0</v>
      </c>
      <c r="R11" s="264">
        <v>0</v>
      </c>
      <c r="S11" s="264">
        <v>1.07973454E-2</v>
      </c>
      <c r="T11" s="264">
        <v>1.6199000000000002E-2</v>
      </c>
      <c r="U11" s="264">
        <v>2.3099999999999999E-2</v>
      </c>
      <c r="V11" s="264">
        <v>4.0738000000000003E-2</v>
      </c>
      <c r="W11" s="264">
        <f>0.050658+0.096624</f>
        <v>0.147282</v>
      </c>
      <c r="X11" s="264">
        <v>6.4642000000000005E-2</v>
      </c>
      <c r="Y11" s="264">
        <v>0.10133</v>
      </c>
      <c r="Z11" s="264">
        <v>6.3469800000000007E-2</v>
      </c>
      <c r="AA11" s="264">
        <f>0.0996056+0.2845563</f>
        <v>0.3841619</v>
      </c>
      <c r="AB11" s="264">
        <v>9.5683799999999999E-2</v>
      </c>
      <c r="AC11" s="264">
        <v>9.6031476000000005E-2</v>
      </c>
      <c r="AD11" s="264">
        <v>8.7216399E-2</v>
      </c>
      <c r="AE11" s="264">
        <v>0.47025329999999999</v>
      </c>
      <c r="AF11" s="264">
        <v>0.22905839780000001</v>
      </c>
      <c r="AG11" s="264">
        <v>6.6808057399999995E-2</v>
      </c>
      <c r="AH11" s="264">
        <v>9.6078550000000002E-3</v>
      </c>
      <c r="AI11" s="264">
        <v>0.43359083199999998</v>
      </c>
      <c r="AJ11" s="264">
        <v>4.2700000000000002E-2</v>
      </c>
      <c r="AK11" s="264">
        <v>4.0820500000000003E-2</v>
      </c>
      <c r="AL11" s="264">
        <v>0.19326102100000001</v>
      </c>
      <c r="AM11" s="264">
        <v>0.38575730000000003</v>
      </c>
      <c r="AN11" s="264">
        <v>0.10976462400000001</v>
      </c>
      <c r="AO11" s="264">
        <v>4.478E-2</v>
      </c>
    </row>
    <row r="12" spans="1:41" ht="15.75" customHeight="1" x14ac:dyDescent="0.25">
      <c r="A12" s="142" t="s">
        <v>259</v>
      </c>
      <c r="B12" s="76"/>
      <c r="C12" s="76"/>
      <c r="D12" s="263">
        <f t="shared" ref="D12" si="3">SUMIFS($N12:$AB12,$N$5:$AB$5,D$7)</f>
        <v>0</v>
      </c>
      <c r="E12" s="263">
        <f t="shared" ref="E12:J12" si="4">SUMIFS($N12:$AB12,$N$5:$AB$5,E$7)</f>
        <v>1.5953999999999999E-2</v>
      </c>
      <c r="F12" s="263">
        <f t="shared" si="4"/>
        <v>0</v>
      </c>
      <c r="G12" s="263">
        <f t="shared" si="4"/>
        <v>0</v>
      </c>
      <c r="H12" s="263">
        <f t="shared" si="4"/>
        <v>0</v>
      </c>
      <c r="I12" s="263">
        <f t="shared" si="4"/>
        <v>0</v>
      </c>
      <c r="J12" s="263">
        <f t="shared" si="4"/>
        <v>0</v>
      </c>
      <c r="K12" s="76"/>
      <c r="L12" s="263">
        <f>SUMIFS($N12:$AG12,$N$4:$AG$4,L$5)</f>
        <v>0</v>
      </c>
      <c r="M12" s="76"/>
      <c r="N12" s="264">
        <v>0</v>
      </c>
      <c r="O12" s="264">
        <v>0</v>
      </c>
      <c r="P12" s="264">
        <v>0</v>
      </c>
      <c r="Q12" s="264">
        <v>0</v>
      </c>
      <c r="R12" s="264">
        <v>0</v>
      </c>
      <c r="S12" s="264">
        <v>0</v>
      </c>
      <c r="T12" s="264">
        <v>1.5953999999999999E-2</v>
      </c>
      <c r="U12" s="264">
        <v>0</v>
      </c>
      <c r="V12" s="264">
        <v>0</v>
      </c>
      <c r="W12" s="264">
        <v>0</v>
      </c>
      <c r="X12" s="264">
        <v>0</v>
      </c>
      <c r="Y12" s="264">
        <v>0</v>
      </c>
      <c r="Z12" s="264">
        <v>0</v>
      </c>
      <c r="AA12" s="264">
        <v>0</v>
      </c>
      <c r="AB12" s="264">
        <v>0</v>
      </c>
      <c r="AC12" s="264">
        <v>0</v>
      </c>
      <c r="AD12" s="264">
        <v>0</v>
      </c>
      <c r="AE12" s="264">
        <v>0</v>
      </c>
      <c r="AF12" s="264">
        <v>0</v>
      </c>
      <c r="AG12" s="264">
        <v>0</v>
      </c>
      <c r="AH12" s="264">
        <v>0</v>
      </c>
      <c r="AI12" s="264">
        <v>0</v>
      </c>
      <c r="AJ12" s="264">
        <v>0</v>
      </c>
      <c r="AK12" s="264">
        <v>0</v>
      </c>
      <c r="AL12" s="264">
        <v>0</v>
      </c>
      <c r="AM12" s="264">
        <v>0</v>
      </c>
      <c r="AN12" s="264">
        <v>0</v>
      </c>
      <c r="AO12" s="264">
        <v>0</v>
      </c>
    </row>
    <row r="13" spans="1:41" x14ac:dyDescent="0.2">
      <c r="A13" s="142"/>
      <c r="B13" s="76"/>
      <c r="C13" s="76"/>
      <c r="D13" s="178"/>
      <c r="E13" s="178"/>
      <c r="F13" s="178"/>
      <c r="G13" s="178"/>
      <c r="H13" s="178"/>
      <c r="I13" s="178"/>
      <c r="J13" s="178"/>
      <c r="K13" s="76"/>
      <c r="L13" s="51"/>
      <c r="M13" s="76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</row>
    <row r="14" spans="1:41" ht="15.75" customHeight="1" x14ac:dyDescent="0.2">
      <c r="A14" s="145" t="s">
        <v>260</v>
      </c>
      <c r="B14" s="76"/>
      <c r="C14" s="76"/>
      <c r="D14" s="177">
        <f>SUMIFS($N14:$AP14,$N$5:$AP$5,D$7)</f>
        <v>3746074.97</v>
      </c>
      <c r="E14" s="177">
        <f t="shared" ref="E14:I14" si="5">SUMIFS($N14:$AP14,$N$5:$AP$5,E$7)</f>
        <v>15988580.390000001</v>
      </c>
      <c r="F14" s="177">
        <f t="shared" si="5"/>
        <v>89933184.919999987</v>
      </c>
      <c r="G14" s="177">
        <f t="shared" si="5"/>
        <v>158786269.66</v>
      </c>
      <c r="H14" s="177">
        <f t="shared" si="5"/>
        <v>205733898.59</v>
      </c>
      <c r="I14" s="177">
        <f t="shared" si="5"/>
        <v>126043100.02</v>
      </c>
      <c r="J14" s="177">
        <f>SUMIFS($N14:$AP14,$N$5:$AP$5,J$7)</f>
        <v>159472766.90000001</v>
      </c>
      <c r="K14" s="261"/>
      <c r="L14" s="177">
        <f>SUMIFS($N14:$AP14,$N$4:$AP$4,L$5)</f>
        <v>169795711.90000001</v>
      </c>
      <c r="M14" s="76"/>
      <c r="N14" s="260">
        <v>0</v>
      </c>
      <c r="O14" s="260">
        <v>3746074.97</v>
      </c>
      <c r="P14" s="260">
        <v>0</v>
      </c>
      <c r="Q14" s="260">
        <v>0</v>
      </c>
      <c r="R14" s="260">
        <v>0</v>
      </c>
      <c r="S14" s="260">
        <v>1774480.39</v>
      </c>
      <c r="T14" s="260">
        <f>4218000+4120100</f>
        <v>8338100</v>
      </c>
      <c r="U14" s="260">
        <v>5876000</v>
      </c>
      <c r="V14" s="260">
        <v>10361374.33</v>
      </c>
      <c r="W14" s="260">
        <f>12884624.76+24575737.7</f>
        <v>37460362.460000001</v>
      </c>
      <c r="X14" s="260">
        <v>16441359.199999999</v>
      </c>
      <c r="Y14" s="260">
        <v>25670088.93</v>
      </c>
      <c r="Z14" s="260">
        <v>15891743.24</v>
      </c>
      <c r="AA14" s="260">
        <f>24813454.89+70887816.13</f>
        <v>95701271.019999996</v>
      </c>
      <c r="AB14" s="260">
        <v>23625496.77</v>
      </c>
      <c r="AC14" s="260">
        <v>23567758.629999999</v>
      </c>
      <c r="AD14" s="260">
        <v>21196691.59</v>
      </c>
      <c r="AE14" s="260">
        <v>113579579</v>
      </c>
      <c r="AF14" s="260">
        <v>54935057</v>
      </c>
      <c r="AG14" s="260">
        <v>16022571</v>
      </c>
      <c r="AH14" s="260">
        <v>2304251.02</v>
      </c>
      <c r="AI14" s="260">
        <v>103959337</v>
      </c>
      <c r="AJ14" s="260">
        <v>10196409</v>
      </c>
      <c r="AK14" s="260">
        <v>9583103</v>
      </c>
      <c r="AL14" s="260">
        <v>44777326</v>
      </c>
      <c r="AM14" s="260">
        <f>74878118.9+14499352</f>
        <v>89377470.900000006</v>
      </c>
      <c r="AN14" s="260">
        <v>25317970</v>
      </c>
      <c r="AO14" s="260">
        <v>10322945</v>
      </c>
    </row>
    <row r="15" spans="1:41" x14ac:dyDescent="0.2">
      <c r="A15" s="142"/>
      <c r="B15" s="76"/>
      <c r="C15" s="76"/>
      <c r="D15" s="178"/>
      <c r="E15" s="178"/>
      <c r="F15" s="178"/>
      <c r="G15" s="178"/>
      <c r="H15" s="178"/>
      <c r="I15" s="178"/>
      <c r="J15" s="178"/>
      <c r="K15" s="76"/>
      <c r="L15" s="229"/>
      <c r="M15" s="76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</row>
    <row r="16" spans="1:41" x14ac:dyDescent="0.2">
      <c r="A16" s="142"/>
      <c r="B16" s="76"/>
      <c r="C16" s="76"/>
      <c r="D16" s="178"/>
      <c r="E16" s="178"/>
      <c r="F16" s="178"/>
      <c r="G16" s="178"/>
      <c r="H16" s="178"/>
      <c r="I16" s="178"/>
      <c r="J16" s="178"/>
      <c r="K16" s="76"/>
      <c r="L16" s="51"/>
      <c r="M16" s="76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</row>
    <row r="17" spans="1:41" x14ac:dyDescent="0.2">
      <c r="A17" s="142"/>
      <c r="B17" s="76"/>
      <c r="C17" s="76"/>
      <c r="D17" s="178"/>
      <c r="E17" s="178"/>
      <c r="F17" s="178"/>
      <c r="G17" s="178"/>
      <c r="H17" s="178"/>
      <c r="I17" s="178"/>
      <c r="J17" s="178"/>
      <c r="K17" s="76"/>
      <c r="L17" s="229"/>
      <c r="M17" s="76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</row>
    <row r="18" spans="1:41" x14ac:dyDescent="0.2">
      <c r="A18" s="142"/>
      <c r="B18" s="76"/>
      <c r="C18" s="76"/>
      <c r="D18" s="178"/>
      <c r="E18" s="178"/>
      <c r="F18" s="178"/>
      <c r="G18" s="178"/>
      <c r="H18" s="178"/>
      <c r="I18" s="178"/>
      <c r="J18" s="178"/>
      <c r="K18" s="76"/>
      <c r="M18" s="76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</row>
    <row r="19" spans="1:41" x14ac:dyDescent="0.2">
      <c r="A19" s="142"/>
      <c r="B19" s="76"/>
      <c r="C19" s="76"/>
      <c r="D19" s="178"/>
      <c r="E19" s="178"/>
      <c r="F19" s="178"/>
      <c r="G19" s="178"/>
      <c r="H19" s="178"/>
      <c r="I19" s="178"/>
      <c r="J19" s="178"/>
      <c r="K19" s="76"/>
      <c r="L19" s="64"/>
      <c r="M19" s="76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</row>
    <row r="20" spans="1:41" x14ac:dyDescent="0.2">
      <c r="A20" s="142"/>
      <c r="B20" s="76"/>
      <c r="C20" s="76"/>
      <c r="D20" s="178"/>
      <c r="E20" s="178"/>
      <c r="F20" s="178"/>
      <c r="G20" s="178"/>
      <c r="H20" s="178"/>
      <c r="I20" s="178"/>
      <c r="J20" s="178"/>
      <c r="K20" s="76"/>
      <c r="L20" s="229"/>
      <c r="M20" s="76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</row>
    <row r="21" spans="1:41" x14ac:dyDescent="0.2">
      <c r="A21" s="142"/>
      <c r="B21" s="76"/>
      <c r="C21" s="76"/>
      <c r="D21" s="178"/>
      <c r="E21" s="178"/>
      <c r="F21" s="178"/>
      <c r="G21" s="178"/>
      <c r="H21" s="178"/>
      <c r="I21" s="178"/>
      <c r="J21" s="178"/>
      <c r="K21" s="76"/>
      <c r="M21" s="76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</row>
    <row r="22" spans="1:41" x14ac:dyDescent="0.2">
      <c r="A22" s="142"/>
      <c r="B22" s="76"/>
      <c r="C22" s="76"/>
      <c r="D22" s="178"/>
      <c r="E22" s="178"/>
      <c r="F22" s="178"/>
      <c r="G22" s="178"/>
      <c r="H22" s="178"/>
      <c r="I22" s="178"/>
      <c r="J22" s="178"/>
      <c r="K22" s="76"/>
      <c r="L22" s="64"/>
      <c r="M22" s="76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</row>
    <row r="23" spans="1:41" x14ac:dyDescent="0.2">
      <c r="A23" s="142"/>
      <c r="B23" s="76"/>
      <c r="C23" s="76"/>
      <c r="D23" s="178"/>
      <c r="E23" s="178"/>
      <c r="F23" s="178"/>
      <c r="G23" s="178"/>
      <c r="H23" s="178"/>
      <c r="I23" s="178"/>
      <c r="J23" s="178"/>
      <c r="K23" s="76"/>
      <c r="L23" s="229"/>
      <c r="M23" s="76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</row>
    <row r="24" spans="1:41" x14ac:dyDescent="0.2">
      <c r="A24" s="5"/>
      <c r="B24" s="76"/>
      <c r="C24" s="76"/>
      <c r="D24" s="178"/>
      <c r="E24" s="178"/>
      <c r="F24" s="178"/>
      <c r="G24" s="178"/>
      <c r="H24" s="178"/>
      <c r="I24" s="178"/>
      <c r="J24" s="178"/>
      <c r="K24" s="76"/>
      <c r="L24" s="51"/>
      <c r="M24" s="76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</row>
    <row r="25" spans="1:41" x14ac:dyDescent="0.2">
      <c r="A25" s="79"/>
      <c r="B25" s="82"/>
      <c r="C25" s="82"/>
      <c r="D25" s="81"/>
      <c r="E25" s="81"/>
      <c r="F25" s="81"/>
      <c r="G25" s="81"/>
      <c r="H25" s="81"/>
      <c r="I25" s="81"/>
      <c r="J25" s="81"/>
      <c r="K25" s="82"/>
      <c r="L25" s="229"/>
      <c r="M25" s="82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</row>
    <row r="26" spans="1:41" hidden="1" x14ac:dyDescent="0.2">
      <c r="A26" s="79"/>
      <c r="B26" s="83"/>
      <c r="C26" s="83"/>
      <c r="D26" s="84"/>
      <c r="E26" s="84"/>
      <c r="F26" s="84"/>
      <c r="G26" s="84"/>
      <c r="H26" s="84"/>
      <c r="I26" s="84"/>
      <c r="J26" s="84"/>
      <c r="K26" s="83"/>
      <c r="L26" s="51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</row>
    <row r="27" spans="1:41" hidden="1" x14ac:dyDescent="0.2">
      <c r="A27" s="79"/>
      <c r="B27" s="83"/>
      <c r="C27" s="83"/>
      <c r="D27" s="84"/>
      <c r="E27" s="84"/>
      <c r="F27" s="84"/>
      <c r="G27" s="84"/>
      <c r="H27" s="84"/>
      <c r="I27" s="84"/>
      <c r="J27" s="84"/>
      <c r="K27" s="83"/>
      <c r="L27" s="229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</row>
    <row r="28" spans="1:41" hidden="1" x14ac:dyDescent="0.2">
      <c r="A28" s="79"/>
      <c r="B28" s="83"/>
      <c r="C28" s="83"/>
      <c r="D28" s="85"/>
      <c r="E28" s="85"/>
      <c r="F28" s="85"/>
      <c r="G28" s="85"/>
      <c r="H28" s="85"/>
      <c r="I28" s="85"/>
      <c r="J28" s="85"/>
      <c r="K28" s="83"/>
      <c r="L28" s="51"/>
      <c r="M28" s="83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</row>
    <row r="29" spans="1:41" hidden="1" x14ac:dyDescent="0.2">
      <c r="A29" s="79"/>
      <c r="B29" s="83"/>
      <c r="C29" s="83"/>
      <c r="D29" s="84"/>
      <c r="E29" s="84"/>
      <c r="F29" s="84"/>
      <c r="G29" s="84"/>
      <c r="H29" s="84"/>
      <c r="I29" s="84"/>
      <c r="J29" s="84"/>
      <c r="K29" s="83"/>
      <c r="L29" s="229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</row>
    <row r="30" spans="1:41" hidden="1" x14ac:dyDescent="0.2">
      <c r="A30" s="79"/>
      <c r="B30" s="83"/>
      <c r="C30" s="83"/>
      <c r="D30" s="85"/>
      <c r="E30" s="85"/>
      <c r="F30" s="85"/>
      <c r="G30" s="85"/>
      <c r="H30" s="85"/>
      <c r="I30" s="85"/>
      <c r="J30" s="85"/>
      <c r="K30" s="83"/>
      <c r="L30" s="51"/>
      <c r="M30" s="83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</row>
    <row r="31" spans="1:41" hidden="1" x14ac:dyDescent="0.2">
      <c r="A31" s="79"/>
      <c r="B31" s="83"/>
      <c r="C31" s="83"/>
      <c r="D31" s="84"/>
      <c r="E31" s="84"/>
      <c r="F31" s="84"/>
      <c r="G31" s="84"/>
      <c r="H31" s="84"/>
      <c r="I31" s="84"/>
      <c r="J31" s="84"/>
      <c r="K31" s="83"/>
      <c r="L31" s="229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</row>
    <row r="32" spans="1:41" hidden="1" x14ac:dyDescent="0.2">
      <c r="A32" s="86"/>
      <c r="B32" s="83"/>
      <c r="C32" s="83"/>
      <c r="D32" s="84"/>
      <c r="E32" s="84"/>
      <c r="F32" s="84"/>
      <c r="G32" s="84"/>
      <c r="H32" s="84"/>
      <c r="I32" s="84"/>
      <c r="J32" s="84"/>
      <c r="K32" s="83"/>
      <c r="L32" s="51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</row>
    <row r="33" spans="1:41" hidden="1" x14ac:dyDescent="0.2">
      <c r="A33" s="86"/>
      <c r="B33" s="83"/>
      <c r="C33" s="83"/>
      <c r="D33" s="87"/>
      <c r="E33" s="87"/>
      <c r="F33" s="87"/>
      <c r="G33" s="87"/>
      <c r="H33" s="87"/>
      <c r="I33" s="87"/>
      <c r="J33" s="87"/>
      <c r="K33" s="83"/>
      <c r="L33" s="229"/>
      <c r="M33" s="83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</row>
    <row r="34" spans="1:41" hidden="1" x14ac:dyDescent="0.2">
      <c r="A34" s="86"/>
      <c r="B34" s="83"/>
      <c r="C34" s="83"/>
      <c r="D34" s="85"/>
      <c r="E34" s="85"/>
      <c r="F34" s="85"/>
      <c r="G34" s="85"/>
      <c r="H34" s="85"/>
      <c r="I34" s="85"/>
      <c r="J34" s="85"/>
      <c r="K34" s="83"/>
      <c r="M34" s="83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</row>
    <row r="35" spans="1:41" hidden="1" x14ac:dyDescent="0.2">
      <c r="A35" s="86"/>
      <c r="B35" s="83"/>
      <c r="C35" s="83"/>
      <c r="D35" s="85"/>
      <c r="E35" s="85"/>
      <c r="F35" s="85"/>
      <c r="G35" s="85"/>
      <c r="H35" s="85"/>
      <c r="I35" s="85"/>
      <c r="J35" s="85"/>
      <c r="K35" s="83"/>
      <c r="L35" s="64"/>
      <c r="M35" s="83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</row>
    <row r="36" spans="1:41" x14ac:dyDescent="0.2">
      <c r="A36" s="86"/>
      <c r="B36" s="83"/>
      <c r="C36" s="83"/>
      <c r="D36" s="88"/>
      <c r="E36" s="88"/>
      <c r="F36" s="88"/>
      <c r="G36" s="88"/>
      <c r="H36" s="88"/>
      <c r="I36" s="88"/>
      <c r="J36" s="88"/>
      <c r="K36" s="83"/>
      <c r="L36" s="229"/>
      <c r="M36" s="83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</row>
    <row r="37" spans="1:41" x14ac:dyDescent="0.2">
      <c r="A37" s="79"/>
      <c r="B37" s="78"/>
      <c r="C37" s="78"/>
      <c r="D37" s="89"/>
      <c r="E37" s="89"/>
      <c r="F37" s="89"/>
      <c r="G37" s="89"/>
      <c r="H37" s="89"/>
      <c r="I37" s="89"/>
      <c r="J37" s="89"/>
      <c r="K37" s="78"/>
      <c r="L37" s="4"/>
      <c r="M37" s="78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</row>
    <row r="38" spans="1:41" x14ac:dyDescent="0.2">
      <c r="A38" s="79"/>
      <c r="B38" s="78"/>
      <c r="C38" s="78"/>
      <c r="D38" s="89"/>
      <c r="E38" s="89"/>
      <c r="F38" s="89"/>
      <c r="G38" s="89"/>
      <c r="H38" s="89"/>
      <c r="I38" s="89"/>
      <c r="J38" s="89"/>
      <c r="K38" s="78"/>
      <c r="L38" s="64"/>
      <c r="M38" s="78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</row>
    <row r="39" spans="1:41" x14ac:dyDescent="0.2">
      <c r="A39" s="90"/>
      <c r="B39" s="78"/>
      <c r="C39" s="78"/>
      <c r="D39" s="89"/>
      <c r="E39" s="89"/>
      <c r="F39" s="89"/>
      <c r="G39" s="89"/>
      <c r="H39" s="89"/>
      <c r="I39" s="89"/>
      <c r="J39" s="89"/>
      <c r="K39" s="78"/>
      <c r="L39" s="229"/>
      <c r="M39" s="78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</row>
    <row r="40" spans="1:41" x14ac:dyDescent="0.2">
      <c r="A40" s="79"/>
      <c r="B40" s="82"/>
      <c r="C40" s="82"/>
      <c r="D40" s="81"/>
      <c r="E40" s="81"/>
      <c r="F40" s="81"/>
      <c r="G40" s="81"/>
      <c r="H40" s="81"/>
      <c r="I40" s="81"/>
      <c r="J40" s="81"/>
      <c r="K40" s="82"/>
      <c r="L40" s="51"/>
      <c r="M40" s="82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</row>
    <row r="41" spans="1:41" x14ac:dyDescent="0.2">
      <c r="A41" s="91"/>
      <c r="B41" s="75"/>
      <c r="C41" s="75"/>
      <c r="D41" s="92"/>
      <c r="E41" s="92"/>
      <c r="F41" s="92"/>
      <c r="G41" s="92"/>
      <c r="H41" s="92"/>
      <c r="I41" s="92"/>
      <c r="J41" s="92"/>
      <c r="K41" s="75"/>
      <c r="L41" s="229"/>
      <c r="M41" s="75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</row>
    <row r="42" spans="1:41" x14ac:dyDescent="0.2">
      <c r="A42" s="91"/>
      <c r="B42" s="93"/>
      <c r="C42" s="93"/>
      <c r="D42" s="94"/>
      <c r="E42" s="94"/>
      <c r="F42" s="94"/>
      <c r="G42" s="94"/>
      <c r="H42" s="94"/>
      <c r="I42" s="94"/>
      <c r="J42" s="94"/>
      <c r="K42" s="93"/>
      <c r="L42" s="51"/>
      <c r="M42" s="93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</row>
    <row r="43" spans="1:41" x14ac:dyDescent="0.2">
      <c r="A43" s="91"/>
      <c r="B43" s="93"/>
      <c r="C43" s="93"/>
      <c r="D43" s="94"/>
      <c r="E43" s="94"/>
      <c r="F43" s="94"/>
      <c r="G43" s="94"/>
      <c r="H43" s="94"/>
      <c r="I43" s="94"/>
      <c r="J43" s="94"/>
      <c r="K43" s="93"/>
      <c r="L43" s="229"/>
      <c r="M43" s="93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</row>
    <row r="44" spans="1:41" x14ac:dyDescent="0.2">
      <c r="A44" s="91"/>
      <c r="B44" s="93"/>
      <c r="C44" s="93"/>
      <c r="D44" s="94"/>
      <c r="E44" s="94"/>
      <c r="F44" s="94"/>
      <c r="G44" s="94"/>
      <c r="H44" s="94"/>
      <c r="I44" s="94"/>
      <c r="J44" s="94"/>
      <c r="K44" s="93"/>
      <c r="M44" s="93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</row>
    <row r="45" spans="1:41" x14ac:dyDescent="0.2">
      <c r="A45" s="91"/>
      <c r="B45" s="93"/>
      <c r="C45" s="93"/>
      <c r="D45" s="94"/>
      <c r="E45" s="94"/>
      <c r="F45" s="94"/>
      <c r="G45" s="94"/>
      <c r="H45" s="94"/>
      <c r="I45" s="94"/>
      <c r="J45" s="94"/>
      <c r="K45" s="93"/>
      <c r="L45" s="64"/>
      <c r="M45" s="93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</row>
    <row r="46" spans="1:41" ht="14.25" customHeight="1" x14ac:dyDescent="0.2">
      <c r="A46" s="79"/>
      <c r="B46" s="95"/>
      <c r="C46" s="95"/>
      <c r="D46" s="96"/>
      <c r="E46" s="96"/>
      <c r="F46" s="96"/>
      <c r="G46" s="96"/>
      <c r="H46" s="96"/>
      <c r="I46" s="96"/>
      <c r="J46" s="96"/>
      <c r="K46" s="95"/>
      <c r="L46" s="229"/>
      <c r="M46" s="95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</row>
    <row r="47" spans="1:41" x14ac:dyDescent="0.2">
      <c r="L47" s="22"/>
    </row>
    <row r="48" spans="1:41" x14ac:dyDescent="0.2">
      <c r="A48" s="97"/>
      <c r="L48" s="64"/>
      <c r="Q48" s="98"/>
      <c r="U48" s="98"/>
    </row>
    <row r="49" spans="1:21" x14ac:dyDescent="0.2">
      <c r="A49" s="97"/>
      <c r="L49" s="229"/>
      <c r="Q49" s="98"/>
      <c r="U49" s="98"/>
    </row>
    <row r="50" spans="1:21" x14ac:dyDescent="0.2">
      <c r="A50" s="99"/>
      <c r="L50" s="51"/>
      <c r="Q50" s="100"/>
      <c r="U50" s="100"/>
    </row>
    <row r="51" spans="1:21" x14ac:dyDescent="0.2">
      <c r="A51" s="82"/>
      <c r="L51" s="229"/>
      <c r="Q51" s="82"/>
      <c r="U51" s="82"/>
    </row>
    <row r="52" spans="1:21" x14ac:dyDescent="0.2">
      <c r="A52" s="97"/>
      <c r="L52" s="51"/>
      <c r="Q52" s="82"/>
      <c r="U52" s="82"/>
    </row>
    <row r="53" spans="1:21" x14ac:dyDescent="0.2">
      <c r="A53" s="82"/>
      <c r="L53" s="229"/>
      <c r="Q53" s="101"/>
      <c r="U53" s="101"/>
    </row>
    <row r="54" spans="1:21" x14ac:dyDescent="0.2">
      <c r="L54" s="51"/>
    </row>
    <row r="55" spans="1:21" x14ac:dyDescent="0.2">
      <c r="L55" s="64"/>
    </row>
    <row r="56" spans="1:21" x14ac:dyDescent="0.2">
      <c r="L56" s="229"/>
    </row>
    <row r="57" spans="1:21" x14ac:dyDescent="0.2">
      <c r="L57" s="64"/>
    </row>
    <row r="58" spans="1:21" x14ac:dyDescent="0.2">
      <c r="L58" s="51"/>
    </row>
    <row r="59" spans="1:21" x14ac:dyDescent="0.2">
      <c r="L59" s="229"/>
    </row>
    <row r="60" spans="1:21" x14ac:dyDescent="0.2">
      <c r="L60" s="51"/>
    </row>
    <row r="61" spans="1:21" x14ac:dyDescent="0.2">
      <c r="L61" s="64"/>
    </row>
    <row r="62" spans="1:21" x14ac:dyDescent="0.2">
      <c r="L62" s="229"/>
    </row>
    <row r="67" spans="12:12" x14ac:dyDescent="0.2">
      <c r="L67" s="64"/>
    </row>
    <row r="68" spans="12:12" x14ac:dyDescent="0.2">
      <c r="L68" s="229"/>
    </row>
    <row r="69" spans="12:12" x14ac:dyDescent="0.2">
      <c r="L69" s="64"/>
    </row>
    <row r="70" spans="12:12" x14ac:dyDescent="0.2">
      <c r="L70" s="51"/>
    </row>
    <row r="71" spans="12:12" x14ac:dyDescent="0.2">
      <c r="L71" s="229"/>
    </row>
    <row r="72" spans="12:12" x14ac:dyDescent="0.2">
      <c r="L72" s="51"/>
    </row>
    <row r="73" spans="12:12" x14ac:dyDescent="0.2">
      <c r="L73" s="229"/>
    </row>
    <row r="74" spans="12:12" x14ac:dyDescent="0.2">
      <c r="L74" s="51"/>
    </row>
    <row r="75" spans="12:12" x14ac:dyDescent="0.2">
      <c r="L75" s="229"/>
    </row>
    <row r="76" spans="12:12" x14ac:dyDescent="0.2">
      <c r="L76" s="51"/>
    </row>
    <row r="77" spans="12:12" x14ac:dyDescent="0.2">
      <c r="L77" s="230"/>
    </row>
    <row r="78" spans="12:12" x14ac:dyDescent="0.2">
      <c r="L78" s="231"/>
    </row>
    <row r="79" spans="12:12" x14ac:dyDescent="0.2">
      <c r="L79" s="68"/>
    </row>
    <row r="80" spans="12:12" x14ac:dyDescent="0.2">
      <c r="L80" s="51"/>
    </row>
    <row r="81" spans="12:12" x14ac:dyDescent="0.2">
      <c r="L81" s="229"/>
    </row>
    <row r="82" spans="12:12" x14ac:dyDescent="0.2">
      <c r="L82" s="51"/>
    </row>
    <row r="83" spans="12:12" x14ac:dyDescent="0.2">
      <c r="L83" s="229"/>
    </row>
    <row r="84" spans="12:12" x14ac:dyDescent="0.2">
      <c r="L84" s="51"/>
    </row>
    <row r="85" spans="12:12" x14ac:dyDescent="0.2">
      <c r="L85" s="229"/>
    </row>
    <row r="86" spans="12:12" x14ac:dyDescent="0.2">
      <c r="L86" s="66"/>
    </row>
    <row r="87" spans="12:12" x14ac:dyDescent="0.2">
      <c r="L87" s="230"/>
    </row>
    <row r="88" spans="12:12" x14ac:dyDescent="0.2">
      <c r="L88" s="231"/>
    </row>
    <row r="89" spans="12:12" ht="14.25" x14ac:dyDescent="0.2">
      <c r="L89" s="73"/>
    </row>
    <row r="90" spans="12:12" x14ac:dyDescent="0.2">
      <c r="L90" s="51"/>
    </row>
    <row r="91" spans="12:12" x14ac:dyDescent="0.2">
      <c r="L91" s="229"/>
    </row>
    <row r="92" spans="12:12" ht="14.25" x14ac:dyDescent="0.2">
      <c r="L92" s="73"/>
    </row>
    <row r="93" spans="12:12" x14ac:dyDescent="0.2">
      <c r="L93" s="232"/>
    </row>
    <row r="94" spans="12:12" x14ac:dyDescent="0.2">
      <c r="L94" s="233"/>
    </row>
    <row r="95" spans="12:12" x14ac:dyDescent="0.2">
      <c r="L95" s="122"/>
    </row>
    <row r="96" spans="12:12" x14ac:dyDescent="0.2">
      <c r="L96" s="122"/>
    </row>
    <row r="97" spans="12:12" x14ac:dyDescent="0.2">
      <c r="L97" s="65"/>
    </row>
    <row r="98" spans="12:12" x14ac:dyDescent="0.2">
      <c r="L98" s="65"/>
    </row>
    <row r="99" spans="12:12" x14ac:dyDescent="0.2">
      <c r="L99" s="65"/>
    </row>
    <row r="101" spans="12:12" x14ac:dyDescent="0.2">
      <c r="L101" s="65"/>
    </row>
    <row r="102" spans="12:12" x14ac:dyDescent="0.2">
      <c r="L102" s="65"/>
    </row>
    <row r="103" spans="12:12" x14ac:dyDescent="0.2">
      <c r="L103" s="65"/>
    </row>
    <row r="104" spans="12:12" x14ac:dyDescent="0.2">
      <c r="L104" s="65"/>
    </row>
    <row r="106" spans="12:12" ht="14.25" x14ac:dyDescent="0.2">
      <c r="L106" s="73"/>
    </row>
    <row r="107" spans="12:12" x14ac:dyDescent="0.2">
      <c r="L107" s="65"/>
    </row>
    <row r="108" spans="12:12" x14ac:dyDescent="0.2">
      <c r="L108" s="65"/>
    </row>
    <row r="109" spans="12:12" x14ac:dyDescent="0.2">
      <c r="L109" s="5"/>
    </row>
    <row r="111" spans="12:12" x14ac:dyDescent="0.2">
      <c r="L111" s="65"/>
    </row>
  </sheetData>
  <sheetProtection selectLockedCells="1" selectUnlockedCells="1"/>
  <phoneticPr fontId="64" type="noConversion"/>
  <pageMargins left="0.511811024" right="0.511811024" top="0.78740157499999996" bottom="0.78740157499999996" header="0.31496062000000002" footer="0.31496062000000002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7B22-498D-49DD-8CE8-DEE5A54027AC}">
  <sheetPr>
    <tabColor rgb="FF9BBB59"/>
  </sheetPr>
  <dimension ref="A1:K233"/>
  <sheetViews>
    <sheetView zoomScaleNormal="100" workbookViewId="0">
      <selection activeCell="O38" sqref="O38"/>
    </sheetView>
  </sheetViews>
  <sheetFormatPr defaultColWidth="14.7109375" defaultRowHeight="12.75" x14ac:dyDescent="0.2"/>
  <cols>
    <col min="1" max="1" width="14.7109375" style="6" customWidth="1"/>
    <col min="2" max="2" width="1.42578125" style="6" customWidth="1"/>
    <col min="3" max="3" width="14.7109375" style="6" customWidth="1"/>
    <col min="4" max="4" width="1.42578125" style="6" customWidth="1"/>
    <col min="5" max="5" width="14.7109375" style="6" customWidth="1"/>
    <col min="6" max="6" width="1.42578125" style="6" customWidth="1"/>
    <col min="7" max="7" width="14.7109375" style="6"/>
    <col min="8" max="8" width="1.42578125" style="6" customWidth="1"/>
    <col min="9" max="9" width="14.7109375" style="6"/>
    <col min="10" max="10" width="1.42578125" style="6" customWidth="1"/>
    <col min="11" max="16384" width="14.7109375" style="6"/>
  </cols>
  <sheetData>
    <row r="1" spans="1:11" x14ac:dyDescent="0.2">
      <c r="A1" s="271"/>
      <c r="C1" s="271"/>
      <c r="E1" s="271"/>
      <c r="G1" s="271"/>
      <c r="I1" s="271"/>
      <c r="K1" s="271"/>
    </row>
    <row r="2" spans="1:11" ht="51.75" customHeight="1" x14ac:dyDescent="0.2">
      <c r="A2" s="298" t="s">
        <v>242</v>
      </c>
      <c r="B2" s="272"/>
      <c r="C2" s="299" t="s">
        <v>243</v>
      </c>
      <c r="D2" s="272"/>
      <c r="E2" s="299" t="s">
        <v>244</v>
      </c>
      <c r="F2" s="272"/>
      <c r="G2" s="300" t="s">
        <v>245</v>
      </c>
      <c r="H2" s="272"/>
      <c r="I2" s="300" t="s">
        <v>294</v>
      </c>
      <c r="J2" s="272"/>
      <c r="K2" s="301" t="s">
        <v>295</v>
      </c>
    </row>
    <row r="3" spans="1:11" ht="12.75" customHeight="1" x14ac:dyDescent="0.2">
      <c r="A3" s="269"/>
      <c r="B3" s="268"/>
      <c r="C3" s="270"/>
      <c r="D3" s="268"/>
      <c r="E3" s="270"/>
      <c r="F3" s="268"/>
      <c r="G3" s="270"/>
      <c r="H3" s="268"/>
      <c r="I3" s="270"/>
      <c r="J3" s="268"/>
      <c r="K3" s="270"/>
    </row>
    <row r="4" spans="1:11" ht="12.75" customHeight="1" x14ac:dyDescent="0.2">
      <c r="A4" s="352">
        <v>45992</v>
      </c>
      <c r="B4" s="268"/>
      <c r="C4" s="287">
        <v>314051</v>
      </c>
      <c r="D4" s="268"/>
      <c r="E4" s="287">
        <f t="shared" ref="E4:E6" si="0">SUM(C4:C15)</f>
        <v>4226716</v>
      </c>
      <c r="F4" s="268"/>
      <c r="G4" s="287">
        <v>615787</v>
      </c>
      <c r="H4" s="268"/>
      <c r="I4" s="287"/>
      <c r="J4" s="268"/>
      <c r="K4" s="287"/>
    </row>
    <row r="5" spans="1:11" ht="12.75" customHeight="1" x14ac:dyDescent="0.2">
      <c r="A5" s="352">
        <v>45962</v>
      </c>
      <c r="B5" s="268"/>
      <c r="C5" s="287">
        <v>361201</v>
      </c>
      <c r="D5" s="268"/>
      <c r="E5" s="287">
        <f t="shared" si="0"/>
        <v>4226152</v>
      </c>
      <c r="F5" s="268"/>
      <c r="G5" s="287">
        <v>706785</v>
      </c>
      <c r="H5" s="268"/>
      <c r="I5" s="287"/>
      <c r="J5" s="268"/>
      <c r="K5" s="287"/>
    </row>
    <row r="6" spans="1:11" ht="12.75" customHeight="1" x14ac:dyDescent="0.2">
      <c r="A6" s="352">
        <v>45931</v>
      </c>
      <c r="B6" s="268"/>
      <c r="C6" s="287">
        <v>391433</v>
      </c>
      <c r="D6" s="268"/>
      <c r="E6" s="287">
        <f t="shared" si="0"/>
        <v>4230346</v>
      </c>
      <c r="F6" s="268"/>
      <c r="G6" s="287">
        <v>767361</v>
      </c>
      <c r="H6" s="268"/>
      <c r="I6" s="287"/>
      <c r="J6" s="268"/>
      <c r="K6" s="287"/>
    </row>
    <row r="7" spans="1:11" ht="12.75" customHeight="1" x14ac:dyDescent="0.2">
      <c r="A7" s="352">
        <v>45901</v>
      </c>
      <c r="B7" s="268"/>
      <c r="C7" s="287">
        <v>366885</v>
      </c>
      <c r="D7" s="268"/>
      <c r="E7" s="287">
        <f t="shared" ref="E7:E9" si="1">SUM(C7:C18)</f>
        <v>4230073</v>
      </c>
      <c r="F7" s="268"/>
      <c r="G7" s="287">
        <v>719042</v>
      </c>
      <c r="H7" s="268"/>
      <c r="I7" s="287">
        <v>7985</v>
      </c>
      <c r="J7" s="268"/>
      <c r="K7" s="287">
        <v>4074</v>
      </c>
    </row>
    <row r="8" spans="1:11" ht="12.75" customHeight="1" x14ac:dyDescent="0.2">
      <c r="A8" s="352">
        <v>45870</v>
      </c>
      <c r="B8" s="268"/>
      <c r="C8" s="287">
        <v>371125</v>
      </c>
      <c r="D8" s="268"/>
      <c r="E8" s="287">
        <f t="shared" si="1"/>
        <v>4218822</v>
      </c>
      <c r="F8" s="268"/>
      <c r="G8" s="287">
        <v>722285</v>
      </c>
      <c r="H8" s="268"/>
      <c r="I8" s="287">
        <v>7976</v>
      </c>
      <c r="J8" s="268"/>
      <c r="K8" s="287">
        <v>4098</v>
      </c>
    </row>
    <row r="9" spans="1:11" ht="12.75" customHeight="1" x14ac:dyDescent="0.2">
      <c r="A9" s="352">
        <v>45839</v>
      </c>
      <c r="B9" s="268"/>
      <c r="C9" s="287">
        <v>378835</v>
      </c>
      <c r="D9" s="268"/>
      <c r="E9" s="287">
        <f t="shared" si="1"/>
        <v>4225869</v>
      </c>
      <c r="F9" s="268"/>
      <c r="G9" s="287">
        <v>735046</v>
      </c>
      <c r="H9" s="268"/>
      <c r="I9" s="287">
        <v>7889</v>
      </c>
      <c r="J9" s="268"/>
      <c r="K9" s="287">
        <v>4066</v>
      </c>
    </row>
    <row r="10" spans="1:11" ht="12.75" customHeight="1" x14ac:dyDescent="0.2">
      <c r="A10" s="352">
        <v>45809</v>
      </c>
      <c r="B10" s="268"/>
      <c r="C10" s="287">
        <v>338487</v>
      </c>
      <c r="D10" s="268"/>
      <c r="E10" s="287">
        <f t="shared" ref="E10:E12" si="2">SUM(C10:C21)</f>
        <v>4220366</v>
      </c>
      <c r="F10" s="268"/>
      <c r="G10" s="287">
        <v>656378</v>
      </c>
      <c r="H10" s="268"/>
      <c r="I10" s="287">
        <v>7882</v>
      </c>
      <c r="J10" s="268"/>
      <c r="K10" s="287">
        <v>4065</v>
      </c>
    </row>
    <row r="11" spans="1:11" ht="12.75" customHeight="1" x14ac:dyDescent="0.2">
      <c r="A11" s="352">
        <v>45778</v>
      </c>
      <c r="B11" s="268"/>
      <c r="C11" s="287">
        <v>360551</v>
      </c>
      <c r="D11" s="268"/>
      <c r="E11" s="287">
        <f t="shared" si="2"/>
        <v>4223870</v>
      </c>
      <c r="F11" s="268"/>
      <c r="G11" s="287">
        <v>702899</v>
      </c>
      <c r="H11" s="268"/>
      <c r="I11" s="287">
        <v>7845</v>
      </c>
      <c r="J11" s="268"/>
      <c r="K11" s="287">
        <v>4024</v>
      </c>
    </row>
    <row r="12" spans="1:11" ht="12.75" customHeight="1" x14ac:dyDescent="0.2">
      <c r="A12" s="352">
        <v>45748</v>
      </c>
      <c r="B12" s="268"/>
      <c r="C12" s="287">
        <v>339967</v>
      </c>
      <c r="D12" s="268"/>
      <c r="E12" s="287">
        <f t="shared" si="2"/>
        <v>4216334</v>
      </c>
      <c r="F12" s="268"/>
      <c r="G12" s="287">
        <v>665071</v>
      </c>
      <c r="H12" s="268"/>
      <c r="I12" s="287">
        <v>7803</v>
      </c>
      <c r="J12" s="268"/>
      <c r="K12" s="287">
        <v>3989</v>
      </c>
    </row>
    <row r="13" spans="1:11" ht="12.75" customHeight="1" x14ac:dyDescent="0.2">
      <c r="A13" s="352">
        <v>45717</v>
      </c>
      <c r="B13" s="268"/>
      <c r="C13" s="287">
        <v>346551</v>
      </c>
      <c r="D13" s="268"/>
      <c r="E13" s="287">
        <f t="shared" ref="E13:E15" si="3">SUM(C13:C24)</f>
        <v>4227393</v>
      </c>
      <c r="F13" s="268"/>
      <c r="G13" s="287">
        <v>680300</v>
      </c>
      <c r="H13" s="268"/>
      <c r="I13" s="287">
        <v>7652</v>
      </c>
      <c r="J13" s="268"/>
      <c r="K13" s="287">
        <v>3898</v>
      </c>
    </row>
    <row r="14" spans="1:11" ht="12.75" customHeight="1" x14ac:dyDescent="0.2">
      <c r="A14" s="352">
        <v>45689</v>
      </c>
      <c r="B14" s="268"/>
      <c r="C14" s="287">
        <v>322620</v>
      </c>
      <c r="D14" s="268"/>
      <c r="E14" s="287">
        <f t="shared" si="3"/>
        <v>4222815</v>
      </c>
      <c r="F14" s="268"/>
      <c r="G14" s="287">
        <v>631728</v>
      </c>
      <c r="H14" s="268"/>
      <c r="I14" s="287">
        <v>7686</v>
      </c>
      <c r="J14" s="268"/>
      <c r="K14" s="287">
        <v>3925</v>
      </c>
    </row>
    <row r="15" spans="1:11" ht="12.75" customHeight="1" x14ac:dyDescent="0.2">
      <c r="A15" s="352">
        <v>45658</v>
      </c>
      <c r="B15" s="268"/>
      <c r="C15" s="287">
        <v>335010</v>
      </c>
      <c r="D15" s="268"/>
      <c r="E15" s="287">
        <f t="shared" si="3"/>
        <v>4226930</v>
      </c>
      <c r="F15" s="268"/>
      <c r="G15" s="287">
        <v>657085</v>
      </c>
      <c r="H15" s="268"/>
      <c r="I15" s="287">
        <v>7495</v>
      </c>
      <c r="J15" s="268"/>
      <c r="K15" s="287">
        <v>3821</v>
      </c>
    </row>
    <row r="16" spans="1:11" ht="12.75" customHeight="1" x14ac:dyDescent="0.2">
      <c r="A16" s="352">
        <v>45627</v>
      </c>
      <c r="B16" s="268"/>
      <c r="C16" s="287">
        <v>313487</v>
      </c>
      <c r="D16" s="268"/>
      <c r="E16" s="287">
        <f t="shared" ref="E16:E18" si="4">SUM(C16:C27)</f>
        <v>4229131</v>
      </c>
      <c r="F16" s="268"/>
      <c r="G16" s="287">
        <v>610880</v>
      </c>
      <c r="H16" s="268"/>
      <c r="I16" s="287">
        <v>7451</v>
      </c>
      <c r="J16" s="268"/>
      <c r="K16" s="287">
        <v>3824</v>
      </c>
    </row>
    <row r="17" spans="1:11" ht="12.75" customHeight="1" x14ac:dyDescent="0.2">
      <c r="A17" s="352">
        <v>45597</v>
      </c>
      <c r="B17" s="268"/>
      <c r="C17" s="287">
        <v>365395</v>
      </c>
      <c r="D17" s="268"/>
      <c r="E17" s="287">
        <f t="shared" si="4"/>
        <v>4231107</v>
      </c>
      <c r="F17" s="268"/>
      <c r="G17" s="287">
        <v>717905</v>
      </c>
      <c r="H17" s="268"/>
      <c r="I17" s="287">
        <v>7508</v>
      </c>
      <c r="J17" s="268"/>
      <c r="K17" s="287">
        <v>3821</v>
      </c>
    </row>
    <row r="18" spans="1:11" ht="12.75" customHeight="1" x14ac:dyDescent="0.2">
      <c r="A18" s="352">
        <v>45566</v>
      </c>
      <c r="B18" s="268"/>
      <c r="C18" s="287">
        <v>391160</v>
      </c>
      <c r="D18" s="268"/>
      <c r="E18" s="287">
        <f t="shared" si="4"/>
        <v>4214856</v>
      </c>
      <c r="F18" s="268"/>
      <c r="G18" s="287">
        <v>764983</v>
      </c>
      <c r="H18" s="268"/>
      <c r="I18" s="287">
        <v>7404</v>
      </c>
      <c r="J18" s="268"/>
      <c r="K18" s="287">
        <v>3786</v>
      </c>
    </row>
    <row r="19" spans="1:11" ht="12" customHeight="1" x14ac:dyDescent="0.2">
      <c r="A19" s="352">
        <v>45536</v>
      </c>
      <c r="B19" s="268"/>
      <c r="C19" s="287">
        <v>355634</v>
      </c>
      <c r="D19" s="268"/>
      <c r="E19" s="287">
        <f t="shared" ref="E19:E21" si="5">SUM(C19:C30)</f>
        <v>4181938</v>
      </c>
      <c r="F19" s="268"/>
      <c r="G19" s="287">
        <v>693324</v>
      </c>
      <c r="H19" s="268"/>
      <c r="I19" s="287">
        <v>7267</v>
      </c>
      <c r="J19" s="268"/>
      <c r="K19" s="287">
        <v>3728</v>
      </c>
    </row>
    <row r="20" spans="1:11" ht="12.75" customHeight="1" x14ac:dyDescent="0.2">
      <c r="A20" s="352">
        <v>45505</v>
      </c>
      <c r="B20" s="268"/>
      <c r="C20" s="287">
        <v>378172</v>
      </c>
      <c r="D20" s="268"/>
      <c r="E20" s="287">
        <f t="shared" si="5"/>
        <v>4171246</v>
      </c>
      <c r="F20" s="268"/>
      <c r="G20" s="287">
        <v>734792</v>
      </c>
      <c r="H20" s="268"/>
      <c r="I20" s="287">
        <v>7098</v>
      </c>
      <c r="J20" s="268"/>
      <c r="K20" s="287">
        <v>3653</v>
      </c>
    </row>
    <row r="21" spans="1:11" ht="12.75" customHeight="1" x14ac:dyDescent="0.2">
      <c r="A21" s="352">
        <v>45474</v>
      </c>
      <c r="B21" s="268"/>
      <c r="C21" s="287">
        <v>373332</v>
      </c>
      <c r="D21" s="268"/>
      <c r="E21" s="287">
        <f t="shared" si="5"/>
        <v>4161437</v>
      </c>
      <c r="F21" s="268"/>
      <c r="G21" s="287">
        <v>723572</v>
      </c>
      <c r="H21" s="268"/>
      <c r="I21" s="287">
        <v>7014</v>
      </c>
      <c r="J21" s="268"/>
      <c r="K21" s="287">
        <v>3619</v>
      </c>
    </row>
    <row r="22" spans="1:11" ht="12.75" customHeight="1" x14ac:dyDescent="0.2">
      <c r="A22" s="352">
        <v>45444</v>
      </c>
      <c r="B22" s="268"/>
      <c r="C22" s="287">
        <v>341991</v>
      </c>
      <c r="D22" s="268"/>
      <c r="E22" s="287">
        <f t="shared" ref="E22:E24" si="6">SUM(C22:C33)</f>
        <v>4131934</v>
      </c>
      <c r="F22" s="268"/>
      <c r="G22" s="287">
        <v>664407</v>
      </c>
      <c r="H22" s="268"/>
      <c r="I22" s="287">
        <v>7003</v>
      </c>
      <c r="J22" s="268"/>
      <c r="K22" s="287">
        <v>3604</v>
      </c>
    </row>
    <row r="23" spans="1:11" ht="12.75" customHeight="1" x14ac:dyDescent="0.2">
      <c r="A23" s="352">
        <v>45413</v>
      </c>
      <c r="B23" s="268"/>
      <c r="C23" s="287">
        <v>353015</v>
      </c>
      <c r="D23" s="268"/>
      <c r="E23" s="287">
        <f t="shared" si="6"/>
        <v>4124675</v>
      </c>
      <c r="F23" s="268"/>
      <c r="G23" s="287">
        <v>688277</v>
      </c>
      <c r="H23" s="268"/>
      <c r="I23" s="287">
        <v>7024</v>
      </c>
      <c r="J23" s="268"/>
      <c r="K23" s="287">
        <v>3603</v>
      </c>
    </row>
    <row r="24" spans="1:11" ht="12.75" customHeight="1" x14ac:dyDescent="0.2">
      <c r="A24" s="352">
        <v>45383</v>
      </c>
      <c r="B24" s="268"/>
      <c r="C24" s="284">
        <v>351026</v>
      </c>
      <c r="D24" s="268"/>
      <c r="E24" s="287">
        <f t="shared" si="6"/>
        <v>4115002</v>
      </c>
      <c r="F24" s="268"/>
      <c r="G24" s="287">
        <v>681758</v>
      </c>
      <c r="H24" s="268"/>
      <c r="I24" s="287">
        <v>6987</v>
      </c>
      <c r="J24" s="268"/>
      <c r="K24" s="287">
        <v>3598</v>
      </c>
    </row>
    <row r="25" spans="1:11" ht="12.75" customHeight="1" x14ac:dyDescent="0.2">
      <c r="A25" s="352">
        <v>45352</v>
      </c>
      <c r="B25" s="268"/>
      <c r="C25" s="287">
        <v>341973</v>
      </c>
      <c r="D25" s="268"/>
      <c r="E25" s="287">
        <f t="shared" ref="E25:E27" si="7">SUM(C25:C36)</f>
        <v>4078706</v>
      </c>
      <c r="F25" s="268"/>
      <c r="G25" s="287">
        <v>668306</v>
      </c>
      <c r="H25" s="268"/>
      <c r="I25" s="287">
        <v>7005</v>
      </c>
      <c r="J25" s="268"/>
      <c r="K25" s="287">
        <v>3584</v>
      </c>
    </row>
    <row r="26" spans="1:11" ht="12.75" customHeight="1" x14ac:dyDescent="0.2">
      <c r="A26" s="352">
        <v>45323</v>
      </c>
      <c r="B26" s="268"/>
      <c r="C26" s="287">
        <v>326735</v>
      </c>
      <c r="D26" s="268"/>
      <c r="E26" s="287">
        <f t="shared" si="7"/>
        <v>4075820</v>
      </c>
      <c r="F26" s="268"/>
      <c r="G26" s="287">
        <v>637589</v>
      </c>
      <c r="H26" s="268"/>
      <c r="I26" s="287">
        <v>7021</v>
      </c>
      <c r="J26" s="268"/>
      <c r="K26" s="287">
        <v>3598</v>
      </c>
    </row>
    <row r="27" spans="1:11" ht="12.75" customHeight="1" x14ac:dyDescent="0.2">
      <c r="A27" s="352">
        <v>45292</v>
      </c>
      <c r="B27" s="268"/>
      <c r="C27" s="287">
        <v>337211</v>
      </c>
      <c r="D27" s="268"/>
      <c r="E27" s="287">
        <f t="shared" si="7"/>
        <v>4043211</v>
      </c>
      <c r="F27" s="268"/>
      <c r="G27" s="287">
        <v>661205</v>
      </c>
      <c r="H27" s="268"/>
      <c r="I27" s="287">
        <v>7054</v>
      </c>
      <c r="J27" s="268"/>
      <c r="K27" s="287">
        <v>3598</v>
      </c>
    </row>
    <row r="28" spans="1:11" ht="12.75" customHeight="1" x14ac:dyDescent="0.2">
      <c r="A28" s="352">
        <v>45261</v>
      </c>
      <c r="B28" s="268"/>
      <c r="C28" s="284">
        <v>315463</v>
      </c>
      <c r="D28" s="268"/>
      <c r="E28" s="287">
        <f t="shared" ref="E28:E30" si="8">SUM(C28:C39)</f>
        <v>4026285</v>
      </c>
      <c r="F28" s="268"/>
      <c r="G28" s="287">
        <v>613630</v>
      </c>
      <c r="H28" s="268"/>
      <c r="I28" s="287">
        <v>7193</v>
      </c>
      <c r="J28" s="268"/>
      <c r="K28" s="287">
        <v>3709</v>
      </c>
    </row>
    <row r="29" spans="1:11" ht="12.75" customHeight="1" x14ac:dyDescent="0.2">
      <c r="A29" s="352">
        <v>45231</v>
      </c>
      <c r="B29" s="268"/>
      <c r="C29" s="284">
        <v>349144</v>
      </c>
      <c r="D29" s="268"/>
      <c r="E29" s="287">
        <f t="shared" si="8"/>
        <v>4013843</v>
      </c>
      <c r="F29" s="268"/>
      <c r="G29" s="283">
        <v>681512</v>
      </c>
      <c r="H29" s="268"/>
      <c r="I29" s="287">
        <v>7104</v>
      </c>
      <c r="J29" s="268"/>
      <c r="K29" s="287">
        <v>3639</v>
      </c>
    </row>
    <row r="30" spans="1:11" ht="12.75" customHeight="1" x14ac:dyDescent="0.2">
      <c r="A30" s="352">
        <v>45200</v>
      </c>
      <c r="B30" s="268"/>
      <c r="C30" s="284">
        <v>358242</v>
      </c>
      <c r="D30" s="268"/>
      <c r="E30" s="287">
        <f t="shared" si="8"/>
        <v>3997801</v>
      </c>
      <c r="F30" s="268"/>
      <c r="G30" s="283">
        <v>697192</v>
      </c>
      <c r="H30" s="268"/>
      <c r="I30" s="287">
        <v>7145</v>
      </c>
      <c r="J30" s="268"/>
      <c r="K30" s="287">
        <v>3671</v>
      </c>
    </row>
    <row r="31" spans="1:11" ht="12.75" customHeight="1" x14ac:dyDescent="0.2">
      <c r="A31" s="267">
        <v>45170</v>
      </c>
      <c r="B31" s="268"/>
      <c r="C31" s="284">
        <v>344942</v>
      </c>
      <c r="D31" s="268"/>
      <c r="E31" s="287">
        <f t="shared" ref="E31:E33" si="9">SUM(C31:C42)</f>
        <v>3988325</v>
      </c>
      <c r="F31" s="268"/>
      <c r="G31" s="283">
        <v>670906</v>
      </c>
      <c r="H31" s="268"/>
      <c r="I31" s="284">
        <v>7161</v>
      </c>
      <c r="J31" s="268"/>
      <c r="K31" s="284">
        <v>3682</v>
      </c>
    </row>
    <row r="32" spans="1:11" ht="12.75" customHeight="1" x14ac:dyDescent="0.2">
      <c r="A32" s="267">
        <v>45139</v>
      </c>
      <c r="B32" s="268"/>
      <c r="C32" s="284">
        <v>368363</v>
      </c>
      <c r="D32" s="268"/>
      <c r="E32" s="287">
        <f t="shared" si="9"/>
        <v>3996949</v>
      </c>
      <c r="F32" s="268"/>
      <c r="G32" s="283">
        <v>712497</v>
      </c>
      <c r="H32" s="268"/>
      <c r="I32" s="284">
        <v>7141</v>
      </c>
      <c r="J32" s="268"/>
      <c r="K32" s="284">
        <v>3692</v>
      </c>
    </row>
    <row r="33" spans="1:11" ht="12.75" customHeight="1" x14ac:dyDescent="0.2">
      <c r="A33" s="267">
        <v>45108</v>
      </c>
      <c r="B33" s="268"/>
      <c r="C33" s="284">
        <v>343829</v>
      </c>
      <c r="D33" s="268"/>
      <c r="E33" s="287">
        <f t="shared" si="9"/>
        <v>3997103</v>
      </c>
      <c r="F33" s="268"/>
      <c r="G33" s="283">
        <v>662851</v>
      </c>
      <c r="H33" s="268"/>
      <c r="I33" s="284">
        <v>7179</v>
      </c>
      <c r="J33" s="268"/>
      <c r="K33" s="284">
        <v>3724</v>
      </c>
    </row>
    <row r="34" spans="1:11" ht="12.75" customHeight="1" x14ac:dyDescent="0.2">
      <c r="A34" s="267">
        <v>45078</v>
      </c>
      <c r="B34" s="268"/>
      <c r="C34" s="284">
        <v>334732</v>
      </c>
      <c r="D34" s="268"/>
      <c r="E34" s="287">
        <f t="shared" ref="E34:E36" si="10">SUM(C34:C45)</f>
        <v>4010234</v>
      </c>
      <c r="F34" s="268"/>
      <c r="G34" s="283">
        <v>649909</v>
      </c>
      <c r="H34" s="268"/>
      <c r="I34" s="284">
        <v>7252</v>
      </c>
      <c r="J34" s="268"/>
      <c r="K34" s="284">
        <v>3735</v>
      </c>
    </row>
    <row r="35" spans="1:11" ht="12.75" customHeight="1" x14ac:dyDescent="0.2">
      <c r="A35" s="267">
        <v>45047</v>
      </c>
      <c r="B35" s="268"/>
      <c r="C35" s="284">
        <v>343342</v>
      </c>
      <c r="D35" s="268"/>
      <c r="E35" s="287">
        <f t="shared" si="10"/>
        <v>4017766</v>
      </c>
      <c r="F35" s="268"/>
      <c r="G35" s="283">
        <v>663962</v>
      </c>
      <c r="H35" s="268"/>
      <c r="I35" s="284">
        <v>7282</v>
      </c>
      <c r="J35" s="268"/>
      <c r="K35" s="284">
        <v>3766</v>
      </c>
    </row>
    <row r="36" spans="1:11" ht="12.75" customHeight="1" x14ac:dyDescent="0.2">
      <c r="A36" s="267">
        <v>45017</v>
      </c>
      <c r="B36" s="268"/>
      <c r="C36" s="284">
        <v>314730</v>
      </c>
      <c r="D36" s="268"/>
      <c r="E36" s="287">
        <f t="shared" si="10"/>
        <v>4013481</v>
      </c>
      <c r="F36" s="268"/>
      <c r="G36" s="283">
        <v>613173</v>
      </c>
      <c r="H36" s="268"/>
      <c r="I36" s="284">
        <v>7349</v>
      </c>
      <c r="J36" s="268"/>
      <c r="K36" s="284">
        <v>3772</v>
      </c>
    </row>
    <row r="37" spans="1:11" ht="12.75" customHeight="1" x14ac:dyDescent="0.2">
      <c r="A37" s="267">
        <v>44986</v>
      </c>
      <c r="B37" s="268"/>
      <c r="C37" s="284">
        <v>339087</v>
      </c>
      <c r="D37" s="268"/>
      <c r="E37" s="287">
        <f>SUM(C37:C48)</f>
        <v>4012419</v>
      </c>
      <c r="F37" s="268"/>
      <c r="G37" s="283">
        <v>661620</v>
      </c>
      <c r="H37" s="268"/>
      <c r="I37" s="283">
        <v>7359</v>
      </c>
      <c r="J37" s="268"/>
      <c r="K37" s="284">
        <v>3772</v>
      </c>
    </row>
    <row r="38" spans="1:11" ht="12.75" customHeight="1" x14ac:dyDescent="0.2">
      <c r="A38" s="267">
        <v>44958</v>
      </c>
      <c r="B38" s="268"/>
      <c r="C38" s="284">
        <v>294126</v>
      </c>
      <c r="D38" s="268"/>
      <c r="E38" s="287">
        <f t="shared" ref="E38:E39" si="11">SUM(C38:C49)</f>
        <v>4005886</v>
      </c>
      <c r="F38" s="268"/>
      <c r="G38" s="283">
        <v>572807</v>
      </c>
      <c r="H38" s="268"/>
      <c r="I38" s="283">
        <v>7360</v>
      </c>
      <c r="J38" s="268"/>
      <c r="K38" s="283">
        <v>3779</v>
      </c>
    </row>
    <row r="39" spans="1:11" ht="12.75" customHeight="1" x14ac:dyDescent="0.2">
      <c r="A39" s="267">
        <v>44927</v>
      </c>
      <c r="B39" s="268"/>
      <c r="C39" s="284">
        <v>320285</v>
      </c>
      <c r="D39" s="268"/>
      <c r="E39" s="287">
        <f t="shared" si="11"/>
        <v>4007910</v>
      </c>
      <c r="F39" s="268"/>
      <c r="G39" s="283">
        <v>625910</v>
      </c>
      <c r="H39" s="268"/>
      <c r="I39" s="283">
        <v>7360</v>
      </c>
      <c r="J39" s="268"/>
      <c r="K39" s="283">
        <v>3766</v>
      </c>
    </row>
    <row r="40" spans="1:11" ht="12.75" customHeight="1" x14ac:dyDescent="0.2">
      <c r="A40" s="267">
        <v>44896</v>
      </c>
      <c r="B40" s="279"/>
      <c r="C40" s="289">
        <v>303021</v>
      </c>
      <c r="D40" s="281"/>
      <c r="E40" s="287">
        <f t="shared" ref="E40:E43" si="12">SUM(C40:C51)</f>
        <v>3999516</v>
      </c>
      <c r="F40" s="281"/>
      <c r="G40" s="283">
        <v>587876</v>
      </c>
      <c r="H40" s="278"/>
      <c r="I40" s="283">
        <v>7444</v>
      </c>
      <c r="J40" s="278"/>
      <c r="K40" s="283">
        <v>3844</v>
      </c>
    </row>
    <row r="41" spans="1:11" x14ac:dyDescent="0.2">
      <c r="A41" s="266">
        <v>44866</v>
      </c>
      <c r="B41" s="279"/>
      <c r="C41" s="289">
        <v>333102</v>
      </c>
      <c r="D41" s="281"/>
      <c r="E41" s="287">
        <f t="shared" si="12"/>
        <v>4009332.69</v>
      </c>
      <c r="F41" s="281"/>
      <c r="G41" s="283">
        <v>646176</v>
      </c>
      <c r="H41" s="278"/>
      <c r="I41" s="283">
        <v>7422</v>
      </c>
      <c r="J41" s="278"/>
      <c r="K41" s="283">
        <v>3832</v>
      </c>
    </row>
    <row r="42" spans="1:11" x14ac:dyDescent="0.2">
      <c r="A42" s="267">
        <v>44835</v>
      </c>
      <c r="B42" s="279"/>
      <c r="C42" s="289">
        <v>348766</v>
      </c>
      <c r="D42" s="281"/>
      <c r="E42" s="287">
        <f t="shared" si="12"/>
        <v>4008645.69</v>
      </c>
      <c r="F42" s="281"/>
      <c r="G42" s="283">
        <v>669031</v>
      </c>
      <c r="H42" s="278"/>
      <c r="I42" s="283">
        <v>7295</v>
      </c>
      <c r="J42" s="278"/>
      <c r="K42" s="283">
        <v>3809</v>
      </c>
    </row>
    <row r="43" spans="1:11" x14ac:dyDescent="0.2">
      <c r="A43" s="266">
        <v>44805</v>
      </c>
      <c r="B43" s="279"/>
      <c r="C43" s="289">
        <v>353566</v>
      </c>
      <c r="D43" s="281"/>
      <c r="E43" s="287">
        <f t="shared" si="12"/>
        <v>4002224.69</v>
      </c>
      <c r="F43" s="281"/>
      <c r="G43" s="283">
        <v>676780</v>
      </c>
      <c r="H43" s="278"/>
      <c r="I43" s="283">
        <v>7282</v>
      </c>
      <c r="J43" s="278"/>
      <c r="K43" s="283">
        <v>3811</v>
      </c>
    </row>
    <row r="44" spans="1:11" x14ac:dyDescent="0.2">
      <c r="A44" s="267">
        <v>44774</v>
      </c>
      <c r="B44" s="279"/>
      <c r="C44" s="289">
        <v>368517</v>
      </c>
      <c r="D44" s="281"/>
      <c r="E44" s="287">
        <f>SUM(C44:C55)</f>
        <v>3989403.69</v>
      </c>
      <c r="F44" s="281"/>
      <c r="G44" s="283">
        <v>707184</v>
      </c>
      <c r="H44" s="278"/>
      <c r="I44" s="283">
        <v>7237</v>
      </c>
      <c r="J44" s="278"/>
      <c r="K44" s="283">
        <v>3778</v>
      </c>
    </row>
    <row r="45" spans="1:11" x14ac:dyDescent="0.2">
      <c r="A45" s="266">
        <v>44743</v>
      </c>
      <c r="B45" s="279"/>
      <c r="C45" s="290">
        <v>356960</v>
      </c>
      <c r="D45" s="281"/>
      <c r="E45" s="287">
        <f t="shared" ref="E45:E107" si="13">SUM(C45:C56)</f>
        <v>3965298.69</v>
      </c>
      <c r="F45" s="281"/>
      <c r="G45" s="284">
        <v>686999</v>
      </c>
      <c r="H45" s="278"/>
      <c r="I45" s="284">
        <v>7115</v>
      </c>
      <c r="J45" s="278"/>
      <c r="K45" s="284">
        <v>3703</v>
      </c>
    </row>
    <row r="46" spans="1:11" x14ac:dyDescent="0.2">
      <c r="A46" s="266">
        <v>44713</v>
      </c>
      <c r="B46" s="279"/>
      <c r="C46" s="290">
        <v>342264</v>
      </c>
      <c r="D46" s="281"/>
      <c r="E46" s="287">
        <f t="shared" si="13"/>
        <v>3960338.69</v>
      </c>
      <c r="F46" s="281"/>
      <c r="G46" s="284">
        <v>657041</v>
      </c>
      <c r="H46" s="278"/>
      <c r="I46" s="284">
        <v>7086</v>
      </c>
      <c r="J46" s="278"/>
      <c r="K46" s="284">
        <v>3698</v>
      </c>
    </row>
    <row r="47" spans="1:11" x14ac:dyDescent="0.2">
      <c r="A47" s="266">
        <v>44682</v>
      </c>
      <c r="B47" s="279"/>
      <c r="C47" s="290">
        <v>339057</v>
      </c>
      <c r="D47" s="281"/>
      <c r="E47" s="287">
        <f t="shared" si="13"/>
        <v>3957780.69</v>
      </c>
      <c r="F47" s="281"/>
      <c r="G47" s="284">
        <v>652894</v>
      </c>
      <c r="H47" s="278"/>
      <c r="I47" s="284">
        <v>7105</v>
      </c>
      <c r="J47" s="278"/>
      <c r="K47" s="284">
        <v>3696</v>
      </c>
    </row>
    <row r="48" spans="1:11" x14ac:dyDescent="0.2">
      <c r="A48" s="266">
        <v>44652</v>
      </c>
      <c r="B48" s="279"/>
      <c r="C48" s="290">
        <v>313668</v>
      </c>
      <c r="D48" s="281"/>
      <c r="E48" s="287">
        <f t="shared" si="13"/>
        <v>3959755.69</v>
      </c>
      <c r="F48" s="281"/>
      <c r="G48" s="284">
        <v>606740</v>
      </c>
      <c r="H48" s="278"/>
      <c r="I48" s="284">
        <v>7076</v>
      </c>
      <c r="J48" s="278"/>
      <c r="K48" s="284">
        <v>3664</v>
      </c>
    </row>
    <row r="49" spans="1:11" x14ac:dyDescent="0.2">
      <c r="A49" s="266">
        <v>44621</v>
      </c>
      <c r="B49" s="279"/>
      <c r="C49" s="290">
        <v>332554</v>
      </c>
      <c r="D49" s="281"/>
      <c r="E49" s="287">
        <f t="shared" si="13"/>
        <v>3979650.69</v>
      </c>
      <c r="F49" s="281"/>
      <c r="G49" s="284">
        <v>642725</v>
      </c>
      <c r="H49" s="278"/>
      <c r="I49" s="284">
        <v>7103</v>
      </c>
      <c r="J49" s="278"/>
      <c r="K49" s="284">
        <v>3682</v>
      </c>
    </row>
    <row r="50" spans="1:11" x14ac:dyDescent="0.2">
      <c r="A50" s="266">
        <v>44593</v>
      </c>
      <c r="B50" s="279"/>
      <c r="C50" s="290">
        <v>296150</v>
      </c>
      <c r="D50" s="281"/>
      <c r="E50" s="287">
        <f t="shared" si="13"/>
        <v>4012639.69</v>
      </c>
      <c r="F50" s="281"/>
      <c r="G50" s="284">
        <v>567284</v>
      </c>
      <c r="H50" s="278"/>
      <c r="I50" s="284">
        <v>7145</v>
      </c>
      <c r="J50" s="278"/>
      <c r="K50" s="284">
        <v>3737</v>
      </c>
    </row>
    <row r="51" spans="1:11" x14ac:dyDescent="0.2">
      <c r="A51" s="266">
        <v>44562</v>
      </c>
      <c r="B51" s="279"/>
      <c r="C51" s="290">
        <v>311891</v>
      </c>
      <c r="D51" s="281"/>
      <c r="E51" s="287">
        <f t="shared" si="13"/>
        <v>4051233.69</v>
      </c>
      <c r="F51" s="281"/>
      <c r="G51" s="284">
        <v>608377</v>
      </c>
      <c r="H51" s="278"/>
      <c r="I51" s="284">
        <v>7112</v>
      </c>
      <c r="J51" s="278"/>
      <c r="K51" s="284">
        <v>3652</v>
      </c>
    </row>
    <row r="52" spans="1:11" x14ac:dyDescent="0.2">
      <c r="A52" s="266">
        <v>44531</v>
      </c>
      <c r="B52" s="279"/>
      <c r="C52" s="290">
        <v>312837.69</v>
      </c>
      <c r="D52" s="281"/>
      <c r="E52" s="287">
        <f t="shared" si="13"/>
        <v>4077526.69</v>
      </c>
      <c r="F52" s="281"/>
      <c r="G52" s="284">
        <v>604376.28</v>
      </c>
      <c r="H52" s="278"/>
      <c r="I52" s="284">
        <v>7032.9615398962951</v>
      </c>
      <c r="J52" s="278"/>
      <c r="K52" s="284">
        <v>3640.4066718170998</v>
      </c>
    </row>
    <row r="53" spans="1:11" x14ac:dyDescent="0.2">
      <c r="A53" s="267">
        <v>44501</v>
      </c>
      <c r="B53" s="279"/>
      <c r="C53" s="290">
        <v>332415</v>
      </c>
      <c r="D53" s="281"/>
      <c r="E53" s="287">
        <f t="shared" si="13"/>
        <v>4091445</v>
      </c>
      <c r="F53" s="281"/>
      <c r="G53" s="284">
        <v>646027</v>
      </c>
      <c r="H53" s="278"/>
      <c r="I53" s="284">
        <v>7088.0541010483885</v>
      </c>
      <c r="J53" s="278"/>
      <c r="K53" s="284">
        <v>3647.17806531306</v>
      </c>
    </row>
    <row r="54" spans="1:11" x14ac:dyDescent="0.2">
      <c r="A54" s="267">
        <v>44470</v>
      </c>
      <c r="B54" s="279"/>
      <c r="C54" s="290">
        <v>342345</v>
      </c>
      <c r="D54" s="281"/>
      <c r="E54" s="287">
        <f t="shared" si="13"/>
        <v>4104464</v>
      </c>
      <c r="F54" s="281"/>
      <c r="G54" s="284">
        <v>666766</v>
      </c>
      <c r="H54" s="278"/>
      <c r="I54" s="284">
        <v>7065.1881114957132</v>
      </c>
      <c r="J54" s="278"/>
      <c r="K54" s="284">
        <v>3627.5572300177269</v>
      </c>
    </row>
    <row r="55" spans="1:11" x14ac:dyDescent="0.2">
      <c r="A55" s="267">
        <v>44440</v>
      </c>
      <c r="B55" s="279"/>
      <c r="C55" s="290">
        <v>340745</v>
      </c>
      <c r="D55" s="281"/>
      <c r="E55" s="287">
        <f t="shared" si="13"/>
        <v>4133298</v>
      </c>
      <c r="F55" s="281"/>
      <c r="G55" s="284">
        <v>659257</v>
      </c>
      <c r="H55" s="278"/>
      <c r="I55" s="284">
        <v>7087.9821929008504</v>
      </c>
      <c r="J55" s="278"/>
      <c r="K55" s="284">
        <v>3663.509818356119</v>
      </c>
    </row>
    <row r="56" spans="1:11" x14ac:dyDescent="0.2">
      <c r="A56" s="267">
        <v>44409</v>
      </c>
      <c r="B56" s="279"/>
      <c r="C56" s="290">
        <v>344412</v>
      </c>
      <c r="D56" s="281"/>
      <c r="E56" s="287">
        <f t="shared" si="13"/>
        <v>4153018</v>
      </c>
      <c r="F56" s="281"/>
      <c r="G56" s="284">
        <v>664655</v>
      </c>
      <c r="H56" s="278"/>
      <c r="I56" s="284">
        <v>7015.0034395433377</v>
      </c>
      <c r="J56" s="278"/>
      <c r="K56" s="284">
        <v>3635.045797624332</v>
      </c>
    </row>
    <row r="57" spans="1:11" x14ac:dyDescent="0.2">
      <c r="A57" s="267">
        <v>44378</v>
      </c>
      <c r="B57" s="279"/>
      <c r="C57" s="290">
        <v>352000</v>
      </c>
      <c r="D57" s="281"/>
      <c r="E57" s="287">
        <f t="shared" si="13"/>
        <v>4163191</v>
      </c>
      <c r="F57" s="281"/>
      <c r="G57" s="284">
        <v>676425</v>
      </c>
      <c r="H57" s="278"/>
      <c r="I57" s="284">
        <v>6908.0836681534083</v>
      </c>
      <c r="J57" s="278"/>
      <c r="K57" s="284">
        <v>3594.84858068522</v>
      </c>
    </row>
    <row r="58" spans="1:11" x14ac:dyDescent="0.2">
      <c r="A58" s="267">
        <v>44348</v>
      </c>
      <c r="B58" s="279"/>
      <c r="C58" s="290">
        <v>339706</v>
      </c>
      <c r="D58" s="281"/>
      <c r="E58" s="287">
        <f t="shared" si="13"/>
        <v>4154678</v>
      </c>
      <c r="F58" s="281"/>
      <c r="G58" s="284">
        <v>650821</v>
      </c>
      <c r="H58" s="278"/>
      <c r="I58" s="284">
        <v>6667.3045629750432</v>
      </c>
      <c r="J58" s="278"/>
      <c r="K58" s="284">
        <v>3480.101846544595</v>
      </c>
    </row>
    <row r="59" spans="1:11" x14ac:dyDescent="0.2">
      <c r="A59" s="267">
        <v>44317</v>
      </c>
      <c r="B59" s="279"/>
      <c r="C59" s="290">
        <v>341032</v>
      </c>
      <c r="D59" s="281"/>
      <c r="E59" s="287">
        <f t="shared" si="13"/>
        <v>4114527</v>
      </c>
      <c r="F59" s="281"/>
      <c r="G59" s="284">
        <v>654841</v>
      </c>
      <c r="H59" s="278"/>
      <c r="I59" s="284">
        <v>6338.3307098160876</v>
      </c>
      <c r="J59" s="278"/>
      <c r="K59" s="284">
        <v>3300.9136548108622</v>
      </c>
    </row>
    <row r="60" spans="1:11" x14ac:dyDescent="0.2">
      <c r="A60" s="267">
        <v>44287</v>
      </c>
      <c r="B60" s="279"/>
      <c r="C60" s="290">
        <v>333563</v>
      </c>
      <c r="D60" s="281"/>
      <c r="E60" s="287">
        <f t="shared" si="13"/>
        <v>4046354</v>
      </c>
      <c r="F60" s="281"/>
      <c r="G60" s="284">
        <v>638823</v>
      </c>
      <c r="H60" s="278"/>
      <c r="I60" s="284">
        <v>6160.1632662495549</v>
      </c>
      <c r="J60" s="278"/>
      <c r="K60" s="284">
        <v>3216.5443942688353</v>
      </c>
    </row>
    <row r="61" spans="1:11" x14ac:dyDescent="0.2">
      <c r="A61" s="267">
        <v>44256</v>
      </c>
      <c r="B61" s="279"/>
      <c r="C61" s="290">
        <v>365543</v>
      </c>
      <c r="D61" s="281"/>
      <c r="E61" s="287">
        <f t="shared" si="13"/>
        <v>4005322</v>
      </c>
      <c r="F61" s="281"/>
      <c r="G61" s="284">
        <v>697876</v>
      </c>
      <c r="H61" s="278"/>
      <c r="I61" s="284">
        <v>5935.7235636026408</v>
      </c>
      <c r="J61" s="278"/>
      <c r="K61" s="284">
        <v>3109.0941637339583</v>
      </c>
    </row>
    <row r="62" spans="1:11" x14ac:dyDescent="0.2">
      <c r="A62" s="267">
        <v>44228</v>
      </c>
      <c r="B62" s="279"/>
      <c r="C62" s="290">
        <v>334744</v>
      </c>
      <c r="D62" s="281"/>
      <c r="E62" s="287">
        <f t="shared" si="13"/>
        <v>3968050</v>
      </c>
      <c r="F62" s="281"/>
      <c r="G62" s="284">
        <v>646399</v>
      </c>
      <c r="H62" s="278"/>
      <c r="I62" s="284">
        <v>5748.3821433095136</v>
      </c>
      <c r="J62" s="278"/>
      <c r="K62" s="284">
        <v>2976.8555214039625</v>
      </c>
    </row>
    <row r="63" spans="1:11" x14ac:dyDescent="0.2">
      <c r="A63" s="267">
        <v>44197</v>
      </c>
      <c r="B63" s="279"/>
      <c r="C63" s="290">
        <v>338184</v>
      </c>
      <c r="D63" s="281"/>
      <c r="E63" s="287">
        <f t="shared" si="13"/>
        <v>3928923</v>
      </c>
      <c r="F63" s="281"/>
      <c r="G63" s="284">
        <v>658572</v>
      </c>
      <c r="H63" s="278"/>
      <c r="I63" s="284">
        <v>5664.910049499681</v>
      </c>
      <c r="J63" s="278"/>
      <c r="K63" s="284">
        <v>2908.9939143783822</v>
      </c>
    </row>
    <row r="64" spans="1:11" x14ac:dyDescent="0.2">
      <c r="A64" s="267">
        <v>44166</v>
      </c>
      <c r="B64" s="279"/>
      <c r="C64" s="290">
        <v>326756</v>
      </c>
      <c r="D64" s="281"/>
      <c r="E64" s="287">
        <f t="shared" si="13"/>
        <v>3909405</v>
      </c>
      <c r="F64" s="281"/>
      <c r="G64" s="284">
        <v>637940</v>
      </c>
      <c r="H64" s="278"/>
      <c r="I64" s="284">
        <v>5114.7484119954952</v>
      </c>
      <c r="J64" s="278"/>
      <c r="K64" s="284">
        <v>2619.7992477505722</v>
      </c>
    </row>
    <row r="65" spans="1:11" x14ac:dyDescent="0.2">
      <c r="A65" s="267">
        <v>44136</v>
      </c>
      <c r="B65" s="279"/>
      <c r="C65" s="290">
        <v>345434</v>
      </c>
      <c r="D65" s="281"/>
      <c r="E65" s="287">
        <f t="shared" si="13"/>
        <v>3877372</v>
      </c>
      <c r="F65" s="281"/>
      <c r="G65" s="284">
        <v>672450</v>
      </c>
      <c r="H65" s="278"/>
      <c r="I65" s="284">
        <v>4872.7255087223612</v>
      </c>
      <c r="J65" s="278"/>
      <c r="K65" s="284">
        <v>2503.0932610305595</v>
      </c>
    </row>
    <row r="66" spans="1:11" x14ac:dyDescent="0.2">
      <c r="A66" s="267">
        <v>44105</v>
      </c>
      <c r="B66" s="279"/>
      <c r="C66" s="290">
        <v>371179</v>
      </c>
      <c r="D66" s="281"/>
      <c r="E66" s="287">
        <f t="shared" si="13"/>
        <v>3864444</v>
      </c>
      <c r="F66" s="281"/>
      <c r="G66" s="284">
        <v>720463</v>
      </c>
      <c r="H66" s="278"/>
      <c r="I66" s="284">
        <v>4663.6160676654663</v>
      </c>
      <c r="J66" s="278"/>
      <c r="K66" s="284">
        <v>2402.6720988864104</v>
      </c>
    </row>
    <row r="67" spans="1:11" x14ac:dyDescent="0.2">
      <c r="A67" s="267">
        <v>44075</v>
      </c>
      <c r="B67" s="279"/>
      <c r="C67" s="290">
        <v>360465</v>
      </c>
      <c r="D67" s="281"/>
      <c r="E67" s="287">
        <f t="shared" si="13"/>
        <v>3837525</v>
      </c>
      <c r="F67" s="281"/>
      <c r="G67" s="284">
        <v>699335</v>
      </c>
      <c r="H67" s="278"/>
      <c r="I67" s="284">
        <v>4506.5720637509885</v>
      </c>
      <c r="J67" s="278"/>
      <c r="K67" s="284">
        <v>2322.8660069351599</v>
      </c>
    </row>
    <row r="68" spans="1:11" x14ac:dyDescent="0.2">
      <c r="A68" s="273">
        <v>44044</v>
      </c>
      <c r="B68" s="280"/>
      <c r="C68" s="291">
        <v>354585</v>
      </c>
      <c r="D68" s="282"/>
      <c r="E68" s="287">
        <f t="shared" si="13"/>
        <v>3789539</v>
      </c>
      <c r="F68" s="282"/>
      <c r="G68" s="285">
        <v>686383</v>
      </c>
      <c r="I68" s="285">
        <v>4426.5816251674487</v>
      </c>
      <c r="K68" s="285">
        <v>2286.7691151441686</v>
      </c>
    </row>
    <row r="69" spans="1:11" x14ac:dyDescent="0.2">
      <c r="A69" s="273">
        <v>44013</v>
      </c>
      <c r="B69" s="280"/>
      <c r="C69" s="291">
        <v>343487</v>
      </c>
      <c r="D69" s="282"/>
      <c r="E69" s="287">
        <f t="shared" si="13"/>
        <v>3764738</v>
      </c>
      <c r="F69" s="282"/>
      <c r="G69" s="285">
        <v>661104</v>
      </c>
      <c r="I69" s="285">
        <v>4370.5503745119904</v>
      </c>
      <c r="K69" s="285">
        <v>2270.7883124137807</v>
      </c>
    </row>
    <row r="70" spans="1:11" x14ac:dyDescent="0.2">
      <c r="A70" s="273">
        <v>43983</v>
      </c>
      <c r="B70" s="280"/>
      <c r="C70" s="291">
        <v>299555</v>
      </c>
      <c r="D70" s="282"/>
      <c r="E70" s="287">
        <f t="shared" si="13"/>
        <v>3740623</v>
      </c>
      <c r="F70" s="282"/>
      <c r="G70" s="285">
        <v>576896</v>
      </c>
      <c r="I70" s="285">
        <v>4346.3038788536333</v>
      </c>
      <c r="K70" s="285">
        <v>2256.8314885698637</v>
      </c>
    </row>
    <row r="71" spans="1:11" x14ac:dyDescent="0.2">
      <c r="A71" s="273">
        <v>43952</v>
      </c>
      <c r="B71" s="280"/>
      <c r="C71" s="291">
        <v>272859</v>
      </c>
      <c r="D71" s="282"/>
      <c r="E71" s="287">
        <f t="shared" si="13"/>
        <v>3724252</v>
      </c>
      <c r="F71" s="282"/>
      <c r="G71" s="285">
        <v>524439</v>
      </c>
      <c r="I71" s="285">
        <v>4288.0811599763974</v>
      </c>
      <c r="K71" s="285">
        <v>2231.0345668991054</v>
      </c>
    </row>
    <row r="72" spans="1:11" x14ac:dyDescent="0.2">
      <c r="A72" s="273">
        <v>43922</v>
      </c>
      <c r="B72" s="280"/>
      <c r="C72" s="291">
        <v>292531</v>
      </c>
      <c r="D72" s="282"/>
      <c r="E72" s="287">
        <f t="shared" si="13"/>
        <v>3765129</v>
      </c>
      <c r="F72" s="282"/>
      <c r="G72" s="285">
        <v>563777</v>
      </c>
      <c r="I72" s="285">
        <v>4312.9556130119536</v>
      </c>
      <c r="K72" s="285">
        <v>2237.8940936398612</v>
      </c>
    </row>
    <row r="73" spans="1:11" x14ac:dyDescent="0.2">
      <c r="A73" s="273">
        <v>43891</v>
      </c>
      <c r="B73" s="280"/>
      <c r="C73" s="291">
        <v>328271</v>
      </c>
      <c r="D73" s="282"/>
      <c r="E73" s="287">
        <f t="shared" si="13"/>
        <v>3773918</v>
      </c>
      <c r="F73" s="282"/>
      <c r="G73" s="285">
        <v>637685</v>
      </c>
      <c r="I73" s="285">
        <v>4299.4351955853554</v>
      </c>
      <c r="K73" s="285">
        <v>2213.2869537310744</v>
      </c>
    </row>
    <row r="74" spans="1:11" x14ac:dyDescent="0.2">
      <c r="A74" s="273">
        <v>43862</v>
      </c>
      <c r="B74" s="280"/>
      <c r="C74" s="291">
        <v>295617</v>
      </c>
      <c r="D74" s="282"/>
      <c r="E74" s="287">
        <f t="shared" si="13"/>
        <v>3743437</v>
      </c>
      <c r="F74" s="282"/>
      <c r="G74" s="285">
        <v>575786</v>
      </c>
      <c r="I74" s="285">
        <v>4274.4648501270221</v>
      </c>
      <c r="K74" s="285">
        <v>2194.5731150114798</v>
      </c>
    </row>
    <row r="75" spans="1:11" x14ac:dyDescent="0.2">
      <c r="A75" s="273">
        <v>43831</v>
      </c>
      <c r="B75" s="280"/>
      <c r="C75" s="291">
        <v>318666</v>
      </c>
      <c r="D75" s="282"/>
      <c r="E75" s="287">
        <f t="shared" si="13"/>
        <v>3733917</v>
      </c>
      <c r="F75" s="282"/>
      <c r="G75" s="285">
        <v>621995</v>
      </c>
      <c r="I75" s="285">
        <v>4250.8136364720431</v>
      </c>
      <c r="K75" s="285">
        <v>2177.8145777377631</v>
      </c>
    </row>
    <row r="76" spans="1:11" x14ac:dyDescent="0.2">
      <c r="A76" s="273">
        <v>43800</v>
      </c>
      <c r="B76" s="280"/>
      <c r="C76" s="291">
        <v>294723</v>
      </c>
      <c r="D76" s="282"/>
      <c r="E76" s="287">
        <f t="shared" si="13"/>
        <v>3712956</v>
      </c>
      <c r="F76" s="282"/>
      <c r="G76" s="285">
        <v>574941</v>
      </c>
      <c r="I76" s="285">
        <v>4119.6541006640136</v>
      </c>
      <c r="K76" s="285">
        <v>2111.7937588552563</v>
      </c>
    </row>
    <row r="77" spans="1:11" x14ac:dyDescent="0.2">
      <c r="A77" s="273">
        <v>43770</v>
      </c>
      <c r="B77" s="280"/>
      <c r="C77" s="291">
        <v>332506</v>
      </c>
      <c r="D77" s="282"/>
      <c r="E77" s="287">
        <f t="shared" si="13"/>
        <v>3691462</v>
      </c>
      <c r="F77" s="282"/>
      <c r="G77" s="285">
        <v>652600</v>
      </c>
      <c r="I77" s="285">
        <v>4157.36522381551</v>
      </c>
      <c r="K77" s="285">
        <v>2118.2177154612323</v>
      </c>
    </row>
    <row r="78" spans="1:11" x14ac:dyDescent="0.2">
      <c r="A78" s="273">
        <v>43739</v>
      </c>
      <c r="B78" s="280"/>
      <c r="C78" s="291">
        <v>344260</v>
      </c>
      <c r="D78" s="282"/>
      <c r="E78" s="287">
        <f t="shared" si="13"/>
        <v>3677006</v>
      </c>
      <c r="F78" s="282"/>
      <c r="G78" s="285">
        <v>673777</v>
      </c>
      <c r="I78" s="285">
        <v>4164.9288217626208</v>
      </c>
      <c r="K78" s="285">
        <v>2128.0310787990684</v>
      </c>
    </row>
    <row r="79" spans="1:11" x14ac:dyDescent="0.2">
      <c r="A79" s="273">
        <v>43709</v>
      </c>
      <c r="B79" s="280"/>
      <c r="C79" s="291">
        <v>312479</v>
      </c>
      <c r="D79" s="282"/>
      <c r="E79" s="287">
        <f t="shared" si="13"/>
        <v>3666845</v>
      </c>
      <c r="F79" s="282"/>
      <c r="G79" s="285">
        <v>609810</v>
      </c>
      <c r="I79" s="285">
        <v>4160.7735539668256</v>
      </c>
      <c r="K79" s="285">
        <v>2132.0646748495433</v>
      </c>
    </row>
    <row r="80" spans="1:11" x14ac:dyDescent="0.2">
      <c r="A80" s="273">
        <v>43678</v>
      </c>
      <c r="B80" s="280"/>
      <c r="C80" s="291">
        <v>329784</v>
      </c>
      <c r="D80" s="282"/>
      <c r="E80" s="287">
        <f t="shared" si="13"/>
        <v>3659852</v>
      </c>
      <c r="F80" s="282"/>
      <c r="G80" s="285">
        <v>640163</v>
      </c>
      <c r="I80" s="285">
        <v>4148.4025230150646</v>
      </c>
      <c r="K80" s="285">
        <v>2137.0756786162274</v>
      </c>
    </row>
    <row r="81" spans="1:11" x14ac:dyDescent="0.2">
      <c r="A81" s="273">
        <v>43647</v>
      </c>
      <c r="B81" s="280"/>
      <c r="C81" s="291">
        <v>319372</v>
      </c>
      <c r="D81" s="282"/>
      <c r="E81" s="287">
        <f t="shared" si="13"/>
        <v>3667202</v>
      </c>
      <c r="F81" s="282"/>
      <c r="G81" s="285">
        <v>619148</v>
      </c>
      <c r="I81" s="285">
        <v>4130.7098776974817</v>
      </c>
      <c r="K81" s="285">
        <v>2130.7233085788857</v>
      </c>
    </row>
    <row r="82" spans="1:11" x14ac:dyDescent="0.2">
      <c r="A82" s="273">
        <v>43617</v>
      </c>
      <c r="B82" s="280"/>
      <c r="C82" s="291">
        <v>283184</v>
      </c>
      <c r="D82" s="282"/>
      <c r="E82" s="287">
        <f t="shared" si="13"/>
        <v>3665482</v>
      </c>
      <c r="F82" s="282"/>
      <c r="G82" s="285">
        <v>547505</v>
      </c>
      <c r="I82" s="285">
        <v>4112.6985980846375</v>
      </c>
      <c r="K82" s="285">
        <v>2127.1959887124317</v>
      </c>
    </row>
    <row r="83" spans="1:11" x14ac:dyDescent="0.2">
      <c r="A83" s="273">
        <v>43586</v>
      </c>
      <c r="B83" s="280"/>
      <c r="C83" s="291">
        <v>313736</v>
      </c>
      <c r="D83" s="282"/>
      <c r="E83" s="287">
        <f t="shared" si="13"/>
        <v>3713694</v>
      </c>
      <c r="F83" s="282"/>
      <c r="G83" s="285">
        <v>605420</v>
      </c>
      <c r="I83" s="285">
        <v>4106.6644387638016</v>
      </c>
      <c r="K83" s="285">
        <v>2128.1234091374586</v>
      </c>
    </row>
    <row r="84" spans="1:11" x14ac:dyDescent="0.2">
      <c r="A84" s="273">
        <v>43556</v>
      </c>
      <c r="B84" s="280"/>
      <c r="C84" s="291">
        <v>301320</v>
      </c>
      <c r="D84" s="282"/>
      <c r="E84" s="287">
        <f t="shared" si="13"/>
        <v>3642092</v>
      </c>
      <c r="F84" s="282"/>
      <c r="G84" s="285">
        <v>581376</v>
      </c>
      <c r="I84" s="285">
        <v>4093.0408743196595</v>
      </c>
      <c r="K84" s="285">
        <v>2121.3725304278123</v>
      </c>
    </row>
    <row r="85" spans="1:11" x14ac:dyDescent="0.2">
      <c r="A85" s="273">
        <v>43525</v>
      </c>
      <c r="B85" s="280"/>
      <c r="C85" s="291">
        <v>297790</v>
      </c>
      <c r="D85" s="282"/>
      <c r="E85" s="287">
        <f t="shared" si="13"/>
        <v>3637449</v>
      </c>
      <c r="F85" s="282"/>
      <c r="G85" s="285">
        <v>579403</v>
      </c>
      <c r="I85" s="285">
        <v>4072.6497817253771</v>
      </c>
      <c r="K85" s="285">
        <v>2093.1793216465917</v>
      </c>
    </row>
    <row r="86" spans="1:11" x14ac:dyDescent="0.2">
      <c r="A86" s="273">
        <v>43497</v>
      </c>
      <c r="B86" s="280"/>
      <c r="C86" s="291">
        <v>286097</v>
      </c>
      <c r="D86" s="282"/>
      <c r="E86" s="287">
        <f t="shared" si="13"/>
        <v>3650961</v>
      </c>
      <c r="F86" s="282"/>
      <c r="G86" s="285">
        <v>564514</v>
      </c>
      <c r="I86" s="285">
        <v>4017.7548714247264</v>
      </c>
      <c r="K86" s="285">
        <v>2036.2074553509744</v>
      </c>
    </row>
    <row r="87" spans="1:11" ht="13.5" thickBot="1" x14ac:dyDescent="0.25">
      <c r="A87" s="274">
        <v>43466</v>
      </c>
      <c r="B87" s="280"/>
      <c r="C87" s="292">
        <v>297705</v>
      </c>
      <c r="D87" s="282"/>
      <c r="E87" s="287">
        <f>SUM(C87:C98)</f>
        <v>3640004</v>
      </c>
      <c r="F87" s="282"/>
      <c r="G87" s="286">
        <v>592659</v>
      </c>
      <c r="I87" s="286">
        <v>3947.8401844443324</v>
      </c>
      <c r="K87" s="286">
        <v>1983.0826193645926</v>
      </c>
    </row>
    <row r="88" spans="1:11" ht="13.5" thickTop="1" x14ac:dyDescent="0.2">
      <c r="A88" s="275">
        <v>43435</v>
      </c>
      <c r="B88" s="280"/>
      <c r="C88" s="293">
        <v>273229</v>
      </c>
      <c r="D88" s="282"/>
      <c r="E88" s="287">
        <f t="shared" si="13"/>
        <v>3641289</v>
      </c>
      <c r="F88" s="282"/>
      <c r="G88" s="287">
        <v>544440</v>
      </c>
      <c r="I88" s="287">
        <v>4036.3472409956485</v>
      </c>
      <c r="K88" s="287">
        <v>2025.6541038681949</v>
      </c>
    </row>
    <row r="89" spans="1:11" x14ac:dyDescent="0.2">
      <c r="A89" s="273">
        <v>43405</v>
      </c>
      <c r="B89" s="280"/>
      <c r="C89" s="291">
        <v>318050</v>
      </c>
      <c r="D89" s="282"/>
      <c r="E89" s="287">
        <f t="shared" si="13"/>
        <v>3651806</v>
      </c>
      <c r="F89" s="282"/>
      <c r="G89" s="285">
        <v>627275</v>
      </c>
      <c r="I89" s="285">
        <v>4011.322464895457</v>
      </c>
      <c r="K89" s="285">
        <v>2033.8784583476147</v>
      </c>
    </row>
    <row r="90" spans="1:11" x14ac:dyDescent="0.2">
      <c r="A90" s="273">
        <v>43374</v>
      </c>
      <c r="B90" s="280"/>
      <c r="C90" s="291">
        <v>334099</v>
      </c>
      <c r="D90" s="282"/>
      <c r="E90" s="287">
        <f t="shared" si="13"/>
        <v>3650491</v>
      </c>
      <c r="F90" s="282"/>
      <c r="G90" s="285">
        <v>661954</v>
      </c>
      <c r="I90" s="285">
        <v>4025.2831866003785</v>
      </c>
      <c r="K90" s="285">
        <v>2031.6261966239347</v>
      </c>
    </row>
    <row r="91" spans="1:11" x14ac:dyDescent="0.2">
      <c r="A91" s="273">
        <v>43344</v>
      </c>
      <c r="B91" s="280"/>
      <c r="C91" s="291">
        <v>305486</v>
      </c>
      <c r="D91" s="282"/>
      <c r="E91" s="287">
        <f t="shared" si="13"/>
        <v>3637967</v>
      </c>
      <c r="F91" s="282"/>
      <c r="G91" s="285">
        <v>600492</v>
      </c>
      <c r="I91" s="285">
        <v>4005.5048846755658</v>
      </c>
      <c r="K91" s="285">
        <v>2037.7051904105299</v>
      </c>
    </row>
    <row r="92" spans="1:11" x14ac:dyDescent="0.2">
      <c r="A92" s="273">
        <v>43313</v>
      </c>
      <c r="B92" s="280"/>
      <c r="C92" s="291">
        <v>337134</v>
      </c>
      <c r="D92" s="282"/>
      <c r="E92" s="287">
        <f t="shared" si="13"/>
        <v>3640883</v>
      </c>
      <c r="F92" s="282"/>
      <c r="G92" s="285">
        <v>658040</v>
      </c>
      <c r="I92" s="285">
        <v>3950.120764265841</v>
      </c>
      <c r="K92" s="285">
        <v>2023.7675730046808</v>
      </c>
    </row>
    <row r="93" spans="1:11" x14ac:dyDescent="0.2">
      <c r="A93" s="273">
        <v>43282</v>
      </c>
      <c r="B93" s="280"/>
      <c r="C93" s="291">
        <v>317652</v>
      </c>
      <c r="D93" s="282"/>
      <c r="E93" s="287">
        <f t="shared" si="13"/>
        <v>3633411</v>
      </c>
      <c r="F93" s="282"/>
      <c r="G93" s="285">
        <v>624609</v>
      </c>
      <c r="I93" s="285">
        <v>3971.1855066550816</v>
      </c>
      <c r="K93" s="285">
        <v>2019.5914861297229</v>
      </c>
    </row>
    <row r="94" spans="1:11" x14ac:dyDescent="0.2">
      <c r="A94" s="273">
        <v>43252</v>
      </c>
      <c r="B94" s="280"/>
      <c r="C94" s="291">
        <v>331396</v>
      </c>
      <c r="D94" s="282"/>
      <c r="E94" s="287">
        <f t="shared" si="13"/>
        <v>3620769</v>
      </c>
      <c r="F94" s="282"/>
      <c r="G94" s="285">
        <v>646491</v>
      </c>
      <c r="I94" s="285">
        <v>3942.8836804608386</v>
      </c>
      <c r="K94" s="285">
        <v>2021.1509211574485</v>
      </c>
    </row>
    <row r="95" spans="1:11" x14ac:dyDescent="0.2">
      <c r="A95" s="273">
        <v>43221</v>
      </c>
      <c r="B95" s="280"/>
      <c r="C95" s="291">
        <v>242134</v>
      </c>
      <c r="D95" s="282"/>
      <c r="E95" s="287">
        <f t="shared" si="13"/>
        <v>3588023</v>
      </c>
      <c r="F95" s="282"/>
      <c r="G95" s="285">
        <v>477714</v>
      </c>
      <c r="I95" s="285">
        <v>3939.1500733478156</v>
      </c>
      <c r="K95" s="285">
        <v>1996.5966328388952</v>
      </c>
    </row>
    <row r="96" spans="1:11" x14ac:dyDescent="0.2">
      <c r="A96" s="273">
        <v>43191</v>
      </c>
      <c r="B96" s="280"/>
      <c r="C96" s="291">
        <v>296677</v>
      </c>
      <c r="D96" s="282"/>
      <c r="E96" s="287">
        <f t="shared" si="13"/>
        <v>3649504</v>
      </c>
      <c r="F96" s="282"/>
      <c r="G96" s="285">
        <v>584770</v>
      </c>
      <c r="I96" s="285">
        <v>3924.2830991954211</v>
      </c>
      <c r="K96" s="285">
        <v>1990.9443661952562</v>
      </c>
    </row>
    <row r="97" spans="1:11" x14ac:dyDescent="0.2">
      <c r="A97" s="273">
        <v>43160</v>
      </c>
      <c r="B97" s="280"/>
      <c r="C97" s="291">
        <v>311302</v>
      </c>
      <c r="D97" s="282"/>
      <c r="E97" s="287">
        <f t="shared" si="13"/>
        <v>3626480</v>
      </c>
      <c r="F97" s="282"/>
      <c r="G97" s="285">
        <v>614165</v>
      </c>
      <c r="I97" s="285">
        <v>3893.7540489942248</v>
      </c>
      <c r="K97" s="285">
        <v>1973.6282968909009</v>
      </c>
    </row>
    <row r="98" spans="1:11" x14ac:dyDescent="0.2">
      <c r="A98" s="273">
        <v>43132</v>
      </c>
      <c r="B98" s="280"/>
      <c r="C98" s="291">
        <v>275140</v>
      </c>
      <c r="D98" s="282"/>
      <c r="E98" s="287">
        <f t="shared" si="13"/>
        <v>3622175</v>
      </c>
      <c r="F98" s="282"/>
      <c r="G98" s="285">
        <v>545152</v>
      </c>
      <c r="I98" s="285">
        <v>3847.0423309587845</v>
      </c>
      <c r="K98" s="285">
        <v>1941.614865101843</v>
      </c>
    </row>
    <row r="99" spans="1:11" ht="13.5" thickBot="1" x14ac:dyDescent="0.25">
      <c r="A99" s="274">
        <v>43101</v>
      </c>
      <c r="B99" s="280"/>
      <c r="C99" s="292">
        <v>298990</v>
      </c>
      <c r="D99" s="282"/>
      <c r="E99" s="287">
        <f t="shared" si="13"/>
        <v>3613449</v>
      </c>
      <c r="F99" s="282"/>
      <c r="G99" s="286">
        <v>595940</v>
      </c>
      <c r="I99" s="286">
        <v>3837.1168507307934</v>
      </c>
      <c r="K99" s="286">
        <v>1925.1259643588278</v>
      </c>
    </row>
    <row r="100" spans="1:11" ht="13.5" thickTop="1" x14ac:dyDescent="0.2">
      <c r="A100" s="275">
        <v>43070</v>
      </c>
      <c r="B100" s="280"/>
      <c r="C100" s="293">
        <v>283746</v>
      </c>
      <c r="D100" s="282"/>
      <c r="E100" s="287">
        <f t="shared" si="13"/>
        <v>3600791</v>
      </c>
      <c r="F100" s="282"/>
      <c r="G100" s="287">
        <v>563581</v>
      </c>
      <c r="I100" s="287">
        <v>3798.5001297287013</v>
      </c>
      <c r="K100" s="287">
        <v>1912.4300106107198</v>
      </c>
    </row>
    <row r="101" spans="1:11" x14ac:dyDescent="0.2">
      <c r="A101" s="273">
        <v>43040</v>
      </c>
      <c r="B101" s="280"/>
      <c r="C101" s="291">
        <v>316735</v>
      </c>
      <c r="D101" s="282"/>
      <c r="E101" s="287">
        <f t="shared" si="13"/>
        <v>3582605.5997283547</v>
      </c>
      <c r="F101" s="282"/>
      <c r="G101" s="285">
        <v>629526</v>
      </c>
      <c r="I101" s="285">
        <v>3810.8128065101741</v>
      </c>
      <c r="K101" s="285">
        <v>1917.3438337256921</v>
      </c>
    </row>
    <row r="102" spans="1:11" x14ac:dyDescent="0.2">
      <c r="A102" s="273">
        <v>43009</v>
      </c>
      <c r="B102" s="280"/>
      <c r="C102" s="291">
        <v>321575</v>
      </c>
      <c r="D102" s="282"/>
      <c r="E102" s="287">
        <f t="shared" si="13"/>
        <v>3551252.5639195582</v>
      </c>
      <c r="F102" s="282"/>
      <c r="G102" s="285">
        <v>637631</v>
      </c>
      <c r="I102" s="285">
        <v>3806.9780960584626</v>
      </c>
      <c r="K102" s="285">
        <v>1919.9646523459494</v>
      </c>
    </row>
    <row r="103" spans="1:11" x14ac:dyDescent="0.2">
      <c r="A103" s="273">
        <v>42979</v>
      </c>
      <c r="B103" s="280"/>
      <c r="C103" s="291">
        <v>308402</v>
      </c>
      <c r="D103" s="282"/>
      <c r="E103" s="287">
        <f t="shared" si="13"/>
        <v>3518010.1772499685</v>
      </c>
      <c r="F103" s="282"/>
      <c r="G103" s="285">
        <v>614295</v>
      </c>
      <c r="I103" s="285">
        <v>3794.8784130777362</v>
      </c>
      <c r="K103" s="285">
        <v>1905.1890253868255</v>
      </c>
    </row>
    <row r="104" spans="1:11" x14ac:dyDescent="0.2">
      <c r="A104" s="273">
        <v>42948</v>
      </c>
      <c r="B104" s="280"/>
      <c r="C104" s="291">
        <v>329662</v>
      </c>
      <c r="D104" s="282"/>
      <c r="E104" s="287">
        <f t="shared" si="13"/>
        <v>3491994.8333962006</v>
      </c>
      <c r="F104" s="282"/>
      <c r="G104" s="285">
        <v>649577</v>
      </c>
      <c r="I104" s="285">
        <v>3765.6960540189648</v>
      </c>
      <c r="K104" s="285">
        <v>1911.1004431499271</v>
      </c>
    </row>
    <row r="105" spans="1:11" x14ac:dyDescent="0.2">
      <c r="A105" s="273">
        <v>42917</v>
      </c>
      <c r="B105" s="280"/>
      <c r="C105" s="291">
        <v>305010</v>
      </c>
      <c r="D105" s="282"/>
      <c r="E105" s="287">
        <f t="shared" si="13"/>
        <v>3456724.2127460195</v>
      </c>
      <c r="F105" s="282"/>
      <c r="G105" s="285">
        <v>597572</v>
      </c>
      <c r="I105" s="285">
        <v>3761.7112169764928</v>
      </c>
      <c r="K105" s="285">
        <v>1920.0356413787795</v>
      </c>
    </row>
    <row r="106" spans="1:11" x14ac:dyDescent="0.2">
      <c r="A106" s="273">
        <v>42887</v>
      </c>
      <c r="B106" s="280"/>
      <c r="C106" s="291">
        <v>298650</v>
      </c>
      <c r="D106" s="282"/>
      <c r="E106" s="287">
        <f t="shared" si="13"/>
        <v>3439683.9840076813</v>
      </c>
      <c r="F106" s="282"/>
      <c r="G106" s="285">
        <v>583347</v>
      </c>
      <c r="I106" s="285">
        <v>3755.6266589988277</v>
      </c>
      <c r="K106" s="285">
        <v>1922.7284990065946</v>
      </c>
    </row>
    <row r="107" spans="1:11" x14ac:dyDescent="0.2">
      <c r="A107" s="273">
        <v>42856</v>
      </c>
      <c r="B107" s="280"/>
      <c r="C107" s="291">
        <v>303615</v>
      </c>
      <c r="D107" s="282"/>
      <c r="E107" s="287">
        <f t="shared" si="13"/>
        <v>3423508.5478256471</v>
      </c>
      <c r="F107" s="282"/>
      <c r="G107" s="285">
        <v>592207</v>
      </c>
      <c r="I107" s="285">
        <v>3748.6580459463466</v>
      </c>
      <c r="K107" s="285">
        <v>1921.8766624170264</v>
      </c>
    </row>
    <row r="108" spans="1:11" x14ac:dyDescent="0.2">
      <c r="A108" s="273">
        <v>42826</v>
      </c>
      <c r="B108" s="280"/>
      <c r="C108" s="294">
        <v>273653</v>
      </c>
      <c r="D108" s="282"/>
      <c r="E108" s="287">
        <f t="shared" ref="E108:E171" si="14">SUM(C108:C119)</f>
        <v>3398340.4074061783</v>
      </c>
      <c r="F108" s="282"/>
      <c r="G108" s="285">
        <v>536246</v>
      </c>
      <c r="I108" s="285">
        <v>3754.8385925971938</v>
      </c>
      <c r="K108" s="285">
        <v>1916.140811082973</v>
      </c>
    </row>
    <row r="109" spans="1:11" x14ac:dyDescent="0.2">
      <c r="A109" s="273">
        <v>42795</v>
      </c>
      <c r="B109" s="280"/>
      <c r="C109" s="291">
        <v>306997</v>
      </c>
      <c r="D109" s="282"/>
      <c r="E109" s="287">
        <f t="shared" si="14"/>
        <v>3402401.2409869847</v>
      </c>
      <c r="F109" s="282"/>
      <c r="G109" s="285">
        <v>601910</v>
      </c>
      <c r="I109" s="285">
        <v>3747.1201097730595</v>
      </c>
      <c r="K109" s="285">
        <v>1911.1738172484258</v>
      </c>
    </row>
    <row r="110" spans="1:11" x14ac:dyDescent="0.2">
      <c r="A110" s="273">
        <v>42767</v>
      </c>
      <c r="B110" s="280"/>
      <c r="C110" s="291">
        <v>266414</v>
      </c>
      <c r="D110" s="282"/>
      <c r="E110" s="287">
        <f t="shared" si="14"/>
        <v>3375082.6725849775</v>
      </c>
      <c r="F110" s="282"/>
      <c r="G110" s="285">
        <v>523720</v>
      </c>
      <c r="I110" s="285">
        <v>3723.2317153753183</v>
      </c>
      <c r="K110" s="285">
        <v>1893.9911674558925</v>
      </c>
    </row>
    <row r="111" spans="1:11" ht="13.5" thickBot="1" x14ac:dyDescent="0.25">
      <c r="A111" s="274">
        <v>42736</v>
      </c>
      <c r="B111" s="280"/>
      <c r="C111" s="292">
        <v>286332</v>
      </c>
      <c r="D111" s="282"/>
      <c r="E111" s="287">
        <f t="shared" si="14"/>
        <v>3359604.3482848499</v>
      </c>
      <c r="F111" s="282"/>
      <c r="G111" s="286">
        <v>568703</v>
      </c>
      <c r="I111" s="286">
        <v>3696.2283686419955</v>
      </c>
      <c r="K111" s="286">
        <v>1860.9862463359607</v>
      </c>
    </row>
    <row r="112" spans="1:11" ht="13.5" thickTop="1" x14ac:dyDescent="0.2">
      <c r="A112" s="275">
        <v>42705</v>
      </c>
      <c r="B112" s="280"/>
      <c r="C112" s="293">
        <v>265560.59972835478</v>
      </c>
      <c r="D112" s="282"/>
      <c r="E112" s="287">
        <f t="shared" si="14"/>
        <v>3337548.5946961213</v>
      </c>
      <c r="F112" s="282"/>
      <c r="G112" s="287">
        <v>528341.24719047151</v>
      </c>
      <c r="I112" s="287">
        <v>3640.1975781972164</v>
      </c>
      <c r="K112" s="287">
        <v>1829.675530987374</v>
      </c>
    </row>
    <row r="113" spans="1:11" x14ac:dyDescent="0.2">
      <c r="A113" s="273">
        <v>42675</v>
      </c>
      <c r="B113" s="280"/>
      <c r="C113" s="291">
        <v>285381.9641912033</v>
      </c>
      <c r="D113" s="282"/>
      <c r="E113" s="287">
        <f t="shared" si="14"/>
        <v>3345533.8901508553</v>
      </c>
      <c r="F113" s="282"/>
      <c r="G113" s="285">
        <v>567695.6188449522</v>
      </c>
      <c r="I113" s="285">
        <v>3663.8849385314443</v>
      </c>
      <c r="K113" s="285">
        <v>1841.8438431074867</v>
      </c>
    </row>
    <row r="114" spans="1:11" x14ac:dyDescent="0.2">
      <c r="A114" s="273">
        <v>42644</v>
      </c>
      <c r="B114" s="280"/>
      <c r="C114" s="291">
        <v>288332.61333041033</v>
      </c>
      <c r="D114" s="282"/>
      <c r="E114" s="287">
        <f t="shared" si="14"/>
        <v>3352522.5061764647</v>
      </c>
      <c r="F114" s="282"/>
      <c r="G114" s="285">
        <v>564236.5302226739</v>
      </c>
      <c r="I114" s="285">
        <v>3656.1997152136601</v>
      </c>
      <c r="K114" s="285">
        <v>1868.3682503318598</v>
      </c>
    </row>
    <row r="115" spans="1:11" x14ac:dyDescent="0.2">
      <c r="A115" s="273">
        <v>42614</v>
      </c>
      <c r="B115" s="280"/>
      <c r="C115" s="291">
        <v>282386.6561462321</v>
      </c>
      <c r="D115" s="282"/>
      <c r="E115" s="287">
        <f t="shared" si="14"/>
        <v>3376989.8088932107</v>
      </c>
      <c r="F115" s="282"/>
      <c r="G115" s="285">
        <v>556693.13877621002</v>
      </c>
      <c r="I115" s="285">
        <v>3654.8789676924484</v>
      </c>
      <c r="K115" s="285">
        <v>1853.9640214979581</v>
      </c>
    </row>
    <row r="116" spans="1:11" x14ac:dyDescent="0.2">
      <c r="A116" s="273">
        <v>42583</v>
      </c>
      <c r="B116" s="280"/>
      <c r="C116" s="291">
        <v>294391.37934981892</v>
      </c>
      <c r="D116" s="282"/>
      <c r="E116" s="287">
        <f t="shared" si="14"/>
        <v>3386679.0249554701</v>
      </c>
      <c r="F116" s="282"/>
      <c r="G116" s="285">
        <v>579491.12234021898</v>
      </c>
      <c r="I116" s="285">
        <v>3638.4618486502181</v>
      </c>
      <c r="K116" s="285">
        <v>1848.4007106272263</v>
      </c>
    </row>
    <row r="117" spans="1:11" x14ac:dyDescent="0.2">
      <c r="A117" s="273">
        <v>42552</v>
      </c>
      <c r="B117" s="280"/>
      <c r="C117" s="291">
        <v>287969.7712616616</v>
      </c>
      <c r="D117" s="282"/>
      <c r="E117" s="287">
        <f t="shared" si="14"/>
        <v>3378702.496838124</v>
      </c>
      <c r="F117" s="282"/>
      <c r="G117" s="285">
        <v>568374.8913671216</v>
      </c>
      <c r="I117" s="285">
        <v>3603.3488461941201</v>
      </c>
      <c r="K117" s="285">
        <v>1825.6533826091488</v>
      </c>
    </row>
    <row r="118" spans="1:11" x14ac:dyDescent="0.2">
      <c r="A118" s="273">
        <v>42522</v>
      </c>
      <c r="B118" s="280"/>
      <c r="C118" s="291">
        <v>282474.56381796638</v>
      </c>
      <c r="D118" s="282"/>
      <c r="E118" s="287">
        <f t="shared" si="14"/>
        <v>3379317.5808902206</v>
      </c>
      <c r="F118" s="282"/>
      <c r="G118" s="285">
        <v>553988.35595294298</v>
      </c>
      <c r="I118" s="285">
        <v>3605.1124715468031</v>
      </c>
      <c r="K118" s="285">
        <v>1838.2201755182653</v>
      </c>
    </row>
    <row r="119" spans="1:11" x14ac:dyDescent="0.2">
      <c r="A119" s="273">
        <v>42491</v>
      </c>
      <c r="B119" s="280"/>
      <c r="C119" s="291">
        <v>278446.85958053055</v>
      </c>
      <c r="D119" s="282"/>
      <c r="E119" s="287">
        <f t="shared" si="14"/>
        <v>3371770.4096054649</v>
      </c>
      <c r="F119" s="282"/>
      <c r="G119" s="285">
        <v>544877.95393233665</v>
      </c>
      <c r="I119" s="285">
        <v>3603.7576297710066</v>
      </c>
      <c r="K119" s="285">
        <v>1841.6142320629162</v>
      </c>
    </row>
    <row r="120" spans="1:11" x14ac:dyDescent="0.2">
      <c r="A120" s="273">
        <v>42461</v>
      </c>
      <c r="B120" s="280"/>
      <c r="C120" s="291">
        <v>277713.8335808065</v>
      </c>
      <c r="D120" s="282"/>
      <c r="E120" s="287">
        <f t="shared" si="14"/>
        <v>3374270.28165075</v>
      </c>
      <c r="F120" s="282"/>
      <c r="G120" s="285">
        <v>544407.16675713484</v>
      </c>
      <c r="I120" s="285">
        <v>3614.3086053031302</v>
      </c>
      <c r="K120" s="285">
        <v>1843.7367467107752</v>
      </c>
    </row>
    <row r="121" spans="1:11" x14ac:dyDescent="0.2">
      <c r="A121" s="273">
        <v>42430</v>
      </c>
      <c r="B121" s="280"/>
      <c r="C121" s="291">
        <v>279678.43159799371</v>
      </c>
      <c r="D121" s="282"/>
      <c r="E121" s="287">
        <f t="shared" si="14"/>
        <v>3374700.0475726877</v>
      </c>
      <c r="F121" s="282"/>
      <c r="G121" s="285">
        <v>551162.88222542056</v>
      </c>
      <c r="I121" s="285">
        <v>3587.617759805898</v>
      </c>
      <c r="K121" s="285">
        <v>1820.4769235988724</v>
      </c>
    </row>
    <row r="122" spans="1:11" x14ac:dyDescent="0.2">
      <c r="A122" s="273">
        <v>42401</v>
      </c>
      <c r="B122" s="280"/>
      <c r="C122" s="291">
        <v>250935.67569987228</v>
      </c>
      <c r="D122" s="282"/>
      <c r="E122" s="287">
        <f t="shared" si="14"/>
        <v>3391488.9122846164</v>
      </c>
      <c r="F122" s="282"/>
      <c r="G122" s="285">
        <v>494599.84807423298</v>
      </c>
      <c r="I122" s="285">
        <v>3556.3823954077347</v>
      </c>
      <c r="K122" s="285">
        <v>1804.3337920816127</v>
      </c>
    </row>
    <row r="123" spans="1:11" ht="13.5" thickBot="1" x14ac:dyDescent="0.25">
      <c r="A123" s="274">
        <v>42370</v>
      </c>
      <c r="B123" s="280"/>
      <c r="C123" s="292">
        <v>264276.24641127052</v>
      </c>
      <c r="D123" s="282"/>
      <c r="E123" s="287">
        <f t="shared" si="14"/>
        <v>3402826.0190220755</v>
      </c>
      <c r="F123" s="282"/>
      <c r="G123" s="286">
        <v>524667.4389915755</v>
      </c>
      <c r="I123" s="286">
        <v>3485.6459998287469</v>
      </c>
      <c r="K123" s="286">
        <v>1755.7282436350931</v>
      </c>
    </row>
    <row r="124" spans="1:11" ht="13.5" thickTop="1" x14ac:dyDescent="0.2">
      <c r="A124" s="275">
        <v>42339</v>
      </c>
      <c r="B124" s="280"/>
      <c r="C124" s="293">
        <v>273545.89518308896</v>
      </c>
      <c r="D124" s="282"/>
      <c r="E124" s="287">
        <f t="shared" si="14"/>
        <v>3424211.0769986208</v>
      </c>
      <c r="F124" s="282"/>
      <c r="G124" s="287">
        <v>543440.08174205013</v>
      </c>
      <c r="I124" s="287">
        <v>3466.0168301991152</v>
      </c>
      <c r="K124" s="287">
        <v>1744.6535660328834</v>
      </c>
    </row>
    <row r="125" spans="1:11" x14ac:dyDescent="0.2">
      <c r="A125" s="273">
        <v>42309</v>
      </c>
      <c r="B125" s="280"/>
      <c r="C125" s="291">
        <v>292370.58021681238</v>
      </c>
      <c r="D125" s="282"/>
      <c r="E125" s="287">
        <f t="shared" si="14"/>
        <v>3421233.974078076</v>
      </c>
      <c r="F125" s="282"/>
      <c r="G125" s="285">
        <v>580137.94948630303</v>
      </c>
      <c r="I125" s="285">
        <v>3474.2474242542112</v>
      </c>
      <c r="K125" s="285">
        <v>1750.9072387789929</v>
      </c>
    </row>
    <row r="126" spans="1:11" x14ac:dyDescent="0.2">
      <c r="A126" s="273">
        <v>42278</v>
      </c>
      <c r="B126" s="280"/>
      <c r="C126" s="291">
        <v>312799.91604715685</v>
      </c>
      <c r="D126" s="282"/>
      <c r="E126" s="287">
        <f t="shared" si="14"/>
        <v>3431538.6018866254</v>
      </c>
      <c r="F126" s="282"/>
      <c r="G126" s="285">
        <v>618988.36966654367</v>
      </c>
      <c r="I126" s="285">
        <v>3507.3871334631021</v>
      </c>
      <c r="K126" s="285">
        <v>1772.4249027217793</v>
      </c>
    </row>
    <row r="127" spans="1:11" x14ac:dyDescent="0.2">
      <c r="A127" s="273">
        <v>42248</v>
      </c>
      <c r="B127" s="280"/>
      <c r="C127" s="291">
        <v>292075.87220849155</v>
      </c>
      <c r="D127" s="282"/>
      <c r="E127" s="287">
        <f t="shared" si="14"/>
        <v>3442091.5707790321</v>
      </c>
      <c r="F127" s="282"/>
      <c r="G127" s="285">
        <v>579105.34082350601</v>
      </c>
      <c r="I127" s="285">
        <v>3487.5987842197874</v>
      </c>
      <c r="K127" s="285">
        <v>1758.9950998651234</v>
      </c>
    </row>
    <row r="128" spans="1:11" x14ac:dyDescent="0.2">
      <c r="A128" s="273">
        <v>42217</v>
      </c>
      <c r="B128" s="280"/>
      <c r="C128" s="291">
        <v>286414.85123247275</v>
      </c>
      <c r="D128" s="282"/>
      <c r="E128" s="287">
        <f t="shared" si="14"/>
        <v>3453404.1212676624</v>
      </c>
      <c r="F128" s="282"/>
      <c r="G128" s="285">
        <v>566820.04117785371</v>
      </c>
      <c r="I128" s="285">
        <v>3498.5579092565918</v>
      </c>
      <c r="K128" s="285">
        <v>1767.8255359949478</v>
      </c>
    </row>
    <row r="129" spans="1:11" x14ac:dyDescent="0.2">
      <c r="A129" s="273">
        <v>42186</v>
      </c>
      <c r="B129" s="280"/>
      <c r="C129" s="291">
        <v>288584.85531375831</v>
      </c>
      <c r="D129" s="282"/>
      <c r="E129" s="287">
        <f t="shared" si="14"/>
        <v>3470399.4653976467</v>
      </c>
      <c r="F129" s="282"/>
      <c r="G129" s="285">
        <v>565215.33668927161</v>
      </c>
      <c r="I129" s="285">
        <v>3470.6198358192173</v>
      </c>
      <c r="K129" s="285">
        <v>1772.0119362570711</v>
      </c>
    </row>
    <row r="130" spans="1:11" x14ac:dyDescent="0.2">
      <c r="A130" s="273">
        <v>42156</v>
      </c>
      <c r="B130" s="280"/>
      <c r="C130" s="291">
        <v>274927.39253321034</v>
      </c>
      <c r="D130" s="282"/>
      <c r="E130" s="287">
        <f t="shared" si="14"/>
        <v>3481805.3212512592</v>
      </c>
      <c r="F130" s="282"/>
      <c r="G130" s="285">
        <v>531618.95583662507</v>
      </c>
      <c r="I130" s="285">
        <v>3483.052407354769</v>
      </c>
      <c r="K130" s="285">
        <v>1801.2648079931319</v>
      </c>
    </row>
    <row r="131" spans="1:11" x14ac:dyDescent="0.2">
      <c r="A131" s="273">
        <v>42125</v>
      </c>
      <c r="B131" s="280"/>
      <c r="C131" s="291">
        <v>280946.73162581574</v>
      </c>
      <c r="D131" s="282"/>
      <c r="E131" s="287">
        <f t="shared" si="14"/>
        <v>3476239.1298819054</v>
      </c>
      <c r="F131" s="282"/>
      <c r="G131" s="285">
        <v>546843.73968260898</v>
      </c>
      <c r="I131" s="285">
        <v>3508.1472765525064</v>
      </c>
      <c r="K131" s="285">
        <v>1802.3476175872149</v>
      </c>
    </row>
    <row r="132" spans="1:11" x14ac:dyDescent="0.2">
      <c r="A132" s="273">
        <v>42095</v>
      </c>
      <c r="B132" s="280"/>
      <c r="C132" s="291">
        <v>278143.59950274375</v>
      </c>
      <c r="D132" s="282"/>
      <c r="E132" s="287">
        <f t="shared" si="14"/>
        <v>3492905.7599357129</v>
      </c>
      <c r="F132" s="282"/>
      <c r="G132" s="285">
        <v>541250.32612205262</v>
      </c>
      <c r="I132" s="285">
        <v>3507.087655057986</v>
      </c>
      <c r="K132" s="285">
        <v>1802.2603166607507</v>
      </c>
    </row>
    <row r="133" spans="1:11" x14ac:dyDescent="0.2">
      <c r="A133" s="273">
        <v>42064</v>
      </c>
      <c r="B133" s="280"/>
      <c r="C133" s="291">
        <v>296467.2963099234</v>
      </c>
      <c r="D133" s="282"/>
      <c r="E133" s="287">
        <f t="shared" si="14"/>
        <v>3498971.2069667936</v>
      </c>
      <c r="F133" s="282"/>
      <c r="G133" s="285">
        <v>579449.9115069767</v>
      </c>
      <c r="I133" s="285">
        <v>3441.4249016528061</v>
      </c>
      <c r="K133" s="285">
        <v>1760.7560477371258</v>
      </c>
    </row>
    <row r="134" spans="1:11" x14ac:dyDescent="0.2">
      <c r="A134" s="273">
        <v>42036</v>
      </c>
      <c r="B134" s="280"/>
      <c r="C134" s="291">
        <v>262272.7824373311</v>
      </c>
      <c r="D134" s="282"/>
      <c r="E134" s="287">
        <f t="shared" si="14"/>
        <v>3494865.7912741583</v>
      </c>
      <c r="F134" s="282"/>
      <c r="G134" s="285">
        <v>514328.04062378389</v>
      </c>
      <c r="I134" s="285">
        <v>3384.3958712407593</v>
      </c>
      <c r="K134" s="285">
        <v>1725.8147561684443</v>
      </c>
    </row>
    <row r="135" spans="1:11" ht="13.5" thickBot="1" x14ac:dyDescent="0.25">
      <c r="A135" s="274">
        <v>42005</v>
      </c>
      <c r="B135" s="280"/>
      <c r="C135" s="292">
        <v>285661.30438781588</v>
      </c>
      <c r="D135" s="282"/>
      <c r="E135" s="287">
        <f t="shared" si="14"/>
        <v>3505312.3344779625</v>
      </c>
      <c r="F135" s="282"/>
      <c r="G135" s="286">
        <v>566675.23375179165</v>
      </c>
      <c r="I135" s="286">
        <v>3404.005690492033</v>
      </c>
      <c r="K135" s="286">
        <v>1715.9611851246316</v>
      </c>
    </row>
    <row r="136" spans="1:11" ht="13.5" thickTop="1" x14ac:dyDescent="0.2">
      <c r="A136" s="275">
        <v>41974</v>
      </c>
      <c r="B136" s="280"/>
      <c r="C136" s="293">
        <v>270568.79226254445</v>
      </c>
      <c r="D136" s="282"/>
      <c r="E136" s="287">
        <f t="shared" si="14"/>
        <v>3505672.9437696738</v>
      </c>
      <c r="F136" s="282"/>
      <c r="G136" s="287">
        <v>540160.99345504353</v>
      </c>
      <c r="I136" s="287">
        <v>3448.2430234068888</v>
      </c>
      <c r="K136" s="287">
        <v>1727.2386595397456</v>
      </c>
    </row>
    <row r="137" spans="1:11" x14ac:dyDescent="0.2">
      <c r="A137" s="273">
        <v>41944</v>
      </c>
      <c r="B137" s="280"/>
      <c r="C137" s="291">
        <v>302675.20802536124</v>
      </c>
      <c r="D137" s="282"/>
      <c r="E137" s="287">
        <f t="shared" si="14"/>
        <v>3501194.836090425</v>
      </c>
      <c r="F137" s="282"/>
      <c r="G137" s="285">
        <v>604876.20772484783</v>
      </c>
      <c r="I137" s="285">
        <v>3475.3001192320135</v>
      </c>
      <c r="K137" s="285">
        <v>1739.0123352605156</v>
      </c>
    </row>
    <row r="138" spans="1:11" x14ac:dyDescent="0.2">
      <c r="A138" s="273">
        <v>41913</v>
      </c>
      <c r="B138" s="280"/>
      <c r="C138" s="291">
        <v>323352.88493956387</v>
      </c>
      <c r="D138" s="282"/>
      <c r="E138" s="287">
        <f t="shared" si="14"/>
        <v>3505887.7002610746</v>
      </c>
      <c r="F138" s="282"/>
      <c r="G138" s="285">
        <v>648170.38571820455</v>
      </c>
      <c r="I138" s="285">
        <v>3467.5216680697968</v>
      </c>
      <c r="K138" s="285">
        <v>1729.8432012107996</v>
      </c>
    </row>
    <row r="139" spans="1:11" x14ac:dyDescent="0.2">
      <c r="A139" s="273">
        <v>41883</v>
      </c>
      <c r="B139" s="280"/>
      <c r="C139" s="291">
        <v>303388.4226971218</v>
      </c>
      <c r="D139" s="282"/>
      <c r="E139" s="287">
        <f t="shared" si="14"/>
        <v>3509260.1111837672</v>
      </c>
      <c r="F139" s="282"/>
      <c r="G139" s="285">
        <v>604565.42482248228</v>
      </c>
      <c r="I139" s="285">
        <v>3454.8453889865414</v>
      </c>
      <c r="K139" s="285">
        <v>1733.7413788339297</v>
      </c>
    </row>
    <row r="140" spans="1:11" x14ac:dyDescent="0.2">
      <c r="A140" s="273">
        <v>41852</v>
      </c>
      <c r="B140" s="280"/>
      <c r="C140" s="291">
        <v>303410.19536245684</v>
      </c>
      <c r="D140" s="282"/>
      <c r="E140" s="287">
        <f t="shared" si="14"/>
        <v>3499549.0376062389</v>
      </c>
      <c r="F140" s="282"/>
      <c r="G140" s="285">
        <v>599038.98610413203</v>
      </c>
      <c r="I140" s="285">
        <v>3447.7383354817316</v>
      </c>
      <c r="K140" s="285">
        <v>1746.2619064751523</v>
      </c>
    </row>
    <row r="141" spans="1:11" x14ac:dyDescent="0.2">
      <c r="A141" s="273">
        <v>41821</v>
      </c>
      <c r="B141" s="280"/>
      <c r="C141" s="291">
        <v>299990.71116737084</v>
      </c>
      <c r="D141" s="282"/>
      <c r="E141" s="287">
        <f t="shared" si="14"/>
        <v>3493914.6230140678</v>
      </c>
      <c r="F141" s="282"/>
      <c r="G141" s="285">
        <v>587370.78234521323</v>
      </c>
      <c r="I141" s="285">
        <v>3426.5961323657784</v>
      </c>
      <c r="K141" s="285">
        <v>1750.0819610527049</v>
      </c>
    </row>
    <row r="142" spans="1:11" x14ac:dyDescent="0.2">
      <c r="A142" s="273">
        <v>41791</v>
      </c>
      <c r="B142" s="280"/>
      <c r="C142" s="291">
        <v>269361.20116385631</v>
      </c>
      <c r="D142" s="282"/>
      <c r="E142" s="287">
        <f t="shared" si="14"/>
        <v>3482421.0149790845</v>
      </c>
      <c r="F142" s="282"/>
      <c r="G142" s="285">
        <v>518708.71504119114</v>
      </c>
      <c r="I142" s="295">
        <v>3433.9152192448501</v>
      </c>
      <c r="K142" s="285">
        <v>1783.2041400676826</v>
      </c>
    </row>
    <row r="143" spans="1:11" x14ac:dyDescent="0.2">
      <c r="A143" s="273">
        <v>41760</v>
      </c>
      <c r="B143" s="280"/>
      <c r="C143" s="291">
        <v>297613.36167962325</v>
      </c>
      <c r="D143" s="282"/>
      <c r="E143" s="287">
        <f t="shared" si="14"/>
        <v>3489620.1836878094</v>
      </c>
      <c r="F143" s="282"/>
      <c r="G143" s="285">
        <v>570892.04042321211</v>
      </c>
      <c r="I143" s="285">
        <v>3430.985893629168</v>
      </c>
      <c r="K143" s="285">
        <v>1788.6170648330963</v>
      </c>
    </row>
    <row r="144" spans="1:11" x14ac:dyDescent="0.2">
      <c r="A144" s="273">
        <v>41730</v>
      </c>
      <c r="B144" s="280"/>
      <c r="C144" s="291">
        <v>284209.04653382458</v>
      </c>
      <c r="D144" s="282"/>
      <c r="E144" s="287">
        <f t="shared" si="14"/>
        <v>3491688.8025442241</v>
      </c>
      <c r="F144" s="282"/>
      <c r="G144" s="285">
        <v>545341.2999067062</v>
      </c>
      <c r="I144" s="285">
        <v>3421.5385178435408</v>
      </c>
      <c r="K144" s="285">
        <v>1783.1625809404607</v>
      </c>
    </row>
    <row r="145" spans="1:11" x14ac:dyDescent="0.2">
      <c r="A145" s="273">
        <v>41699</v>
      </c>
      <c r="B145" s="280"/>
      <c r="C145" s="291">
        <v>292361.88061728847</v>
      </c>
      <c r="D145" s="282"/>
      <c r="E145" s="287">
        <f t="shared" si="14"/>
        <v>3505015.4741092212</v>
      </c>
      <c r="F145" s="282"/>
      <c r="G145" s="285">
        <v>566043.5915330518</v>
      </c>
      <c r="I145" s="285">
        <v>3335.6592777025521</v>
      </c>
      <c r="K145" s="285">
        <v>1722.870171334994</v>
      </c>
    </row>
    <row r="146" spans="1:11" x14ac:dyDescent="0.2">
      <c r="A146" s="273">
        <v>41671</v>
      </c>
      <c r="B146" s="280"/>
      <c r="C146" s="291">
        <v>272719.32564113481</v>
      </c>
      <c r="D146" s="282"/>
      <c r="E146" s="287">
        <f t="shared" si="14"/>
        <v>3497190.1733168093</v>
      </c>
      <c r="F146" s="282"/>
      <c r="G146" s="285">
        <v>536550.64832098677</v>
      </c>
      <c r="I146" s="285">
        <v>3296.4917309061102</v>
      </c>
      <c r="K146" s="285">
        <v>1675.549185612879</v>
      </c>
    </row>
    <row r="147" spans="1:11" ht="13.5" thickBot="1" x14ac:dyDescent="0.25">
      <c r="A147" s="274">
        <v>41640</v>
      </c>
      <c r="B147" s="280"/>
      <c r="C147" s="292">
        <v>286021.91367952758</v>
      </c>
      <c r="D147" s="282"/>
      <c r="E147" s="287">
        <f t="shared" si="14"/>
        <v>3479986.4043787834</v>
      </c>
      <c r="F147" s="282"/>
      <c r="G147" s="286">
        <v>566047.47290483711</v>
      </c>
      <c r="I147" s="286">
        <v>3284.1454647247838</v>
      </c>
      <c r="K147" s="286">
        <v>1659.4678283820267</v>
      </c>
    </row>
    <row r="148" spans="1:11" ht="13.5" thickTop="1" x14ac:dyDescent="0.2">
      <c r="A148" s="275">
        <v>41609</v>
      </c>
      <c r="B148" s="280"/>
      <c r="C148" s="293">
        <v>266090.68458329543</v>
      </c>
      <c r="D148" s="282"/>
      <c r="E148" s="287">
        <f t="shared" si="14"/>
        <v>3473112.4297072324</v>
      </c>
      <c r="F148" s="282"/>
      <c r="G148" s="287">
        <v>525407.10959649843</v>
      </c>
      <c r="I148" s="288">
        <v>3254.8644838545315</v>
      </c>
      <c r="K148" s="288">
        <v>1648.4153010412153</v>
      </c>
    </row>
    <row r="149" spans="1:11" x14ac:dyDescent="0.2">
      <c r="A149" s="273">
        <v>41579</v>
      </c>
      <c r="B149" s="280"/>
      <c r="C149" s="291">
        <v>307368.07219601038</v>
      </c>
      <c r="D149" s="282"/>
      <c r="E149" s="287">
        <f t="shared" si="14"/>
        <v>3463556.4294997258</v>
      </c>
      <c r="F149" s="282"/>
      <c r="G149" s="285">
        <v>610229.1520634701</v>
      </c>
      <c r="I149" s="296">
        <v>3245.9022868330553</v>
      </c>
      <c r="K149" s="296">
        <v>1634.937834527984</v>
      </c>
    </row>
    <row r="150" spans="1:11" x14ac:dyDescent="0.2">
      <c r="A150" s="273">
        <v>41548</v>
      </c>
      <c r="B150" s="280"/>
      <c r="C150" s="291">
        <v>326725.29586225678</v>
      </c>
      <c r="D150" s="282"/>
      <c r="E150" s="287">
        <f t="shared" si="14"/>
        <v>3451594.6702592527</v>
      </c>
      <c r="F150" s="282"/>
      <c r="G150" s="285">
        <v>643008.56639405538</v>
      </c>
      <c r="I150" s="296">
        <v>3258.8541304088294</v>
      </c>
      <c r="K150" s="296">
        <v>1655.8878614958464</v>
      </c>
    </row>
    <row r="151" spans="1:11" x14ac:dyDescent="0.2">
      <c r="A151" s="273">
        <v>41518</v>
      </c>
      <c r="B151" s="280"/>
      <c r="C151" s="291">
        <v>293677.34911959298</v>
      </c>
      <c r="D151" s="282"/>
      <c r="E151" s="287">
        <f t="shared" si="14"/>
        <v>3434748.3995467676</v>
      </c>
      <c r="F151" s="282"/>
      <c r="G151" s="285">
        <v>581272.83183253964</v>
      </c>
      <c r="I151" s="296">
        <v>3243.0899750128547</v>
      </c>
      <c r="K151" s="296">
        <v>1638.5112371680359</v>
      </c>
    </row>
    <row r="152" spans="1:11" x14ac:dyDescent="0.2">
      <c r="A152" s="273">
        <v>41487</v>
      </c>
      <c r="B152" s="280"/>
      <c r="C152" s="291">
        <v>297775.78077028587</v>
      </c>
      <c r="D152" s="282"/>
      <c r="E152" s="287">
        <f t="shared" si="14"/>
        <v>3427125.5617650216</v>
      </c>
      <c r="F152" s="282"/>
      <c r="G152" s="285">
        <v>588747.05419741641</v>
      </c>
      <c r="I152" s="296">
        <v>3226.9611400951244</v>
      </c>
      <c r="K152" s="296">
        <v>1632.1285451136857</v>
      </c>
    </row>
    <row r="153" spans="1:11" x14ac:dyDescent="0.2">
      <c r="A153" s="273">
        <v>41456</v>
      </c>
      <c r="B153" s="280"/>
      <c r="C153" s="291">
        <v>288497.10313238867</v>
      </c>
      <c r="D153" s="282"/>
      <c r="E153" s="287">
        <f t="shared" si="14"/>
        <v>3434772.6193942875</v>
      </c>
      <c r="F153" s="282"/>
      <c r="G153" s="285">
        <v>563807.81391595886</v>
      </c>
      <c r="I153" s="296">
        <v>3177.8759588222683</v>
      </c>
      <c r="K153" s="296">
        <v>1626.100216431101</v>
      </c>
    </row>
    <row r="154" spans="1:11" x14ac:dyDescent="0.2">
      <c r="A154" s="273">
        <v>41426</v>
      </c>
      <c r="B154" s="280"/>
      <c r="C154" s="291">
        <v>276560.36987258139</v>
      </c>
      <c r="D154" s="282"/>
      <c r="E154" s="287">
        <f t="shared" si="14"/>
        <v>3424509.6278964444</v>
      </c>
      <c r="F154" s="282"/>
      <c r="G154" s="285">
        <v>538999.64515464869</v>
      </c>
      <c r="I154" s="296">
        <v>3116.9651846120146</v>
      </c>
      <c r="K154" s="296">
        <v>1599.3128234600713</v>
      </c>
    </row>
    <row r="155" spans="1:11" x14ac:dyDescent="0.2">
      <c r="A155" s="273">
        <v>41395</v>
      </c>
      <c r="B155" s="280"/>
      <c r="C155" s="291">
        <v>299681.98053603695</v>
      </c>
      <c r="D155" s="282"/>
      <c r="E155" s="287">
        <f t="shared" si="14"/>
        <v>3426629.9016944137</v>
      </c>
      <c r="F155" s="282"/>
      <c r="G155" s="285">
        <v>581961.32441108639</v>
      </c>
      <c r="I155" s="296">
        <v>3061.2646304610912</v>
      </c>
      <c r="K155" s="296">
        <v>1576.4034634601614</v>
      </c>
    </row>
    <row r="156" spans="1:11" x14ac:dyDescent="0.2">
      <c r="A156" s="273">
        <v>41365</v>
      </c>
      <c r="B156" s="280"/>
      <c r="C156" s="291">
        <v>297535.71809882211</v>
      </c>
      <c r="D156" s="282"/>
      <c r="E156" s="287">
        <f t="shared" si="14"/>
        <v>3418340.5200175531</v>
      </c>
      <c r="F156" s="282"/>
      <c r="G156" s="285">
        <v>582790.28293725534</v>
      </c>
      <c r="I156" s="296">
        <v>3070.2931861924644</v>
      </c>
      <c r="K156" s="296">
        <v>1567.4967731506385</v>
      </c>
    </row>
    <row r="157" spans="1:11" x14ac:dyDescent="0.2">
      <c r="A157" s="273">
        <v>41334</v>
      </c>
      <c r="B157" s="280"/>
      <c r="C157" s="291">
        <v>284536.57982487709</v>
      </c>
      <c r="D157" s="282"/>
      <c r="E157" s="287">
        <f t="shared" si="14"/>
        <v>3385192.3610549849</v>
      </c>
      <c r="F157" s="282"/>
      <c r="G157" s="285">
        <v>563256.89795493009</v>
      </c>
      <c r="I157" s="296">
        <v>3055.5141086449644</v>
      </c>
      <c r="K157" s="296">
        <v>1543.5328661524229</v>
      </c>
    </row>
    <row r="158" spans="1:11" x14ac:dyDescent="0.2">
      <c r="A158" s="273">
        <v>41306</v>
      </c>
      <c r="B158" s="280"/>
      <c r="C158" s="291">
        <v>255515.55670310845</v>
      </c>
      <c r="D158" s="282"/>
      <c r="E158" s="287">
        <f t="shared" si="14"/>
        <v>3384748.5961461426</v>
      </c>
      <c r="F158" s="282"/>
      <c r="G158" s="285">
        <v>503148.73895540496</v>
      </c>
      <c r="I158" s="296">
        <v>3016.977839147035</v>
      </c>
      <c r="K158" s="296">
        <v>1532.1210458184626</v>
      </c>
    </row>
    <row r="159" spans="1:11" ht="13.5" thickBot="1" x14ac:dyDescent="0.25">
      <c r="A159" s="274">
        <v>41275</v>
      </c>
      <c r="B159" s="280"/>
      <c r="C159" s="292">
        <v>279147.9390079765</v>
      </c>
      <c r="D159" s="282"/>
      <c r="E159" s="287">
        <f t="shared" si="14"/>
        <v>3376599.6092432169</v>
      </c>
      <c r="F159" s="282"/>
      <c r="G159" s="286">
        <v>552970.95631647052</v>
      </c>
      <c r="I159" s="286">
        <v>3012.8024922423224</v>
      </c>
      <c r="K159" s="286">
        <v>1520.9073763111294</v>
      </c>
    </row>
    <row r="160" spans="1:11" ht="13.5" thickTop="1" x14ac:dyDescent="0.2">
      <c r="A160" s="275">
        <v>41244</v>
      </c>
      <c r="B160" s="280"/>
      <c r="C160" s="293">
        <v>256534.68437578881</v>
      </c>
      <c r="D160" s="282"/>
      <c r="E160" s="287">
        <f t="shared" si="14"/>
        <v>3349343.4362821165</v>
      </c>
      <c r="F160" s="282"/>
      <c r="G160" s="287">
        <v>509024.0919265651</v>
      </c>
      <c r="I160" s="287">
        <v>2913.1710312946061</v>
      </c>
      <c r="K160" s="287">
        <v>1468.1611792034143</v>
      </c>
    </row>
    <row r="161" spans="1:11" x14ac:dyDescent="0.2">
      <c r="A161" s="275">
        <v>41214</v>
      </c>
      <c r="B161" s="280"/>
      <c r="C161" s="293">
        <v>295406.31295553676</v>
      </c>
      <c r="D161" s="282"/>
      <c r="E161" s="287">
        <f t="shared" si="14"/>
        <v>3351553.9875554885</v>
      </c>
      <c r="F161" s="282"/>
      <c r="G161" s="287">
        <v>585081.74116101931</v>
      </c>
      <c r="I161" s="287">
        <v>2884.6254719733156</v>
      </c>
      <c r="K161" s="287">
        <v>1456.4402116571048</v>
      </c>
    </row>
    <row r="162" spans="1:11" x14ac:dyDescent="0.2">
      <c r="A162" s="275">
        <v>41183</v>
      </c>
      <c r="B162" s="280"/>
      <c r="C162" s="293">
        <v>309879.02514977183</v>
      </c>
      <c r="D162" s="282"/>
      <c r="E162" s="287">
        <f t="shared" si="14"/>
        <v>3342973.678374487</v>
      </c>
      <c r="F162" s="282"/>
      <c r="G162" s="287">
        <v>616647.37329663569</v>
      </c>
      <c r="I162" s="287">
        <v>2878.3922240344164</v>
      </c>
      <c r="K162" s="287">
        <v>1446.4561352366256</v>
      </c>
    </row>
    <row r="163" spans="1:11" x14ac:dyDescent="0.2">
      <c r="A163" s="275">
        <v>41153</v>
      </c>
      <c r="B163" s="280"/>
      <c r="C163" s="293">
        <v>286054.51133784687</v>
      </c>
      <c r="D163" s="282"/>
      <c r="E163" s="287">
        <f t="shared" si="14"/>
        <v>3320671.8053658195</v>
      </c>
      <c r="F163" s="282"/>
      <c r="G163" s="287">
        <v>560508.89327922254</v>
      </c>
      <c r="I163" s="297">
        <v>2862.6397480544642</v>
      </c>
      <c r="K163" s="287">
        <v>1460.9420547732309</v>
      </c>
    </row>
    <row r="164" spans="1:11" x14ac:dyDescent="0.2">
      <c r="A164" s="275">
        <v>41122</v>
      </c>
      <c r="B164" s="280"/>
      <c r="C164" s="293">
        <v>305422.83839955193</v>
      </c>
      <c r="D164" s="282"/>
      <c r="E164" s="287">
        <f t="shared" si="14"/>
        <v>3308517.4555053525</v>
      </c>
      <c r="F164" s="282"/>
      <c r="G164" s="287">
        <v>596732.48024406796</v>
      </c>
      <c r="I164" s="287">
        <v>2860.727314202682</v>
      </c>
      <c r="K164" s="287">
        <v>1464.1928923217777</v>
      </c>
    </row>
    <row r="165" spans="1:11" x14ac:dyDescent="0.2">
      <c r="A165" s="275">
        <v>41091</v>
      </c>
      <c r="B165" s="280"/>
      <c r="C165" s="293">
        <v>278234.11163454584</v>
      </c>
      <c r="D165" s="282"/>
      <c r="E165" s="287">
        <f t="shared" si="14"/>
        <v>3290197.7337236777</v>
      </c>
      <c r="F165" s="282"/>
      <c r="G165" s="287">
        <v>541336.3223734725</v>
      </c>
      <c r="I165" s="287">
        <v>2875.6643374885703</v>
      </c>
      <c r="K165" s="287">
        <v>1478.0236966036725</v>
      </c>
    </row>
    <row r="166" spans="1:11" x14ac:dyDescent="0.2">
      <c r="A166" s="275">
        <v>41061</v>
      </c>
      <c r="B166" s="280"/>
      <c r="C166" s="293">
        <v>278680.64367055066</v>
      </c>
      <c r="D166" s="282"/>
      <c r="E166" s="287">
        <f t="shared" si="14"/>
        <v>3290978.6979167052</v>
      </c>
      <c r="F166" s="282"/>
      <c r="G166" s="287">
        <v>540629.27540236304</v>
      </c>
      <c r="I166" s="287">
        <v>2856.0534086244961</v>
      </c>
      <c r="K166" s="287">
        <v>1472.2229048372874</v>
      </c>
    </row>
    <row r="167" spans="1:11" x14ac:dyDescent="0.2">
      <c r="A167" s="275">
        <v>41030</v>
      </c>
      <c r="B167" s="280"/>
      <c r="C167" s="293">
        <v>291392.5988591761</v>
      </c>
      <c r="D167" s="282"/>
      <c r="E167" s="287">
        <f t="shared" si="14"/>
        <v>3287482.2734042238</v>
      </c>
      <c r="F167" s="282"/>
      <c r="G167" s="287">
        <v>566950.0864740822</v>
      </c>
      <c r="I167" s="287">
        <v>2882.2452980640664</v>
      </c>
      <c r="K167" s="287">
        <v>1481.3737011237283</v>
      </c>
    </row>
    <row r="168" spans="1:11" x14ac:dyDescent="0.2">
      <c r="A168" s="275">
        <v>41000</v>
      </c>
      <c r="B168" s="280"/>
      <c r="C168" s="293">
        <v>264387.55913625378</v>
      </c>
      <c r="D168" s="282"/>
      <c r="E168" s="287">
        <f t="shared" si="14"/>
        <v>3281508.7977303052</v>
      </c>
      <c r="F168" s="282"/>
      <c r="G168" s="287">
        <v>514546.95844112162</v>
      </c>
      <c r="I168" s="287">
        <v>2863.0023413639055</v>
      </c>
      <c r="K168" s="287">
        <v>1471.0847832583149</v>
      </c>
    </row>
    <row r="169" spans="1:11" x14ac:dyDescent="0.2">
      <c r="A169" s="275">
        <v>40969</v>
      </c>
      <c r="B169" s="280"/>
      <c r="C169" s="293">
        <v>284092.81491603522</v>
      </c>
      <c r="D169" s="282"/>
      <c r="E169" s="287">
        <f t="shared" si="14"/>
        <v>3278688.3559446493</v>
      </c>
      <c r="F169" s="282"/>
      <c r="G169" s="287">
        <v>558349.36904180958</v>
      </c>
      <c r="I169" s="287">
        <v>2858.5482646950609</v>
      </c>
      <c r="K169" s="287">
        <v>1454.4531938564035</v>
      </c>
    </row>
    <row r="170" spans="1:11" x14ac:dyDescent="0.2">
      <c r="A170" s="275">
        <v>40940</v>
      </c>
      <c r="B170" s="280"/>
      <c r="C170" s="293">
        <v>247366.56980018262</v>
      </c>
      <c r="D170" s="282"/>
      <c r="E170" s="287">
        <f t="shared" si="14"/>
        <v>3272584.3857769957</v>
      </c>
      <c r="F170" s="282"/>
      <c r="G170" s="287">
        <v>492378.92243209016</v>
      </c>
      <c r="I170" s="287">
        <v>2884.5594757872041</v>
      </c>
      <c r="K170" s="287">
        <v>1449.1757270712717</v>
      </c>
    </row>
    <row r="171" spans="1:11" ht="13.5" thickBot="1" x14ac:dyDescent="0.25">
      <c r="A171" s="274">
        <v>40909</v>
      </c>
      <c r="B171" s="280"/>
      <c r="C171" s="292">
        <v>251891.76604687609</v>
      </c>
      <c r="D171" s="282"/>
      <c r="E171" s="287">
        <f t="shared" si="14"/>
        <v>3270845.3619757355</v>
      </c>
      <c r="F171" s="282"/>
      <c r="G171" s="286">
        <v>503465.41599409597</v>
      </c>
      <c r="I171" s="286">
        <v>2913.104583623056</v>
      </c>
      <c r="K171" s="286">
        <v>1457.4726186488767</v>
      </c>
    </row>
    <row r="172" spans="1:11" ht="13.5" thickTop="1" x14ac:dyDescent="0.2">
      <c r="A172" s="275">
        <v>40878</v>
      </c>
      <c r="B172" s="280"/>
      <c r="C172" s="293">
        <v>258745.23564916122</v>
      </c>
      <c r="D172" s="282"/>
      <c r="E172" s="287">
        <f t="shared" ref="E172:E219" si="15">SUM(C172:C183)</f>
        <v>3266389.98839971</v>
      </c>
      <c r="F172" s="282"/>
      <c r="G172" s="287">
        <v>520585.56468321278</v>
      </c>
      <c r="I172" s="287">
        <v>2904.8061544908815</v>
      </c>
      <c r="K172" s="287">
        <v>1443.7679489177619</v>
      </c>
    </row>
    <row r="173" spans="1:11" x14ac:dyDescent="0.2">
      <c r="A173" s="275">
        <v>40848</v>
      </c>
      <c r="B173" s="280"/>
      <c r="C173" s="293">
        <v>286826.00377453497</v>
      </c>
      <c r="D173" s="282"/>
      <c r="E173" s="287">
        <f t="shared" si="15"/>
        <v>3263225.3825741294</v>
      </c>
      <c r="F173" s="282"/>
      <c r="G173" s="287">
        <v>574050.08714305738</v>
      </c>
      <c r="I173" s="287">
        <v>2926.6927372671048</v>
      </c>
      <c r="K173" s="287">
        <v>1462.3315994673499</v>
      </c>
    </row>
    <row r="174" spans="1:11" x14ac:dyDescent="0.2">
      <c r="A174" s="275">
        <v>40817</v>
      </c>
      <c r="B174" s="280"/>
      <c r="C174" s="293">
        <v>287577.15214110439</v>
      </c>
      <c r="D174" s="282"/>
      <c r="E174" s="287">
        <f t="shared" si="15"/>
        <v>3254628.5811683675</v>
      </c>
      <c r="F174" s="282"/>
      <c r="G174" s="285">
        <v>574742.32495487446</v>
      </c>
      <c r="I174" s="287">
        <v>2930.0422463582836</v>
      </c>
      <c r="K174" s="287">
        <v>1466.0712605896856</v>
      </c>
    </row>
    <row r="175" spans="1:11" x14ac:dyDescent="0.2">
      <c r="A175" s="275">
        <v>40787</v>
      </c>
      <c r="B175" s="280"/>
      <c r="C175" s="293">
        <v>273900.1614773795</v>
      </c>
      <c r="D175" s="282"/>
      <c r="E175" s="287">
        <f t="shared" si="15"/>
        <v>3251819.7048028079</v>
      </c>
      <c r="F175" s="282"/>
      <c r="G175" s="287">
        <v>544670.27458062593</v>
      </c>
      <c r="I175" s="287">
        <v>2958.2331469094538</v>
      </c>
      <c r="K175" s="287">
        <v>1487.6165901473212</v>
      </c>
    </row>
    <row r="176" spans="1:11" x14ac:dyDescent="0.2">
      <c r="A176" s="275">
        <v>40756</v>
      </c>
      <c r="B176" s="280"/>
      <c r="C176" s="293">
        <v>287103.11661787744</v>
      </c>
      <c r="D176" s="282"/>
      <c r="E176" s="287">
        <f t="shared" si="15"/>
        <v>3252110.7904291041</v>
      </c>
      <c r="F176" s="282"/>
      <c r="G176" s="287">
        <v>564704.87668352737</v>
      </c>
      <c r="I176" s="287">
        <v>2961.2242237397863</v>
      </c>
      <c r="K176" s="287">
        <v>1505.5239271760433</v>
      </c>
    </row>
    <row r="177" spans="1:11" x14ac:dyDescent="0.2">
      <c r="A177" s="275">
        <v>40725</v>
      </c>
      <c r="B177" s="280"/>
      <c r="C177" s="293">
        <v>279015.07582757319</v>
      </c>
      <c r="D177" s="282"/>
      <c r="E177" s="287">
        <f t="shared" si="15"/>
        <v>3237892.2997116963</v>
      </c>
      <c r="F177" s="282"/>
      <c r="G177" s="287">
        <v>541326.86926862609</v>
      </c>
      <c r="I177" s="287">
        <v>2947.7517130501724</v>
      </c>
      <c r="K177" s="287">
        <v>1519.3540436091203</v>
      </c>
    </row>
    <row r="178" spans="1:11" x14ac:dyDescent="0.2">
      <c r="A178" s="275">
        <v>40695</v>
      </c>
      <c r="B178" s="280"/>
      <c r="C178" s="293">
        <v>275184.21915806911</v>
      </c>
      <c r="D178" s="282"/>
      <c r="E178" s="287">
        <f t="shared" si="15"/>
        <v>3237084.7439623335</v>
      </c>
      <c r="F178" s="282"/>
      <c r="G178" s="287">
        <v>529570.19156613946</v>
      </c>
      <c r="I178" s="287">
        <v>2911.0734209246075</v>
      </c>
      <c r="K178" s="287">
        <v>1512.7012037438251</v>
      </c>
    </row>
    <row r="179" spans="1:11" x14ac:dyDescent="0.2">
      <c r="A179" s="275">
        <v>40664</v>
      </c>
      <c r="B179" s="280"/>
      <c r="C179" s="293">
        <v>285419.1231852576</v>
      </c>
      <c r="D179" s="282"/>
      <c r="E179" s="287">
        <f t="shared" si="15"/>
        <v>3240758.361499663</v>
      </c>
      <c r="F179" s="282"/>
      <c r="G179" s="287">
        <v>555596.26690893213</v>
      </c>
      <c r="I179" s="287">
        <v>2892.9379483133771</v>
      </c>
      <c r="K179" s="287">
        <v>1486.1507569709838</v>
      </c>
    </row>
    <row r="180" spans="1:11" x14ac:dyDescent="0.2">
      <c r="A180" s="275">
        <v>40634</v>
      </c>
      <c r="B180" s="280"/>
      <c r="C180" s="293">
        <v>261567.11735059769</v>
      </c>
      <c r="D180" s="282"/>
      <c r="E180" s="287">
        <f t="shared" si="15"/>
        <v>3246356.9017317253</v>
      </c>
      <c r="F180" s="282"/>
      <c r="G180" s="287">
        <v>510203.03069672128</v>
      </c>
      <c r="I180" s="287">
        <v>2889.2637468557418</v>
      </c>
      <c r="K180" s="287">
        <v>1481.2463746023373</v>
      </c>
    </row>
    <row r="181" spans="1:11" x14ac:dyDescent="0.2">
      <c r="A181" s="275">
        <v>40603</v>
      </c>
      <c r="B181" s="280"/>
      <c r="C181" s="293">
        <v>277988.8447483817</v>
      </c>
      <c r="D181" s="282"/>
      <c r="E181" s="287">
        <f t="shared" si="15"/>
        <v>3250606.0798426392</v>
      </c>
      <c r="F181" s="282"/>
      <c r="G181" s="287">
        <v>542276.37158065569</v>
      </c>
      <c r="I181" s="287">
        <v>2893.4282592829995</v>
      </c>
      <c r="K181" s="287">
        <v>1483.2672439993416</v>
      </c>
    </row>
    <row r="182" spans="1:11" x14ac:dyDescent="0.2">
      <c r="A182" s="275">
        <v>40575</v>
      </c>
      <c r="B182" s="280"/>
      <c r="C182" s="293">
        <v>245627.54599892243</v>
      </c>
      <c r="D182" s="282"/>
      <c r="E182" s="287">
        <f t="shared" si="15"/>
        <v>3255058.8318154472</v>
      </c>
      <c r="F182" s="282"/>
      <c r="G182" s="287">
        <v>487321.98803925863</v>
      </c>
      <c r="I182" s="287">
        <v>2911.7338425579683</v>
      </c>
      <c r="K182" s="287">
        <v>1467.6170086786847</v>
      </c>
    </row>
    <row r="183" spans="1:11" ht="13.5" thickBot="1" x14ac:dyDescent="0.25">
      <c r="A183" s="274">
        <v>40544</v>
      </c>
      <c r="B183" s="280"/>
      <c r="C183" s="292">
        <v>247436.39247085043</v>
      </c>
      <c r="D183" s="282"/>
      <c r="E183" s="287">
        <f t="shared" si="15"/>
        <v>3251875.1379768346</v>
      </c>
      <c r="F183" s="282"/>
      <c r="G183" s="286">
        <v>498745.97831576742</v>
      </c>
      <c r="I183" s="286">
        <v>2956.8354717933366</v>
      </c>
      <c r="K183" s="286">
        <v>1466.9365450144592</v>
      </c>
    </row>
    <row r="184" spans="1:11" ht="13.5" thickTop="1" x14ac:dyDescent="0.2">
      <c r="A184" s="275">
        <v>40513</v>
      </c>
      <c r="B184" s="280"/>
      <c r="C184" s="293">
        <v>255580.62982358073</v>
      </c>
      <c r="D184" s="282"/>
      <c r="E184" s="287">
        <f t="shared" si="15"/>
        <v>3247924.4558969554</v>
      </c>
      <c r="F184" s="282"/>
      <c r="G184" s="287">
        <v>512275.72051940393</v>
      </c>
      <c r="I184" s="287">
        <v>2910.9448473303883</v>
      </c>
      <c r="K184" s="287">
        <v>1452.3060290815154</v>
      </c>
    </row>
    <row r="185" spans="1:11" x14ac:dyDescent="0.2">
      <c r="A185" s="275">
        <v>40483</v>
      </c>
      <c r="B185" s="280"/>
      <c r="C185" s="293">
        <v>278229.20236877323</v>
      </c>
      <c r="D185" s="282"/>
      <c r="E185" s="287">
        <f t="shared" si="15"/>
        <v>3248420.0833142637</v>
      </c>
      <c r="F185" s="282"/>
      <c r="G185" s="287">
        <v>553166.84060117439</v>
      </c>
      <c r="I185" s="287">
        <v>2924.9122572627293</v>
      </c>
      <c r="K185" s="287">
        <v>1471.1583280234847</v>
      </c>
    </row>
    <row r="186" spans="1:11" x14ac:dyDescent="0.2">
      <c r="A186" s="275">
        <v>40452</v>
      </c>
      <c r="B186" s="280"/>
      <c r="C186" s="293">
        <v>284768.27577554481</v>
      </c>
      <c r="D186" s="282"/>
      <c r="E186" s="287">
        <f t="shared" si="15"/>
        <v>3245033.1833421639</v>
      </c>
      <c r="F186" s="282"/>
      <c r="G186" s="287">
        <v>568412.13982336281</v>
      </c>
      <c r="I186" s="287">
        <v>2933.0308887438623</v>
      </c>
      <c r="K186" s="287">
        <v>1469.4164506119751</v>
      </c>
    </row>
    <row r="187" spans="1:11" x14ac:dyDescent="0.2">
      <c r="A187" s="275">
        <v>40422</v>
      </c>
      <c r="B187" s="280"/>
      <c r="C187" s="293">
        <v>274191.24710367568</v>
      </c>
      <c r="D187" s="282"/>
      <c r="E187" s="287">
        <f t="shared" si="15"/>
        <v>3247972.0197683782</v>
      </c>
      <c r="F187" s="282"/>
      <c r="G187" s="287">
        <v>549206.4995898495</v>
      </c>
      <c r="I187" s="287">
        <v>2914.4143163685626</v>
      </c>
      <c r="K187" s="287">
        <v>1455.0208283745369</v>
      </c>
    </row>
    <row r="188" spans="1:11" x14ac:dyDescent="0.2">
      <c r="A188" s="275">
        <v>40391</v>
      </c>
      <c r="B188" s="280"/>
      <c r="C188" s="293">
        <v>272884.62590047007</v>
      </c>
      <c r="D188" s="282"/>
      <c r="E188" s="287">
        <f t="shared" si="15"/>
        <v>3241819.0460401447</v>
      </c>
      <c r="F188" s="282"/>
      <c r="G188" s="287">
        <v>542571.24333144119</v>
      </c>
      <c r="I188" s="287">
        <v>2877.3689291811165</v>
      </c>
      <c r="K188" s="287">
        <v>1447.1643189124482</v>
      </c>
    </row>
    <row r="189" spans="1:11" x14ac:dyDescent="0.2">
      <c r="A189" s="275">
        <v>40360</v>
      </c>
      <c r="B189" s="280"/>
      <c r="C189" s="293">
        <v>278207.52007821004</v>
      </c>
      <c r="D189" s="282"/>
      <c r="E189" s="287">
        <f t="shared" si="15"/>
        <v>3221615.4727359968</v>
      </c>
      <c r="F189" s="282"/>
      <c r="G189" s="287">
        <v>545641.9073030462</v>
      </c>
      <c r="I189" s="287">
        <v>2821.9392778696247</v>
      </c>
      <c r="K189" s="287">
        <v>1438.8277692742759</v>
      </c>
    </row>
    <row r="190" spans="1:11" x14ac:dyDescent="0.2">
      <c r="A190" s="275">
        <v>40330</v>
      </c>
      <c r="B190" s="280"/>
      <c r="C190" s="293">
        <v>278857.83669539867</v>
      </c>
      <c r="D190" s="282"/>
      <c r="E190" s="287">
        <f t="shared" si="15"/>
        <v>3196838.0905195288</v>
      </c>
      <c r="F190" s="282"/>
      <c r="G190" s="287">
        <v>546293.79370202951</v>
      </c>
      <c r="I190" s="287">
        <v>2713.7430975637949</v>
      </c>
      <c r="K190" s="287">
        <v>1385.2409422510682</v>
      </c>
    </row>
    <row r="191" spans="1:11" x14ac:dyDescent="0.2">
      <c r="A191" s="275">
        <v>40299</v>
      </c>
      <c r="B191" s="280"/>
      <c r="C191" s="293">
        <v>291017.66341731983</v>
      </c>
      <c r="D191" s="282"/>
      <c r="E191" s="287">
        <f t="shared" si="15"/>
        <v>3161598.3475468759</v>
      </c>
      <c r="F191" s="282"/>
      <c r="G191" s="287">
        <v>571997.52551506716</v>
      </c>
      <c r="I191" s="287">
        <v>2539.7780836245674</v>
      </c>
      <c r="K191" s="287">
        <v>1292.1739177619406</v>
      </c>
    </row>
    <row r="192" spans="1:11" x14ac:dyDescent="0.2">
      <c r="A192" s="275">
        <v>40269</v>
      </c>
      <c r="B192" s="280"/>
      <c r="C192" s="293">
        <v>265816.29546151106</v>
      </c>
      <c r="D192" s="282"/>
      <c r="E192" s="287">
        <f t="shared" si="15"/>
        <v>3113543.0850355569</v>
      </c>
      <c r="F192" s="282"/>
      <c r="G192" s="287">
        <v>520154.38275264786</v>
      </c>
      <c r="I192" s="287">
        <v>2530.1834947414272</v>
      </c>
      <c r="K192" s="287">
        <v>1293.008433094092</v>
      </c>
    </row>
    <row r="193" spans="1:11" x14ac:dyDescent="0.2">
      <c r="A193" s="275">
        <v>40238</v>
      </c>
      <c r="B193" s="280"/>
      <c r="C193" s="293">
        <v>282441.59672119014</v>
      </c>
      <c r="D193" s="282"/>
      <c r="E193" s="287">
        <f t="shared" si="15"/>
        <v>3076835.9772598087</v>
      </c>
      <c r="F193" s="282"/>
      <c r="G193" s="287">
        <v>556356.17162472755</v>
      </c>
      <c r="I193" s="287">
        <v>2510.1853222360392</v>
      </c>
      <c r="K193" s="287">
        <v>1274.3289041047299</v>
      </c>
    </row>
    <row r="194" spans="1:11" x14ac:dyDescent="0.2">
      <c r="A194" s="275">
        <v>40210</v>
      </c>
      <c r="B194" s="280"/>
      <c r="C194" s="293">
        <v>242443.85216030967</v>
      </c>
      <c r="D194" s="282"/>
      <c r="E194" s="287">
        <f t="shared" si="15"/>
        <v>3033480.9948245748</v>
      </c>
      <c r="F194" s="282"/>
      <c r="G194" s="287">
        <v>483017.55665929639</v>
      </c>
      <c r="I194" s="287">
        <v>2477.1229754614183</v>
      </c>
      <c r="K194" s="287">
        <v>1243.3569508308592</v>
      </c>
    </row>
    <row r="195" spans="1:11" ht="13.5" thickBot="1" x14ac:dyDescent="0.25">
      <c r="A195" s="274">
        <v>40179</v>
      </c>
      <c r="B195" s="280"/>
      <c r="C195" s="292">
        <v>243485.71039097165</v>
      </c>
      <c r="D195" s="282"/>
      <c r="E195" s="287">
        <f t="shared" si="15"/>
        <v>2996720.3911405252</v>
      </c>
      <c r="F195" s="282"/>
      <c r="G195" s="286">
        <v>486666.96243581409</v>
      </c>
      <c r="I195" s="286">
        <v>2477.7271498784112</v>
      </c>
      <c r="K195" s="286">
        <v>1239.6386067047026</v>
      </c>
    </row>
    <row r="196" spans="1:11" ht="13.5" thickTop="1" x14ac:dyDescent="0.2">
      <c r="A196" s="275">
        <v>40148</v>
      </c>
      <c r="B196" s="280"/>
      <c r="C196" s="293">
        <v>256076.25724088855</v>
      </c>
      <c r="D196" s="282"/>
      <c r="E196" s="287">
        <f t="shared" si="15"/>
        <v>2963334.6137777716</v>
      </c>
      <c r="F196" s="282"/>
      <c r="G196" s="287">
        <v>505798.48701348907</v>
      </c>
      <c r="I196" s="287">
        <v>2572.8097449808342</v>
      </c>
      <c r="K196" s="287">
        <v>1302.5651657791666</v>
      </c>
    </row>
    <row r="197" spans="1:11" x14ac:dyDescent="0.2">
      <c r="A197" s="275">
        <v>40118</v>
      </c>
      <c r="B197" s="280"/>
      <c r="C197" s="293">
        <v>274842.30239667383</v>
      </c>
      <c r="D197" s="282"/>
      <c r="E197" s="287">
        <f t="shared" si="15"/>
        <v>2910980.7873169906</v>
      </c>
      <c r="F197" s="282"/>
      <c r="G197" s="287">
        <v>540795.19318616937</v>
      </c>
      <c r="I197" s="287">
        <v>2580.0105297850655</v>
      </c>
      <c r="K197" s="287">
        <v>1311.2099425959254</v>
      </c>
    </row>
    <row r="198" spans="1:11" x14ac:dyDescent="0.2">
      <c r="A198" s="275">
        <v>40087</v>
      </c>
      <c r="B198" s="280"/>
      <c r="C198" s="293">
        <v>287707.11220175965</v>
      </c>
      <c r="D198" s="282"/>
      <c r="E198" s="287">
        <f t="shared" si="15"/>
        <v>2877593.8296626154</v>
      </c>
      <c r="F198" s="282"/>
      <c r="G198" s="287">
        <v>562529.65039828036</v>
      </c>
      <c r="I198" s="287">
        <v>2547.696224184037</v>
      </c>
      <c r="K198" s="287">
        <v>1303.0252234852805</v>
      </c>
    </row>
    <row r="199" spans="1:11" x14ac:dyDescent="0.2">
      <c r="A199" s="275">
        <v>40057</v>
      </c>
      <c r="B199" s="280"/>
      <c r="C199" s="293">
        <v>268038.27337544202</v>
      </c>
      <c r="D199" s="282"/>
      <c r="E199" s="287">
        <f t="shared" si="15"/>
        <v>2859833.7619050886</v>
      </c>
      <c r="F199" s="282"/>
      <c r="G199" s="287">
        <v>520891.74817107478</v>
      </c>
      <c r="I199" s="287">
        <v>2519.9442736883748</v>
      </c>
      <c r="K199" s="287">
        <v>1296.702269700635</v>
      </c>
    </row>
    <row r="200" spans="1:11" x14ac:dyDescent="0.2">
      <c r="A200" s="275">
        <v>40026</v>
      </c>
      <c r="B200" s="280"/>
      <c r="C200" s="293">
        <v>252681.05259632194</v>
      </c>
      <c r="D200" s="282"/>
      <c r="E200" s="287">
        <f t="shared" si="15"/>
        <v>2845761.9343506284</v>
      </c>
      <c r="F200" s="282"/>
      <c r="G200" s="287">
        <v>491154.41806705267</v>
      </c>
      <c r="I200" s="287">
        <v>2528.1226114567817</v>
      </c>
      <c r="K200" s="287">
        <v>1300.6269699649761</v>
      </c>
    </row>
    <row r="201" spans="1:11" x14ac:dyDescent="0.2">
      <c r="A201" s="275">
        <v>39995</v>
      </c>
      <c r="B201" s="280"/>
      <c r="C201" s="293">
        <v>253430.13786174203</v>
      </c>
      <c r="D201" s="282"/>
      <c r="E201" s="287">
        <f t="shared" si="15"/>
        <v>2843521.6830280451</v>
      </c>
      <c r="F201" s="282"/>
      <c r="G201" s="287">
        <v>487278.87629910995</v>
      </c>
      <c r="I201" s="287">
        <v>2536.0125197204316</v>
      </c>
      <c r="K201" s="287">
        <v>1318.9613458584201</v>
      </c>
    </row>
    <row r="202" spans="1:11" x14ac:dyDescent="0.2">
      <c r="A202" s="275">
        <v>39965</v>
      </c>
      <c r="B202" s="280"/>
      <c r="C202" s="293">
        <v>243618.09372274511</v>
      </c>
      <c r="D202" s="282"/>
      <c r="E202" s="287">
        <f t="shared" si="15"/>
        <v>2851742.3859395124</v>
      </c>
      <c r="F202" s="282"/>
      <c r="G202" s="287">
        <v>465765.99372030108</v>
      </c>
      <c r="I202" s="287">
        <v>2544.8106778778515</v>
      </c>
      <c r="K202" s="287">
        <v>1331.0588033229935</v>
      </c>
    </row>
    <row r="203" spans="1:11" x14ac:dyDescent="0.2">
      <c r="A203" s="275">
        <v>39934</v>
      </c>
      <c r="B203" s="280"/>
      <c r="C203" s="293">
        <v>242962.40090600072</v>
      </c>
      <c r="D203" s="282"/>
      <c r="E203" s="287">
        <f t="shared" si="15"/>
        <v>2864568.9505695831</v>
      </c>
      <c r="F203" s="282"/>
      <c r="G203" s="287">
        <v>461280.11455335282</v>
      </c>
      <c r="I203" s="287">
        <v>2536.6219460073548</v>
      </c>
      <c r="K203" s="287">
        <v>1336.0726785058832</v>
      </c>
    </row>
    <row r="204" spans="1:11" x14ac:dyDescent="0.2">
      <c r="A204" s="275">
        <v>39904</v>
      </c>
      <c r="B204" s="280"/>
      <c r="C204" s="293">
        <v>229109.18768576311</v>
      </c>
      <c r="D204" s="282"/>
      <c r="E204" s="287">
        <f t="shared" si="15"/>
        <v>2880269.9826738071</v>
      </c>
      <c r="F204" s="282"/>
      <c r="G204" s="287">
        <v>437895.93348056328</v>
      </c>
      <c r="I204" s="287">
        <v>2572.8213543630254</v>
      </c>
      <c r="K204" s="287">
        <v>1346.1120907734157</v>
      </c>
    </row>
    <row r="205" spans="1:11" x14ac:dyDescent="0.2">
      <c r="A205" s="275">
        <v>39873</v>
      </c>
      <c r="B205" s="280"/>
      <c r="C205" s="293">
        <v>239086.61428595678</v>
      </c>
      <c r="D205" s="282"/>
      <c r="E205" s="287">
        <f t="shared" si="15"/>
        <v>2901255.0337280338</v>
      </c>
      <c r="F205" s="282"/>
      <c r="G205" s="287">
        <v>460156.12686805555</v>
      </c>
      <c r="I205" s="287">
        <v>2600.3509249009458</v>
      </c>
      <c r="K205" s="287">
        <v>1351.0829526957298</v>
      </c>
    </row>
    <row r="206" spans="1:11" x14ac:dyDescent="0.2">
      <c r="A206" s="275">
        <v>39845</v>
      </c>
      <c r="B206" s="280"/>
      <c r="C206" s="293">
        <v>205683.24847626037</v>
      </c>
      <c r="D206" s="282"/>
      <c r="E206" s="287">
        <f t="shared" si="15"/>
        <v>2905337.2158177141</v>
      </c>
      <c r="F206" s="282"/>
      <c r="G206" s="287">
        <v>402121.70177647669</v>
      </c>
      <c r="I206" s="287">
        <v>2629.9723047502271</v>
      </c>
      <c r="K206" s="287">
        <v>1345.2177404349884</v>
      </c>
    </row>
    <row r="207" spans="1:11" ht="13.5" thickBot="1" x14ac:dyDescent="0.25">
      <c r="A207" s="274">
        <v>39814</v>
      </c>
      <c r="B207" s="280"/>
      <c r="C207" s="292">
        <v>210099.9330282181</v>
      </c>
      <c r="D207" s="282"/>
      <c r="E207" s="287">
        <f t="shared" si="15"/>
        <v>2926369.7558299587</v>
      </c>
      <c r="F207" s="282"/>
      <c r="G207" s="286">
        <v>417478.83817917691</v>
      </c>
      <c r="I207" s="286">
        <v>2668.6501815801548</v>
      </c>
      <c r="K207" s="286">
        <v>1343.021904705728</v>
      </c>
    </row>
    <row r="208" spans="1:11" ht="13.5" thickTop="1" x14ac:dyDescent="0.2">
      <c r="A208" s="275">
        <v>39783</v>
      </c>
      <c r="B208" s="280"/>
      <c r="C208" s="293">
        <v>203722.43078010675</v>
      </c>
      <c r="D208" s="282"/>
      <c r="E208" s="287">
        <f t="shared" si="15"/>
        <v>2948857.8133285688</v>
      </c>
      <c r="F208" s="282"/>
      <c r="G208" s="287">
        <v>393758.74655932275</v>
      </c>
      <c r="I208" s="287">
        <v>2584.4688760092267</v>
      </c>
      <c r="K208" s="287">
        <v>1337.149425369797</v>
      </c>
    </row>
    <row r="209" spans="1:11" x14ac:dyDescent="0.2">
      <c r="A209" s="275">
        <v>39753</v>
      </c>
      <c r="B209" s="280"/>
      <c r="C209" s="293">
        <v>241455.34474229853</v>
      </c>
      <c r="D209" s="282"/>
      <c r="E209" s="287">
        <f t="shared" si="15"/>
        <v>2957682.0285824854</v>
      </c>
      <c r="F209" s="282"/>
      <c r="G209" s="287">
        <v>464886.09958765557</v>
      </c>
      <c r="I209" s="287">
        <v>2619.8724800266318</v>
      </c>
      <c r="K209" s="287">
        <v>1360.7251612960217</v>
      </c>
    </row>
    <row r="210" spans="1:11" x14ac:dyDescent="0.2">
      <c r="A210" s="275">
        <v>39722</v>
      </c>
      <c r="B210" s="280"/>
      <c r="C210" s="293">
        <v>269947.04444423312</v>
      </c>
      <c r="D210" s="282"/>
      <c r="E210" s="287">
        <f t="shared" si="15"/>
        <v>2962912.1780058956</v>
      </c>
      <c r="F210" s="282"/>
      <c r="G210" s="287">
        <v>520275.50061562133</v>
      </c>
      <c r="I210" s="287">
        <v>2636.0536324892309</v>
      </c>
      <c r="K210" s="287">
        <v>1367.7270719934932</v>
      </c>
    </row>
    <row r="211" spans="1:11" x14ac:dyDescent="0.2">
      <c r="A211" s="275">
        <v>39692</v>
      </c>
      <c r="B211" s="280"/>
      <c r="C211" s="293">
        <v>253966.44582098167</v>
      </c>
      <c r="D211" s="282"/>
      <c r="E211" s="287">
        <f t="shared" si="15"/>
        <v>2951028.3173084185</v>
      </c>
      <c r="F211" s="282"/>
      <c r="G211" s="287">
        <v>490529.4877569782</v>
      </c>
      <c r="I211" s="287">
        <v>2618.8922505910245</v>
      </c>
      <c r="K211" s="287">
        <v>1355.9037192892026</v>
      </c>
    </row>
    <row r="212" spans="1:11" x14ac:dyDescent="0.2">
      <c r="A212" s="275">
        <v>39661</v>
      </c>
      <c r="C212" s="287">
        <v>250440.80127373899</v>
      </c>
      <c r="D212" s="282"/>
      <c r="E212" s="287">
        <f t="shared" si="15"/>
        <v>2937031.7161645694</v>
      </c>
      <c r="F212" s="282"/>
      <c r="G212" s="287">
        <v>476344.88111836941</v>
      </c>
      <c r="I212" s="287">
        <v>2604.902330309892</v>
      </c>
      <c r="K212" s="287">
        <v>1369.540962235149</v>
      </c>
    </row>
    <row r="213" spans="1:11" x14ac:dyDescent="0.2">
      <c r="A213" s="275">
        <v>39630</v>
      </c>
      <c r="C213" s="287">
        <v>261650.84077320911</v>
      </c>
      <c r="D213" s="282"/>
      <c r="E213" s="287">
        <f t="shared" si="15"/>
        <v>2933395.8497531232</v>
      </c>
      <c r="F213" s="282"/>
      <c r="G213" s="287">
        <v>491965.80317045399</v>
      </c>
      <c r="I213" s="287">
        <v>2549.0249660460195</v>
      </c>
      <c r="K213" s="287">
        <v>1355.6928575516426</v>
      </c>
    </row>
    <row r="214" spans="1:11" x14ac:dyDescent="0.2">
      <c r="A214" s="275">
        <v>39600</v>
      </c>
      <c r="C214" s="287">
        <v>256444.65835281613</v>
      </c>
      <c r="D214" s="282"/>
      <c r="E214" s="287">
        <f t="shared" si="15"/>
        <v>2913889.8302125842</v>
      </c>
      <c r="F214" s="282"/>
      <c r="G214" s="287">
        <v>482772.59097978094</v>
      </c>
      <c r="I214" s="287">
        <v>2515.4011751183607</v>
      </c>
      <c r="K214" s="287">
        <v>1336.1595231915646</v>
      </c>
    </row>
    <row r="215" spans="1:11" x14ac:dyDescent="0.2">
      <c r="A215" s="275">
        <v>39569</v>
      </c>
      <c r="C215" s="287">
        <v>258663.43301022422</v>
      </c>
      <c r="D215" s="282"/>
      <c r="E215" s="287">
        <f t="shared" si="15"/>
        <v>2906694.7880763356</v>
      </c>
      <c r="F215" s="282"/>
      <c r="G215" s="287">
        <v>486198.71904479869</v>
      </c>
      <c r="I215" s="287">
        <v>2513.1977982198305</v>
      </c>
      <c r="K215" s="287">
        <v>1337.0507672221572</v>
      </c>
    </row>
    <row r="216" spans="1:11" x14ac:dyDescent="0.2">
      <c r="A216" s="275">
        <v>39539</v>
      </c>
      <c r="C216" s="287">
        <v>250094.23873999031</v>
      </c>
      <c r="D216" s="282"/>
      <c r="E216" s="287">
        <f t="shared" si="15"/>
        <v>2906770.7272725604</v>
      </c>
      <c r="F216" s="282"/>
      <c r="G216" s="287">
        <v>470940.84356821975</v>
      </c>
      <c r="I216" s="287">
        <v>2524.4862166837875</v>
      </c>
      <c r="K216" s="287">
        <v>1340.6343221102934</v>
      </c>
    </row>
    <row r="217" spans="1:11" x14ac:dyDescent="0.2">
      <c r="A217" s="275">
        <v>39508</v>
      </c>
      <c r="C217" s="287">
        <v>243168.79637563718</v>
      </c>
      <c r="D217" s="282"/>
      <c r="E217" s="287">
        <f t="shared" si="15"/>
        <v>2906958.688835735</v>
      </c>
      <c r="F217" s="282"/>
      <c r="G217" s="287">
        <v>459388.82056729414</v>
      </c>
      <c r="I217" s="287">
        <v>2568.8942491084899</v>
      </c>
      <c r="K217" s="287">
        <v>1359.7956558903711</v>
      </c>
    </row>
    <row r="218" spans="1:11" x14ac:dyDescent="0.2">
      <c r="A218" s="276">
        <v>39479</v>
      </c>
      <c r="C218" s="288">
        <v>226715.78848850486</v>
      </c>
      <c r="D218" s="282"/>
      <c r="E218" s="287">
        <f t="shared" si="15"/>
        <v>2922336.6183817345</v>
      </c>
      <c r="F218" s="282"/>
      <c r="G218" s="288">
        <v>434451.68693829933</v>
      </c>
      <c r="I218" s="288">
        <v>2586.0848631415902</v>
      </c>
      <c r="K218" s="288">
        <v>1349.531573872332</v>
      </c>
    </row>
    <row r="219" spans="1:11" ht="13.5" thickBot="1" x14ac:dyDescent="0.25">
      <c r="A219" s="274">
        <v>39448</v>
      </c>
      <c r="C219" s="286">
        <v>232587.99052682827</v>
      </c>
      <c r="D219" s="282"/>
      <c r="E219" s="287">
        <f t="shared" si="15"/>
        <v>2913852.4677920798</v>
      </c>
      <c r="F219" s="282"/>
      <c r="G219" s="286">
        <v>450834.41164062527</v>
      </c>
      <c r="I219" s="286">
        <v>2607.7160657481545</v>
      </c>
      <c r="K219" s="286">
        <v>1345.3352803964067</v>
      </c>
    </row>
    <row r="220" spans="1:11" ht="13.5" thickTop="1" x14ac:dyDescent="0.2">
      <c r="A220" s="275">
        <v>39417</v>
      </c>
      <c r="C220" s="287">
        <v>212546.64603402282</v>
      </c>
      <c r="D220" s="282"/>
      <c r="E220" s="287">
        <f>SUM(C220:C231)</f>
        <v>2908737.3574465746</v>
      </c>
      <c r="F220" s="282"/>
      <c r="G220" s="287">
        <v>417927.10156465956</v>
      </c>
      <c r="I220" s="287">
        <v>2664.4512203125</v>
      </c>
      <c r="K220" s="287">
        <v>1355.069265138487</v>
      </c>
    </row>
    <row r="221" spans="1:11" x14ac:dyDescent="0.2">
      <c r="A221" s="275">
        <v>39387</v>
      </c>
      <c r="C221" s="287">
        <v>246685.49416570881</v>
      </c>
      <c r="D221" s="282"/>
      <c r="E221" s="287"/>
      <c r="F221" s="282"/>
      <c r="G221" s="287">
        <v>480808.34010795999</v>
      </c>
      <c r="I221" s="287">
        <v>2679.5987379087842</v>
      </c>
      <c r="K221" s="287">
        <v>1374.8058918412564</v>
      </c>
    </row>
    <row r="222" spans="1:11" x14ac:dyDescent="0.2">
      <c r="A222" s="275">
        <v>39356</v>
      </c>
      <c r="C222" s="287">
        <v>258063.18374675611</v>
      </c>
      <c r="D222" s="282"/>
      <c r="E222" s="287"/>
      <c r="F222" s="282"/>
      <c r="G222" s="287">
        <v>499283.42994053185</v>
      </c>
      <c r="I222" s="287">
        <v>2692.5857118129952</v>
      </c>
      <c r="K222" s="287">
        <v>1391.7089965998864</v>
      </c>
    </row>
    <row r="223" spans="1:11" x14ac:dyDescent="0.2">
      <c r="A223" s="275">
        <v>39326</v>
      </c>
      <c r="C223" s="287">
        <v>239969.84467713267</v>
      </c>
      <c r="D223" s="282"/>
      <c r="E223" s="287"/>
      <c r="F223" s="282"/>
      <c r="G223" s="287">
        <v>461577.19093081314</v>
      </c>
      <c r="I223" s="287">
        <v>2659.4329311132533</v>
      </c>
      <c r="K223" s="287">
        <v>1382.6153457053251</v>
      </c>
    </row>
    <row r="224" spans="1:11" x14ac:dyDescent="0.2">
      <c r="A224" s="275">
        <v>39295</v>
      </c>
      <c r="C224" s="287">
        <v>246804.93486229281</v>
      </c>
      <c r="D224" s="282"/>
      <c r="E224" s="287"/>
      <c r="F224" s="282"/>
      <c r="G224" s="287">
        <v>471334.89677998552</v>
      </c>
      <c r="I224" s="287">
        <v>2626.8364556586243</v>
      </c>
      <c r="K224" s="287">
        <v>1375.4894975140162</v>
      </c>
    </row>
    <row r="225" spans="1:11" x14ac:dyDescent="0.2">
      <c r="A225" s="275">
        <v>39264</v>
      </c>
      <c r="C225" s="287">
        <v>242144.82123266981</v>
      </c>
      <c r="D225" s="282"/>
      <c r="E225" s="287"/>
      <c r="F225" s="282"/>
      <c r="G225" s="287">
        <v>455526.74212892907</v>
      </c>
      <c r="I225" s="287">
        <v>2563.2898095607502</v>
      </c>
      <c r="K225" s="287">
        <v>1362.5706139727295</v>
      </c>
    </row>
    <row r="226" spans="1:11" x14ac:dyDescent="0.2">
      <c r="A226" s="275">
        <v>39234</v>
      </c>
      <c r="C226" s="287">
        <v>249249.61621656796</v>
      </c>
      <c r="D226" s="282"/>
      <c r="E226" s="287"/>
      <c r="F226" s="282"/>
      <c r="G226" s="287">
        <v>463077.46534824604</v>
      </c>
      <c r="I226" s="287">
        <v>2448.6436835563482</v>
      </c>
      <c r="K226" s="287">
        <v>1317.9727886749235</v>
      </c>
    </row>
    <row r="227" spans="1:11" x14ac:dyDescent="0.2">
      <c r="A227" s="275">
        <v>39203</v>
      </c>
      <c r="C227" s="287">
        <v>258739.37220644919</v>
      </c>
      <c r="D227" s="282"/>
      <c r="E227" s="287"/>
      <c r="F227" s="282"/>
      <c r="G227" s="287">
        <v>479975.2929972274</v>
      </c>
      <c r="I227" s="287">
        <v>2337.5621092558963</v>
      </c>
      <c r="K227" s="287">
        <v>1260.1051793012764</v>
      </c>
    </row>
    <row r="228" spans="1:11" x14ac:dyDescent="0.2">
      <c r="A228" s="275">
        <v>39173</v>
      </c>
      <c r="C228" s="287">
        <v>250282.20030316492</v>
      </c>
      <c r="D228" s="282"/>
      <c r="E228" s="287"/>
      <c r="F228" s="282"/>
      <c r="G228" s="287">
        <v>463499.91103947058</v>
      </c>
      <c r="I228" s="287">
        <v>2262.6843992206691</v>
      </c>
      <c r="K228" s="287">
        <v>1221.8117340272117</v>
      </c>
    </row>
    <row r="229" spans="1:11" x14ac:dyDescent="0.2">
      <c r="A229" s="275">
        <v>39142</v>
      </c>
      <c r="C229" s="287">
        <v>258546.72592163627</v>
      </c>
      <c r="D229" s="282"/>
      <c r="E229" s="287"/>
      <c r="F229" s="282"/>
      <c r="G229" s="287">
        <v>485546.04879459023</v>
      </c>
      <c r="I229" s="287">
        <v>2270.7430949146892</v>
      </c>
      <c r="K229" s="287">
        <v>1209.1400888893352</v>
      </c>
    </row>
    <row r="230" spans="1:11" x14ac:dyDescent="0.2">
      <c r="A230" s="275">
        <v>39114</v>
      </c>
      <c r="C230" s="287">
        <v>218231.63789885014</v>
      </c>
      <c r="D230" s="282"/>
      <c r="E230" s="287"/>
      <c r="F230" s="282"/>
      <c r="G230" s="287">
        <v>416261.00734319456</v>
      </c>
      <c r="I230" s="287">
        <v>2298.5133902799644</v>
      </c>
      <c r="K230" s="287">
        <v>1205.0332196493118</v>
      </c>
    </row>
    <row r="231" spans="1:11" x14ac:dyDescent="0.2">
      <c r="A231" s="275">
        <v>39083</v>
      </c>
      <c r="C231" s="287">
        <v>227472.88018132286</v>
      </c>
      <c r="D231" s="282"/>
      <c r="E231" s="287"/>
      <c r="F231" s="282"/>
      <c r="G231" s="287">
        <v>441554.44959394191</v>
      </c>
      <c r="I231" s="287">
        <v>2309.4393943379346</v>
      </c>
      <c r="K231" s="287">
        <v>1189.7396371327777</v>
      </c>
    </row>
    <row r="232" spans="1:11" ht="15" x14ac:dyDescent="0.2">
      <c r="I232" s="277"/>
    </row>
    <row r="233" spans="1:11" x14ac:dyDescent="0.2">
      <c r="A233" s="6" t="s">
        <v>246</v>
      </c>
    </row>
  </sheetData>
  <conditionalFormatting sqref="C4:C231">
    <cfRule type="cellIs" dxfId="4" priority="7" operator="greaterThan">
      <formula>#REF!-1</formula>
    </cfRule>
  </conditionalFormatting>
  <conditionalFormatting sqref="E4:E231">
    <cfRule type="cellIs" dxfId="3" priority="18" operator="greaterThan">
      <formula>#REF!-1</formula>
    </cfRule>
  </conditionalFormatting>
  <conditionalFormatting sqref="G4:G231">
    <cfRule type="cellIs" dxfId="2" priority="3" operator="greaterThan">
      <formula>#REF!-1</formula>
    </cfRule>
  </conditionalFormatting>
  <conditionalFormatting sqref="I4:I36">
    <cfRule type="cellIs" dxfId="1" priority="2" operator="greaterThan">
      <formula>#REF!-1</formula>
    </cfRule>
  </conditionalFormatting>
  <conditionalFormatting sqref="K4:K37">
    <cfRule type="cellIs" dxfId="0" priority="1" operator="greaterThan">
      <formula>#REF!-1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92EB-2713-4017-8E03-9AB7208F8419}">
  <sheetPr>
    <tabColor rgb="FF9BBB59"/>
  </sheetPr>
  <dimension ref="A1:AM10"/>
  <sheetViews>
    <sheetView zoomScale="80" zoomScaleNormal="80" workbookViewId="0">
      <pane xSplit="1" topLeftCell="B1" activePane="topRight" state="frozen"/>
      <selection pane="topRight" activeCell="AM11" sqref="AM11"/>
    </sheetView>
  </sheetViews>
  <sheetFormatPr defaultColWidth="9.140625" defaultRowHeight="15.75" x14ac:dyDescent="0.25"/>
  <cols>
    <col min="1" max="1" width="57" style="307" customWidth="1"/>
    <col min="2" max="2" width="2.140625" style="307" customWidth="1"/>
    <col min="3" max="9" width="9.7109375" style="307" customWidth="1"/>
    <col min="10" max="10" width="5" style="307" customWidth="1"/>
    <col min="11" max="11" width="9.7109375" style="307" customWidth="1"/>
    <col min="12" max="12" width="5" style="307" customWidth="1"/>
    <col min="13" max="28" width="9.5703125" style="307" customWidth="1"/>
    <col min="29" max="16384" width="9.140625" style="307"/>
  </cols>
  <sheetData>
    <row r="1" spans="1:39" s="302" customFormat="1" x14ac:dyDescent="0.2">
      <c r="P1" s="312"/>
    </row>
    <row r="2" spans="1:39" s="302" customFormat="1" ht="26.25" x14ac:dyDescent="0.2">
      <c r="C2" s="226"/>
      <c r="D2" s="226"/>
      <c r="L2" s="226"/>
      <c r="N2" s="226"/>
      <c r="O2" s="226"/>
      <c r="P2" s="226"/>
      <c r="Q2" s="226"/>
      <c r="R2" s="313"/>
    </row>
    <row r="3" spans="1:39" s="302" customFormat="1" ht="18.75" x14ac:dyDescent="0.2">
      <c r="C3" s="227"/>
      <c r="D3" s="227"/>
      <c r="L3" s="227"/>
      <c r="N3" s="227"/>
      <c r="O3" s="227"/>
      <c r="P3" s="227"/>
      <c r="Q3" s="227"/>
      <c r="R3" s="314"/>
    </row>
    <row r="4" spans="1:39" x14ac:dyDescent="0.25"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 t="s">
        <v>5</v>
      </c>
      <c r="AK4" s="309" t="s">
        <v>5</v>
      </c>
      <c r="AL4" s="309" t="s">
        <v>5</v>
      </c>
      <c r="AM4" s="309" t="s">
        <v>5</v>
      </c>
    </row>
    <row r="5" spans="1:39" x14ac:dyDescent="0.25">
      <c r="M5" s="309">
        <v>2019</v>
      </c>
      <c r="N5" s="309">
        <v>2019</v>
      </c>
      <c r="O5" s="309">
        <v>2019</v>
      </c>
      <c r="P5" s="309">
        <v>2020</v>
      </c>
      <c r="Q5" s="309">
        <v>2020</v>
      </c>
      <c r="R5" s="309">
        <v>2020</v>
      </c>
      <c r="S5" s="309">
        <v>2020</v>
      </c>
      <c r="T5" s="309">
        <v>2021</v>
      </c>
      <c r="U5" s="309">
        <v>2021</v>
      </c>
      <c r="V5" s="309">
        <v>2021</v>
      </c>
      <c r="W5" s="309">
        <v>2021</v>
      </c>
      <c r="X5" s="309">
        <v>2022</v>
      </c>
      <c r="Y5" s="309">
        <v>2022</v>
      </c>
      <c r="Z5" s="309">
        <v>2022</v>
      </c>
      <c r="AA5" s="309">
        <v>2022</v>
      </c>
      <c r="AB5" s="309">
        <v>2023</v>
      </c>
      <c r="AC5" s="309">
        <v>2023</v>
      </c>
      <c r="AD5" s="309">
        <v>2023</v>
      </c>
      <c r="AE5" s="309">
        <v>2023</v>
      </c>
      <c r="AF5" s="309">
        <v>2024</v>
      </c>
      <c r="AG5" s="309">
        <v>2024</v>
      </c>
      <c r="AH5" s="309">
        <v>2024</v>
      </c>
      <c r="AI5" s="309">
        <v>2024</v>
      </c>
      <c r="AJ5" s="309">
        <v>2025</v>
      </c>
      <c r="AK5" s="309">
        <v>2025</v>
      </c>
      <c r="AL5" s="309">
        <v>2025</v>
      </c>
      <c r="AM5" s="309">
        <v>2025</v>
      </c>
    </row>
    <row r="6" spans="1:39" ht="3.75" customHeight="1" x14ac:dyDescent="0.25"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</row>
    <row r="7" spans="1:39" x14ac:dyDescent="0.25">
      <c r="A7" s="315" t="s">
        <v>247</v>
      </c>
      <c r="C7" s="10">
        <v>2019</v>
      </c>
      <c r="D7" s="10">
        <v>2020</v>
      </c>
      <c r="E7" s="10">
        <v>2021</v>
      </c>
      <c r="F7" s="10">
        <v>2022</v>
      </c>
      <c r="G7" s="10">
        <v>2023</v>
      </c>
      <c r="H7" s="10">
        <v>2024</v>
      </c>
      <c r="I7" s="10">
        <v>2025</v>
      </c>
      <c r="J7" s="2"/>
      <c r="K7" s="10" t="s">
        <v>5</v>
      </c>
      <c r="L7" s="308"/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R7" s="9" t="s">
        <v>14</v>
      </c>
      <c r="S7" s="9" t="s">
        <v>15</v>
      </c>
      <c r="T7" s="9" t="s">
        <v>16</v>
      </c>
      <c r="U7" s="9" t="s">
        <v>17</v>
      </c>
      <c r="V7" s="9" t="s">
        <v>18</v>
      </c>
      <c r="W7" s="9" t="s">
        <v>19</v>
      </c>
      <c r="X7" s="9" t="s">
        <v>20</v>
      </c>
      <c r="Y7" s="9" t="s">
        <v>21</v>
      </c>
      <c r="Z7" s="9" t="s">
        <v>22</v>
      </c>
      <c r="AA7" s="9" t="s">
        <v>23</v>
      </c>
      <c r="AB7" s="9" t="s">
        <v>251</v>
      </c>
      <c r="AC7" s="9" t="s">
        <v>254</v>
      </c>
      <c r="AD7" s="9" t="s">
        <v>263</v>
      </c>
      <c r="AE7" s="9" t="s">
        <v>283</v>
      </c>
      <c r="AF7" s="9" t="s">
        <v>288</v>
      </c>
      <c r="AG7" s="9" t="s">
        <v>296</v>
      </c>
      <c r="AH7" s="9" t="s">
        <v>298</v>
      </c>
      <c r="AI7" s="9" t="s">
        <v>300</v>
      </c>
      <c r="AJ7" s="9" t="s">
        <v>304</v>
      </c>
      <c r="AK7" s="9" t="s">
        <v>312</v>
      </c>
      <c r="AL7" s="9" t="s">
        <v>318</v>
      </c>
      <c r="AM7" s="9" t="s">
        <v>320</v>
      </c>
    </row>
    <row r="8" spans="1:39" ht="5.25" customHeight="1" x14ac:dyDescent="0.25">
      <c r="A8" s="308"/>
      <c r="B8" s="308"/>
      <c r="C8" s="310"/>
      <c r="D8" s="310"/>
      <c r="E8" s="310"/>
      <c r="F8" s="310"/>
      <c r="G8" s="310"/>
      <c r="H8" s="310"/>
      <c r="I8" s="310"/>
      <c r="J8" s="311"/>
      <c r="K8" s="310"/>
      <c r="L8" s="308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</row>
    <row r="9" spans="1:39" x14ac:dyDescent="0.25">
      <c r="A9" s="361" t="s">
        <v>248</v>
      </c>
      <c r="B9" s="361"/>
      <c r="C9" s="362">
        <f>AVERAGEIFS($M9:$AN9,$M$5:$AN$5,C$7)</f>
        <v>615.19000000000005</v>
      </c>
      <c r="D9" s="362">
        <f>AVERAGEIFS($M9:$AN9,$M$5:$AN$5,D$7)</f>
        <v>729.70749999999998</v>
      </c>
      <c r="E9" s="362">
        <f t="shared" ref="E9:I10" si="0">AVERAGEIFS($M9:$AN9,$M$5:$AN$5,E$7)</f>
        <v>1378.0074999999999</v>
      </c>
      <c r="F9" s="362">
        <f t="shared" si="0"/>
        <v>773</v>
      </c>
      <c r="G9" s="362">
        <f t="shared" si="0"/>
        <v>602.5</v>
      </c>
      <c r="H9" s="362">
        <f t="shared" si="0"/>
        <v>841.25</v>
      </c>
      <c r="I9" s="362">
        <f>AVERAGEIFS($M9:$AN9,$M$5:$AN$5,I$7)</f>
        <v>1147.25</v>
      </c>
      <c r="J9" s="361"/>
      <c r="K9" s="363">
        <f>AVERAGEIFS($M9:$AN9,$M$4:$AN$4,K$7)</f>
        <v>1147.25</v>
      </c>
      <c r="L9" s="361"/>
      <c r="M9" s="364">
        <v>632.1</v>
      </c>
      <c r="N9" s="364">
        <v>628.22</v>
      </c>
      <c r="O9" s="364">
        <v>585.25</v>
      </c>
      <c r="P9" s="364">
        <v>561.1</v>
      </c>
      <c r="Q9" s="364">
        <v>642.78</v>
      </c>
      <c r="R9" s="364">
        <v>721.93</v>
      </c>
      <c r="S9" s="364">
        <v>993.02</v>
      </c>
      <c r="T9" s="364">
        <v>1414.24</v>
      </c>
      <c r="U9" s="364">
        <v>1755.79</v>
      </c>
      <c r="V9" s="364">
        <v>1362</v>
      </c>
      <c r="W9" s="364">
        <v>980</v>
      </c>
      <c r="X9" s="364">
        <v>831</v>
      </c>
      <c r="Y9" s="364">
        <v>721</v>
      </c>
      <c r="Z9" s="364">
        <v>775</v>
      </c>
      <c r="AA9" s="364">
        <v>765</v>
      </c>
      <c r="AB9" s="364">
        <v>675</v>
      </c>
      <c r="AC9" s="364">
        <v>612</v>
      </c>
      <c r="AD9" s="364">
        <v>564</v>
      </c>
      <c r="AE9" s="364">
        <v>559</v>
      </c>
      <c r="AF9" s="364">
        <v>581</v>
      </c>
      <c r="AG9" s="364">
        <v>740</v>
      </c>
      <c r="AH9" s="364">
        <v>1024</v>
      </c>
      <c r="AI9" s="364">
        <v>1020</v>
      </c>
      <c r="AJ9" s="364">
        <v>1090</v>
      </c>
      <c r="AK9" s="364">
        <v>1270</v>
      </c>
      <c r="AL9" s="364">
        <v>1199</v>
      </c>
      <c r="AM9" s="364">
        <v>1030</v>
      </c>
    </row>
    <row r="10" spans="1:39" x14ac:dyDescent="0.25">
      <c r="A10" s="361" t="s">
        <v>249</v>
      </c>
      <c r="B10" s="361"/>
      <c r="C10" s="362">
        <f>AVERAGEIFS($M10:$AN10,$M$5:$AN$5,C$7)</f>
        <v>606.98666666666668</v>
      </c>
      <c r="D10" s="362">
        <f t="shared" ref="D10" si="1">AVERAGEIFS($M10:$AN10,$M$5:$AN$5,D$7)</f>
        <v>728.62249999999995</v>
      </c>
      <c r="E10" s="362">
        <f t="shared" si="0"/>
        <v>1367.135</v>
      </c>
      <c r="F10" s="362">
        <f t="shared" si="0"/>
        <v>782.75</v>
      </c>
      <c r="G10" s="362">
        <f t="shared" si="0"/>
        <v>610.25</v>
      </c>
      <c r="H10" s="362">
        <f t="shared" si="0"/>
        <v>783.5</v>
      </c>
      <c r="I10" s="362">
        <f t="shared" si="0"/>
        <v>1047.75</v>
      </c>
      <c r="J10" s="361"/>
      <c r="K10" s="363">
        <f>AVERAGEIFS($M10:$AN10,$M$4:$AN$4,K$7)</f>
        <v>1047.75</v>
      </c>
      <c r="L10" s="361"/>
      <c r="M10" s="364">
        <v>624.71</v>
      </c>
      <c r="N10" s="364">
        <v>618.19000000000005</v>
      </c>
      <c r="O10" s="364">
        <v>578.05999999999995</v>
      </c>
      <c r="P10" s="364">
        <v>563.26</v>
      </c>
      <c r="Q10" s="364">
        <v>641.96</v>
      </c>
      <c r="R10" s="364">
        <v>714.34</v>
      </c>
      <c r="S10" s="364">
        <v>994.93</v>
      </c>
      <c r="T10" s="364">
        <v>1401.37</v>
      </c>
      <c r="U10" s="364">
        <v>1759.17</v>
      </c>
      <c r="V10" s="364">
        <v>1271</v>
      </c>
      <c r="W10" s="364">
        <v>1037</v>
      </c>
      <c r="X10" s="364">
        <v>795</v>
      </c>
      <c r="Y10" s="364">
        <v>764</v>
      </c>
      <c r="Z10" s="364">
        <v>790</v>
      </c>
      <c r="AA10" s="364">
        <v>782</v>
      </c>
      <c r="AB10" s="364">
        <v>700</v>
      </c>
      <c r="AC10" s="364">
        <v>644</v>
      </c>
      <c r="AD10" s="364">
        <v>555</v>
      </c>
      <c r="AE10" s="364">
        <v>542</v>
      </c>
      <c r="AF10" s="364">
        <v>553</v>
      </c>
      <c r="AG10" s="364">
        <v>712</v>
      </c>
      <c r="AH10" s="364">
        <v>931</v>
      </c>
      <c r="AI10" s="364">
        <v>938</v>
      </c>
      <c r="AJ10" s="364">
        <v>1004</v>
      </c>
      <c r="AK10" s="364">
        <v>1151</v>
      </c>
      <c r="AL10" s="364">
        <v>1093</v>
      </c>
      <c r="AM10" s="364">
        <v>943</v>
      </c>
    </row>
  </sheetData>
  <phoneticPr fontId="6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4</vt:i4>
      </vt:variant>
    </vt:vector>
  </HeadingPairs>
  <TitlesOfParts>
    <vt:vector size="13" baseType="lpstr">
      <vt:lpstr>Capa</vt:lpstr>
      <vt:lpstr>01. DRE e EBITDA</vt:lpstr>
      <vt:lpstr>02. BP</vt:lpstr>
      <vt:lpstr>03. FC</vt:lpstr>
      <vt:lpstr>04. Endividamento</vt:lpstr>
      <vt:lpstr>05. Dados Históricos</vt:lpstr>
      <vt:lpstr>06. Dividendos</vt:lpstr>
      <vt:lpstr>07. Série Histórica Empapel</vt:lpstr>
      <vt:lpstr>08. Preço Histórico Aparas</vt:lpstr>
      <vt:lpstr>'02. BP'!Area_de_impressao</vt:lpstr>
      <vt:lpstr>'03. FC'!Area_de_impressao</vt:lpstr>
      <vt:lpstr>'04. Endividamento'!Area_de_impressao</vt:lpstr>
      <vt:lpstr>'06. Dividendos'!Area_de_impressao</vt:lpstr>
    </vt:vector>
  </TitlesOfParts>
  <Manager/>
  <Company>Celulose Irani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adrianawagner</dc:creator>
  <cp:keywords/>
  <dc:description/>
  <cp:lastModifiedBy>Italo De Bastiani</cp:lastModifiedBy>
  <cp:revision/>
  <dcterms:created xsi:type="dcterms:W3CDTF">2011-08-11T14:58:22Z</dcterms:created>
  <dcterms:modified xsi:type="dcterms:W3CDTF">2026-02-17T17:50:09Z</dcterms:modified>
  <cp:category/>
  <cp:contentStatus/>
</cp:coreProperties>
</file>