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votorantimindustrial-my.sharepoint.com/personal/jeniffer_brazzarola_vcimentos_com/Documents/Área de Trabalho/"/>
    </mc:Choice>
  </mc:AlternateContent>
  <xr:revisionPtr revIDLastSave="0" documentId="8_{6F0075EF-D5AF-4593-9375-21E4B36D78F3}" xr6:coauthVersionLast="47" xr6:coauthVersionMax="47" xr10:uidLastSave="{00000000-0000-0000-0000-000000000000}"/>
  <bookViews>
    <workbookView xWindow="-120" yWindow="-120" windowWidth="20730" windowHeight="11040" activeTab="4" xr2:uid="{00000000-000D-0000-FFFF-FFFF00000000}"/>
  </bookViews>
  <sheets>
    <sheet name="CAPA | Summary" sheetId="1" r:id="rId1"/>
    <sheet name="BP" sheetId="13" r:id="rId2"/>
    <sheet name="DRE" sheetId="15" r:id="rId3"/>
    <sheet name="DFC" sheetId="21" r:id="rId4"/>
    <sheet name="EBITDA" sheetId="2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8" i="20" l="1"/>
  <c r="AI28" i="20"/>
  <c r="AG28" i="20"/>
  <c r="AE28" i="20"/>
  <c r="AC28" i="20"/>
  <c r="AK108" i="13"/>
  <c r="AI108" i="13"/>
  <c r="AC108" i="13"/>
  <c r="AA108" i="13"/>
  <c r="U108" i="13"/>
  <c r="S108" i="13"/>
  <c r="AK105" i="13"/>
  <c r="AI105" i="13"/>
  <c r="AG105" i="13"/>
  <c r="AG108" i="13" s="1"/>
  <c r="AE105" i="13"/>
  <c r="AE108" i="13" s="1"/>
  <c r="AC105" i="13"/>
  <c r="AA105" i="13"/>
  <c r="Y105" i="13"/>
  <c r="Y108" i="13" s="1"/>
  <c r="W105" i="13"/>
  <c r="W108" i="13" s="1"/>
  <c r="U105" i="13"/>
  <c r="S105" i="13"/>
  <c r="Q108" i="13"/>
  <c r="Q105" i="13"/>
  <c r="AK101" i="13"/>
  <c r="AI101" i="13"/>
  <c r="AG101" i="13"/>
  <c r="AE101" i="13"/>
  <c r="AC101" i="13"/>
  <c r="AA101" i="13"/>
  <c r="Y101" i="13"/>
  <c r="W101" i="13"/>
  <c r="W102" i="13" s="1"/>
  <c r="U101" i="13"/>
  <c r="S101" i="13"/>
  <c r="Q101" i="13"/>
  <c r="AK93" i="13"/>
  <c r="AG93" i="13"/>
  <c r="W93" i="13"/>
  <c r="U93" i="13"/>
  <c r="AK91" i="13"/>
  <c r="AI91" i="13"/>
  <c r="AI93" i="13" s="1"/>
  <c r="AG91" i="13"/>
  <c r="AE91" i="13"/>
  <c r="AE93" i="13" s="1"/>
  <c r="AC91" i="13"/>
  <c r="AC93" i="13" s="1"/>
  <c r="AA91" i="13"/>
  <c r="AA93" i="13" s="1"/>
  <c r="Y91" i="13"/>
  <c r="Y93" i="13" s="1"/>
  <c r="W91" i="13"/>
  <c r="U91" i="13"/>
  <c r="S91" i="13"/>
  <c r="S93" i="13" s="1"/>
  <c r="Q93" i="13"/>
  <c r="Q91" i="13"/>
  <c r="AK77" i="13"/>
  <c r="AI77" i="13"/>
  <c r="AG77" i="13"/>
  <c r="AE77" i="13"/>
  <c r="AC77" i="13"/>
  <c r="AA77" i="13"/>
  <c r="Y77" i="13"/>
  <c r="W77" i="13"/>
  <c r="U77" i="13"/>
  <c r="S77" i="13"/>
  <c r="Q77" i="13"/>
  <c r="O77" i="13"/>
  <c r="M77" i="13"/>
  <c r="K77" i="13"/>
  <c r="K93" i="13" s="1"/>
  <c r="K108" i="13" s="1"/>
  <c r="I77" i="13"/>
  <c r="G77" i="13"/>
  <c r="E77" i="13"/>
  <c r="E93" i="13" s="1"/>
  <c r="E108" i="13" s="1"/>
  <c r="AK73" i="13"/>
  <c r="AI73" i="13"/>
  <c r="AG73" i="13"/>
  <c r="AE73" i="13"/>
  <c r="AC73" i="13"/>
  <c r="AA73" i="13"/>
  <c r="Y73" i="13"/>
  <c r="W73" i="13"/>
  <c r="U73" i="13"/>
  <c r="S73" i="13"/>
  <c r="Q73" i="13"/>
  <c r="O73" i="13"/>
  <c r="M73" i="13"/>
  <c r="K73" i="13"/>
  <c r="I73" i="13"/>
  <c r="G73" i="13"/>
  <c r="E73" i="13"/>
  <c r="AK53" i="13"/>
  <c r="AI53" i="13"/>
  <c r="Y53" i="13"/>
  <c r="W53" i="13"/>
  <c r="U53" i="13"/>
  <c r="S53" i="13"/>
  <c r="I53" i="13"/>
  <c r="AK50" i="13"/>
  <c r="AI50" i="13"/>
  <c r="AG50" i="13"/>
  <c r="AC50" i="13"/>
  <c r="W50" i="13"/>
  <c r="U50" i="13"/>
  <c r="S50" i="13"/>
  <c r="Q50" i="13"/>
  <c r="M50" i="13"/>
  <c r="AK49" i="13"/>
  <c r="AI49" i="13"/>
  <c r="AG49" i="13"/>
  <c r="AG53" i="13" s="1"/>
  <c r="AE49" i="13"/>
  <c r="AE50" i="13" s="1"/>
  <c r="AC49" i="13"/>
  <c r="AC53" i="13" s="1"/>
  <c r="AA49" i="13"/>
  <c r="AA50" i="13" s="1"/>
  <c r="Y49" i="13"/>
  <c r="Y50" i="13" s="1"/>
  <c r="W49" i="13"/>
  <c r="U49" i="13"/>
  <c r="S49" i="13"/>
  <c r="Q49" i="13"/>
  <c r="Q53" i="13" s="1"/>
  <c r="O49" i="13"/>
  <c r="O50" i="13" s="1"/>
  <c r="M49" i="13"/>
  <c r="M53" i="13" s="1"/>
  <c r="K49" i="13"/>
  <c r="K50" i="13" s="1"/>
  <c r="I49" i="13"/>
  <c r="I50" i="13" s="1"/>
  <c r="G53" i="13"/>
  <c r="G49" i="13"/>
  <c r="G50" i="13" s="1"/>
  <c r="E53" i="13"/>
  <c r="E49" i="13"/>
  <c r="E50" i="13" s="1"/>
  <c r="AK41" i="13"/>
  <c r="AI41" i="13"/>
  <c r="AG41" i="13"/>
  <c r="AE41" i="13"/>
  <c r="AC41" i="13"/>
  <c r="AA41" i="13"/>
  <c r="Y41" i="13"/>
  <c r="W41" i="13"/>
  <c r="U41" i="13"/>
  <c r="S41" i="13"/>
  <c r="Q41" i="13"/>
  <c r="O41" i="13"/>
  <c r="M41" i="13"/>
  <c r="K41" i="13"/>
  <c r="I41" i="13"/>
  <c r="G41" i="13"/>
  <c r="E41" i="13"/>
  <c r="AK25" i="13"/>
  <c r="AI25" i="13"/>
  <c r="AG25" i="13"/>
  <c r="AE25" i="13"/>
  <c r="AC25" i="13"/>
  <c r="AA25" i="13"/>
  <c r="Y25" i="13"/>
  <c r="W25" i="13"/>
  <c r="U25" i="13"/>
  <c r="S25" i="13"/>
  <c r="Q25" i="13"/>
  <c r="O25" i="13"/>
  <c r="M25" i="13"/>
  <c r="K25" i="13"/>
  <c r="I25" i="13"/>
  <c r="G25" i="13"/>
  <c r="E25" i="13"/>
  <c r="E20" i="13"/>
  <c r="G20" i="13"/>
  <c r="I20" i="13"/>
  <c r="K20" i="13"/>
  <c r="M20" i="13"/>
  <c r="O20" i="13"/>
  <c r="Q20" i="13"/>
  <c r="S20" i="13"/>
  <c r="U20" i="13"/>
  <c r="W20" i="13"/>
  <c r="Y20" i="13"/>
  <c r="AA20" i="13"/>
  <c r="AC20" i="13"/>
  <c r="AE20" i="13"/>
  <c r="AG20" i="13"/>
  <c r="AI20" i="13"/>
  <c r="AK20" i="13"/>
  <c r="O105" i="13"/>
  <c r="G105" i="13"/>
  <c r="AE102" i="13"/>
  <c r="O102" i="13"/>
  <c r="G102" i="13"/>
  <c r="M101" i="13"/>
  <c r="M105" i="13" s="1"/>
  <c r="K101" i="13"/>
  <c r="K105" i="13" s="1"/>
  <c r="I101" i="13"/>
  <c r="I105" i="13" s="1"/>
  <c r="E101" i="13"/>
  <c r="E105" i="13" s="1"/>
  <c r="AK97" i="13"/>
  <c r="O91" i="13"/>
  <c r="M91" i="13"/>
  <c r="K91" i="13"/>
  <c r="I91" i="13"/>
  <c r="G91" i="13"/>
  <c r="E91" i="13"/>
  <c r="O93" i="13"/>
  <c r="O108" i="13" s="1"/>
  <c r="M93" i="13"/>
  <c r="M108" i="13" s="1"/>
  <c r="I93" i="13"/>
  <c r="AK42" i="15"/>
  <c r="AK41" i="15"/>
  <c r="AI42" i="15"/>
  <c r="AI41" i="15"/>
  <c r="AG42" i="15"/>
  <c r="AG41" i="15"/>
  <c r="AG49" i="15" s="1"/>
  <c r="AE42" i="15"/>
  <c r="AE41" i="15"/>
  <c r="AC49" i="15"/>
  <c r="AE49" i="15"/>
  <c r="AI49" i="15"/>
  <c r="AI46" i="15"/>
  <c r="AI45" i="15"/>
  <c r="AK46" i="15"/>
  <c r="AK45" i="15"/>
  <c r="AM49" i="15"/>
  <c r="AA49" i="15"/>
  <c r="Y49" i="15"/>
  <c r="W49" i="15"/>
  <c r="U49" i="15"/>
  <c r="S49" i="15"/>
  <c r="Q49" i="15"/>
  <c r="O49" i="15"/>
  <c r="M49" i="15"/>
  <c r="K49" i="15"/>
  <c r="I49" i="15"/>
  <c r="G49" i="15"/>
  <c r="E49" i="15"/>
  <c r="E38" i="15"/>
  <c r="G38" i="15"/>
  <c r="I38" i="15"/>
  <c r="K38" i="15"/>
  <c r="M38" i="15"/>
  <c r="O38" i="15"/>
  <c r="Q38" i="15"/>
  <c r="S38" i="15"/>
  <c r="U38" i="15"/>
  <c r="W38" i="15"/>
  <c r="Y38" i="15"/>
  <c r="AA38" i="15"/>
  <c r="AC38" i="15"/>
  <c r="AE38" i="15"/>
  <c r="AI36" i="15"/>
  <c r="AK36" i="15"/>
  <c r="AK34" i="15"/>
  <c r="AI34" i="15"/>
  <c r="AG34" i="15"/>
  <c r="AE34" i="15"/>
  <c r="AC34" i="15"/>
  <c r="AA34" i="15"/>
  <c r="Y34" i="15"/>
  <c r="W34" i="15"/>
  <c r="U34" i="15"/>
  <c r="S34" i="15"/>
  <c r="Q34" i="15"/>
  <c r="O34" i="15"/>
  <c r="M34" i="15"/>
  <c r="K34" i="15"/>
  <c r="I34" i="15"/>
  <c r="G34" i="15"/>
  <c r="E34" i="15"/>
  <c r="AK30" i="15"/>
  <c r="AI30" i="15"/>
  <c r="AG30" i="15"/>
  <c r="AE30" i="15"/>
  <c r="AC30" i="15"/>
  <c r="AA30" i="15"/>
  <c r="Y30" i="15"/>
  <c r="W30" i="15"/>
  <c r="U30" i="15"/>
  <c r="S30" i="15"/>
  <c r="Q30" i="15"/>
  <c r="O30" i="15"/>
  <c r="M30" i="15"/>
  <c r="K30" i="15"/>
  <c r="I30" i="15"/>
  <c r="AK28" i="15"/>
  <c r="AI28" i="15"/>
  <c r="AG28" i="15"/>
  <c r="AE28" i="15"/>
  <c r="AC28" i="15"/>
  <c r="AA28" i="15"/>
  <c r="Y28" i="15"/>
  <c r="W28" i="15"/>
  <c r="U28" i="15"/>
  <c r="S28" i="15"/>
  <c r="Q28" i="15"/>
  <c r="O28" i="15"/>
  <c r="M28" i="15"/>
  <c r="K28" i="15"/>
  <c r="I28" i="15"/>
  <c r="G28" i="15"/>
  <c r="E28" i="15"/>
  <c r="E30" i="15" s="1"/>
  <c r="AK19" i="15"/>
  <c r="AI19" i="15"/>
  <c r="AG19" i="15"/>
  <c r="AE19" i="15"/>
  <c r="AC19" i="15"/>
  <c r="AA19" i="15"/>
  <c r="Y19" i="15"/>
  <c r="W19" i="15"/>
  <c r="U19" i="15"/>
  <c r="S19" i="15"/>
  <c r="Q19" i="15"/>
  <c r="O19" i="15"/>
  <c r="M19" i="15"/>
  <c r="K19" i="15"/>
  <c r="I19" i="15"/>
  <c r="G19" i="15"/>
  <c r="E19" i="15"/>
  <c r="AK16" i="15"/>
  <c r="AI16" i="15"/>
  <c r="AG16" i="15"/>
  <c r="AE16" i="15"/>
  <c r="AC16" i="15"/>
  <c r="AA16" i="15"/>
  <c r="Y16" i="15"/>
  <c r="W16" i="15"/>
  <c r="U16" i="15"/>
  <c r="S16" i="15"/>
  <c r="Q16" i="15"/>
  <c r="O16" i="15"/>
  <c r="M16" i="15"/>
  <c r="K16" i="15"/>
  <c r="I16" i="15"/>
  <c r="G16" i="15"/>
  <c r="E16" i="15"/>
  <c r="AK10" i="15"/>
  <c r="AI10" i="15"/>
  <c r="AG10" i="15"/>
  <c r="AE10" i="15"/>
  <c r="AC10" i="15"/>
  <c r="AA10" i="15"/>
  <c r="Y10" i="15"/>
  <c r="W10" i="15"/>
  <c r="U10" i="15"/>
  <c r="S10" i="15"/>
  <c r="Q10" i="15"/>
  <c r="O10" i="15"/>
  <c r="M10" i="15"/>
  <c r="K10" i="15"/>
  <c r="I10" i="15"/>
  <c r="G10" i="15"/>
  <c r="E10" i="15"/>
  <c r="AM93" i="21"/>
  <c r="AK93" i="21"/>
  <c r="AI93" i="21"/>
  <c r="AG93" i="21"/>
  <c r="AE93" i="21"/>
  <c r="AC93" i="21"/>
  <c r="AA93" i="21"/>
  <c r="Y93" i="21"/>
  <c r="W93" i="21"/>
  <c r="U93" i="21"/>
  <c r="S93" i="21"/>
  <c r="M93" i="21"/>
  <c r="K93" i="21"/>
  <c r="K87" i="21"/>
  <c r="M87" i="21"/>
  <c r="O87" i="21"/>
  <c r="Q87" i="21"/>
  <c r="S87" i="21"/>
  <c r="U87" i="21"/>
  <c r="W87" i="21"/>
  <c r="Y87" i="21"/>
  <c r="AA87" i="21"/>
  <c r="AC87" i="21"/>
  <c r="AE87" i="21"/>
  <c r="AG87" i="21"/>
  <c r="AI87" i="21"/>
  <c r="AK87" i="21"/>
  <c r="AM85" i="21"/>
  <c r="AK85" i="21"/>
  <c r="AI85" i="21"/>
  <c r="AG85" i="21"/>
  <c r="AE85" i="21"/>
  <c r="AC85" i="21"/>
  <c r="AA85" i="21"/>
  <c r="Y85" i="21"/>
  <c r="W85" i="21"/>
  <c r="U85" i="21"/>
  <c r="S85" i="21"/>
  <c r="Q85" i="21"/>
  <c r="O85" i="21"/>
  <c r="Q73" i="21"/>
  <c r="S73" i="21"/>
  <c r="U73" i="21"/>
  <c r="W73" i="21"/>
  <c r="Y73" i="21"/>
  <c r="AA73" i="21"/>
  <c r="AC73" i="21"/>
  <c r="AE73" i="21"/>
  <c r="AG73" i="21"/>
  <c r="AI73" i="21"/>
  <c r="AK73" i="21"/>
  <c r="AM73" i="21"/>
  <c r="AM58" i="21"/>
  <c r="AK58" i="21"/>
  <c r="AI58" i="21"/>
  <c r="AG58" i="21"/>
  <c r="AE58" i="21"/>
  <c r="AC58" i="21"/>
  <c r="AA58" i="21"/>
  <c r="Y58" i="21"/>
  <c r="W58" i="21"/>
  <c r="U58" i="21"/>
  <c r="S58" i="21"/>
  <c r="Q58" i="21"/>
  <c r="Q51" i="21"/>
  <c r="S51" i="21"/>
  <c r="U51" i="21"/>
  <c r="W51" i="21"/>
  <c r="Y51" i="21"/>
  <c r="AA51" i="21"/>
  <c r="AC51" i="21"/>
  <c r="AE51" i="21"/>
  <c r="AG51" i="21"/>
  <c r="AI51" i="21"/>
  <c r="AK51" i="21"/>
  <c r="AM33" i="21"/>
  <c r="AK33" i="21"/>
  <c r="AI33" i="21"/>
  <c r="AG33" i="21"/>
  <c r="AE33" i="21"/>
  <c r="AC33" i="21"/>
  <c r="AA33" i="21"/>
  <c r="Y33" i="21"/>
  <c r="W33" i="21"/>
  <c r="U33" i="21"/>
  <c r="S33" i="21"/>
  <c r="Q33" i="21"/>
  <c r="O33" i="21"/>
  <c r="O58" i="21"/>
  <c r="U54" i="21"/>
  <c r="U53" i="21"/>
  <c r="M73" i="21"/>
  <c r="L73" i="21"/>
  <c r="L87" i="21" s="1"/>
  <c r="K73" i="21"/>
  <c r="J73" i="21"/>
  <c r="I73" i="21"/>
  <c r="I87" i="21" s="1"/>
  <c r="H73" i="21"/>
  <c r="G73" i="21"/>
  <c r="J87" i="21"/>
  <c r="H87" i="21"/>
  <c r="G87" i="21"/>
  <c r="M33" i="21"/>
  <c r="L33" i="21"/>
  <c r="K33" i="21"/>
  <c r="J33" i="21"/>
  <c r="I33" i="21"/>
  <c r="H33" i="21"/>
  <c r="G33" i="21"/>
  <c r="E33" i="21"/>
  <c r="M51" i="21"/>
  <c r="M58" i="21" s="1"/>
  <c r="L51" i="21"/>
  <c r="K51" i="21"/>
  <c r="J51" i="21"/>
  <c r="J58" i="21" s="1"/>
  <c r="I51" i="21"/>
  <c r="H51" i="21"/>
  <c r="G51" i="21"/>
  <c r="G58" i="21" s="1"/>
  <c r="E51" i="21"/>
  <c r="E58" i="21" s="1"/>
  <c r="L58" i="21"/>
  <c r="K58" i="21"/>
  <c r="I58" i="21"/>
  <c r="H58" i="21"/>
  <c r="E73" i="21"/>
  <c r="M85" i="21"/>
  <c r="K85" i="21"/>
  <c r="I85" i="21"/>
  <c r="G85" i="21"/>
  <c r="E85" i="21"/>
  <c r="M61" i="21"/>
  <c r="M54" i="21"/>
  <c r="M53" i="21"/>
  <c r="M28" i="21"/>
  <c r="M25" i="21"/>
  <c r="E89" i="21"/>
  <c r="E83" i="21"/>
  <c r="E61" i="21"/>
  <c r="E54" i="21"/>
  <c r="E53" i="21"/>
  <c r="E50" i="21"/>
  <c r="E28" i="21"/>
  <c r="E25" i="21"/>
  <c r="G93" i="13" l="1"/>
  <c r="G108" i="13" s="1"/>
  <c r="I108" i="13"/>
  <c r="K53" i="13"/>
  <c r="AA53" i="13"/>
  <c r="O53" i="13"/>
  <c r="AE53" i="13"/>
  <c r="AK49" i="15"/>
  <c r="G30" i="15"/>
  <c r="AK92" i="21"/>
  <c r="E87" i="21"/>
  <c r="AM10" i="15"/>
  <c r="AM19" i="15" s="1"/>
  <c r="AM30" i="15" s="1"/>
  <c r="AM34" i="15" s="1"/>
  <c r="AM38" i="15" s="1"/>
  <c r="AS49" i="15"/>
  <c r="AQ49" i="15"/>
  <c r="AO49" i="15"/>
  <c r="AS28" i="15"/>
  <c r="AQ28" i="15"/>
  <c r="AO28" i="15"/>
  <c r="AM28" i="15"/>
  <c r="AS16" i="15"/>
  <c r="AQ16" i="15"/>
  <c r="AO16" i="15"/>
  <c r="AM16" i="15"/>
  <c r="AS10" i="15"/>
  <c r="AS19" i="15" s="1"/>
  <c r="AS30" i="15" s="1"/>
  <c r="AS34" i="15" s="1"/>
  <c r="AS38" i="15" s="1"/>
  <c r="AQ10" i="15"/>
  <c r="AQ19" i="15" s="1"/>
  <c r="AQ30" i="15" s="1"/>
  <c r="AQ34" i="15" s="1"/>
  <c r="AQ38" i="15" s="1"/>
  <c r="AO10" i="15"/>
  <c r="AO19" i="15" s="1"/>
  <c r="AO30" i="15" s="1"/>
  <c r="AO34" i="15" s="1"/>
  <c r="AO38" i="15" s="1"/>
  <c r="AS6" i="15"/>
  <c r="AQ6" i="15"/>
  <c r="AO6" i="15"/>
  <c r="AM6" i="15"/>
  <c r="AM101" i="13"/>
  <c r="AM73" i="13" l="1"/>
  <c r="AM77" i="13" s="1"/>
  <c r="AV10" i="13"/>
  <c r="AM20" i="13"/>
  <c r="AM105" i="13"/>
  <c r="AM102" i="13"/>
  <c r="AQ101" i="13"/>
  <c r="AQ105" i="13" s="1"/>
  <c r="AO101" i="13"/>
  <c r="AO105" i="13" s="1"/>
  <c r="AS101" i="13"/>
  <c r="AS105" i="13" s="1"/>
  <c r="AS91" i="13"/>
  <c r="AQ91" i="13"/>
  <c r="AO91" i="13"/>
  <c r="AM91" i="13"/>
  <c r="AO77" i="13"/>
  <c r="AO93" i="13" s="1"/>
  <c r="AS73" i="13"/>
  <c r="AS77" i="13" s="1"/>
  <c r="AQ73" i="13"/>
  <c r="AQ77" i="13" s="1"/>
  <c r="AQ93" i="13" s="1"/>
  <c r="AQ108" i="13" s="1"/>
  <c r="AO73" i="13"/>
  <c r="AS56" i="13"/>
  <c r="AQ56" i="13"/>
  <c r="AO56" i="13"/>
  <c r="AM56" i="13"/>
  <c r="AS41" i="13"/>
  <c r="AS49" i="13" s="1"/>
  <c r="AQ41" i="13"/>
  <c r="AQ49" i="13" s="1"/>
  <c r="AO41" i="13"/>
  <c r="AO49" i="13" s="1"/>
  <c r="AS20" i="13"/>
  <c r="AS25" i="13" s="1"/>
  <c r="AQ20" i="13"/>
  <c r="AQ25" i="13" s="1"/>
  <c r="AO20" i="13"/>
  <c r="AO25" i="13" s="1"/>
  <c r="AS85" i="21"/>
  <c r="AQ85" i="21"/>
  <c r="AO85" i="21"/>
  <c r="AS73" i="21"/>
  <c r="AQ73" i="21"/>
  <c r="AO73" i="21"/>
  <c r="AS33" i="21"/>
  <c r="AS51" i="21" s="1"/>
  <c r="AS58" i="21" s="1"/>
  <c r="AQ33" i="21"/>
  <c r="AQ51" i="21" s="1"/>
  <c r="AQ58" i="21" s="1"/>
  <c r="AO33" i="21"/>
  <c r="AO51" i="21" s="1"/>
  <c r="AO58" i="21" s="1"/>
  <c r="AO87" i="21" s="1"/>
  <c r="AO95" i="21" s="1"/>
  <c r="AM51" i="21"/>
  <c r="AM87" i="21" s="1"/>
  <c r="AM28" i="20"/>
  <c r="AC32" i="20"/>
  <c r="AQ87" i="21" l="1"/>
  <c r="AQ93" i="21" s="1"/>
  <c r="AS87" i="21"/>
  <c r="AS93" i="21" s="1"/>
  <c r="AM93" i="13"/>
  <c r="AM108" i="13" s="1"/>
  <c r="AM41" i="13"/>
  <c r="AM49" i="13" s="1"/>
  <c r="AM25" i="13"/>
  <c r="AS93" i="13"/>
  <c r="AS108" i="13" s="1"/>
  <c r="AO53" i="13"/>
  <c r="AS53" i="13"/>
  <c r="AQ53" i="13"/>
  <c r="AO108" i="13"/>
  <c r="AO109" i="13" s="1"/>
  <c r="AM53" i="13" l="1"/>
  <c r="U32" i="20"/>
  <c r="M32" i="20"/>
  <c r="E32" i="20"/>
  <c r="AD95" i="21"/>
  <c r="AB95" i="21"/>
  <c r="Z95" i="21"/>
  <c r="X95" i="21"/>
  <c r="V95" i="21"/>
  <c r="T95" i="21"/>
  <c r="R95" i="21"/>
  <c r="P95" i="21"/>
  <c r="N95" i="21"/>
  <c r="L95" i="21"/>
  <c r="J95" i="21"/>
  <c r="H95" i="21"/>
  <c r="F95" i="21"/>
  <c r="M95" i="21" l="1"/>
  <c r="E95" i="21"/>
  <c r="G95" i="21"/>
  <c r="U95" i="21"/>
  <c r="I95" i="21"/>
  <c r="S95" i="21"/>
  <c r="Y95" i="21"/>
  <c r="O95" i="21"/>
  <c r="W95" i="21"/>
  <c r="K95" i="21"/>
  <c r="AA95" i="21"/>
  <c r="Q95" i="21"/>
  <c r="AE95" i="21"/>
  <c r="AC95" i="21" l="1"/>
  <c r="AG95" i="21"/>
  <c r="AK6" i="15" l="1"/>
  <c r="AI6" i="15"/>
  <c r="AG6" i="15"/>
  <c r="AE6" i="15"/>
  <c r="AK38" i="15" l="1"/>
  <c r="AG38" i="15" l="1"/>
  <c r="AI38" i="15"/>
  <c r="AK56" i="13"/>
  <c r="AI56" i="13"/>
  <c r="AG56" i="13"/>
  <c r="AE56" i="13"/>
  <c r="AG109" i="13" l="1"/>
  <c r="AC6" i="15" l="1"/>
  <c r="AA6" i="15"/>
  <c r="Y6" i="15"/>
  <c r="W6" i="15"/>
  <c r="AC56" i="13"/>
  <c r="AA56" i="13"/>
  <c r="Y56" i="13"/>
  <c r="W56" i="13"/>
</calcChain>
</file>

<file path=xl/sharedStrings.xml><?xml version="1.0" encoding="utf-8"?>
<sst xmlns="http://schemas.openxmlformats.org/spreadsheetml/2006/main" count="432" uniqueCount="328">
  <si>
    <t>Ativo</t>
  </si>
  <si>
    <t>Circulante</t>
  </si>
  <si>
    <t>Caixa e equivalentes de caixa</t>
  </si>
  <si>
    <t>Aplicações financeiras</t>
  </si>
  <si>
    <t>Instrumentos financeiros derivativos</t>
  </si>
  <si>
    <t>Contas a receber de clientes</t>
  </si>
  <si>
    <t>Estoques</t>
  </si>
  <si>
    <t>Tributos a recuperar</t>
  </si>
  <si>
    <t>Outros ativos</t>
  </si>
  <si>
    <t>Ativos classificados como mantidos para venda</t>
  </si>
  <si>
    <t>Não circulante</t>
  </si>
  <si>
    <t>Partes relacionadas</t>
  </si>
  <si>
    <t>Depósitos judiciais</t>
  </si>
  <si>
    <t>Total do ativo</t>
  </si>
  <si>
    <t>Empréstimos e financiamentos</t>
  </si>
  <si>
    <t>Risco sacado a pagar</t>
  </si>
  <si>
    <t>Salários e encargos sociais</t>
  </si>
  <si>
    <t>Tributos a recolher</t>
  </si>
  <si>
    <t>Adiantamento de clientes</t>
  </si>
  <si>
    <t>Dividendos a pagar</t>
  </si>
  <si>
    <t>Outros passivos</t>
  </si>
  <si>
    <t>Passivos relacionados a ativos mantidos para venda</t>
  </si>
  <si>
    <t>Total do passivo</t>
  </si>
  <si>
    <t>Patrimônio líquido</t>
  </si>
  <si>
    <t>Capital social</t>
  </si>
  <si>
    <t>Reservas de lucros</t>
  </si>
  <si>
    <t>Ajustes de avaliação patrimonial</t>
  </si>
  <si>
    <t>Patrimônio líquido atribuído aos acionistas controladores</t>
  </si>
  <si>
    <t>Participação dos acionistas não controladores</t>
  </si>
  <si>
    <t>Custo dos produtos vendidos e dos serviços prestados</t>
  </si>
  <si>
    <t>Lucro bruto</t>
  </si>
  <si>
    <t>Receitas (despesas) operacionais</t>
  </si>
  <si>
    <t>Com vendas</t>
  </si>
  <si>
    <t>Gerais e administrativas</t>
  </si>
  <si>
    <t>Resultado de participações societárias</t>
  </si>
  <si>
    <t>Equivalência patrimonial</t>
  </si>
  <si>
    <t>Dividendos recebidos</t>
  </si>
  <si>
    <t>Receitas financeiras</t>
  </si>
  <si>
    <t>Despesas financeiras</t>
  </si>
  <si>
    <t>Variações cambiais, líquidas</t>
  </si>
  <si>
    <t>Lucro antes do imposto de renda e da contribuição social</t>
  </si>
  <si>
    <t>Imposto de renda e contribuição social</t>
  </si>
  <si>
    <t>Acréscimo (decréscimo) em passivos</t>
  </si>
  <si>
    <t>Fluxo de caixa das atividades de financiamentos</t>
  </si>
  <si>
    <t>Lucro líquido do exercício</t>
  </si>
  <si>
    <t>Ajustes de itens que não representam alteração de caixa e equivalentes de caixa</t>
  </si>
  <si>
    <t>Balanço patrimonial</t>
  </si>
  <si>
    <t/>
  </si>
  <si>
    <t>Passivo e patrimônio líquido</t>
  </si>
  <si>
    <t>Imposto de renda e contribuição social a recuperar</t>
  </si>
  <si>
    <t>Imposto de renda e contribuição social a recolher</t>
  </si>
  <si>
    <t>Total do ativo circulante</t>
  </si>
  <si>
    <t>Total do passivo circulante</t>
  </si>
  <si>
    <t xml:space="preserve">  Realizável a longo prazo</t>
  </si>
  <si>
    <t>Securitização de recebíveis</t>
  </si>
  <si>
    <t>Total do ativo não circulante</t>
  </si>
  <si>
    <t xml:space="preserve">Total do patrimônio líquido </t>
  </si>
  <si>
    <t>Total do passivo e patrimônio líquido</t>
  </si>
  <si>
    <t>Votorantim Cimentos S.A. e suas controladas</t>
  </si>
  <si>
    <t>(em milhares de reais)</t>
  </si>
  <si>
    <t xml:space="preserve">Aplicações financeiras </t>
  </si>
  <si>
    <t xml:space="preserve">Imposto de renda e contribuição social a recuperar </t>
  </si>
  <si>
    <t xml:space="preserve">Imposto de renda e contribuição social diferidos  </t>
  </si>
  <si>
    <t xml:space="preserve">Partes relacionadas </t>
  </si>
  <si>
    <t xml:space="preserve">Depósitos judiciais </t>
  </si>
  <si>
    <t xml:space="preserve">Securitização de recebíveis </t>
  </si>
  <si>
    <t xml:space="preserve">Outros ativos </t>
  </si>
  <si>
    <t xml:space="preserve">Outros passivos </t>
  </si>
  <si>
    <t>Receita de contratos com clientes</t>
  </si>
  <si>
    <t>do resultado financeiro</t>
  </si>
  <si>
    <t>Resultado financeiro líquido</t>
  </si>
  <si>
    <t>Acionistas da Companhia</t>
  </si>
  <si>
    <t>Participação de não controladores</t>
  </si>
  <si>
    <t>Outras receitas (despesas) operacionais, líquidas</t>
  </si>
  <si>
    <t>Lucro operacional antes das participações societárias e</t>
  </si>
  <si>
    <t>Demonstração do resultado</t>
  </si>
  <si>
    <t>Depreciação, amortização e exaustão</t>
  </si>
  <si>
    <t>Ganho (perda) decorrente de mudança de participação acionária</t>
  </si>
  <si>
    <t>Ganho de valor justo resultante da remensuração - Superior</t>
  </si>
  <si>
    <t>Demais itens que não afetam caixa</t>
  </si>
  <si>
    <t>Acréscimo (decréscimo) em ativos</t>
  </si>
  <si>
    <t>Demais créditos e outros ativos</t>
  </si>
  <si>
    <t xml:space="preserve">Tributos a recolher </t>
  </si>
  <si>
    <t>Pagamentos de processos tributários, cíveis e trabalhistas</t>
  </si>
  <si>
    <t>Demais obrigações e outros passivos</t>
  </si>
  <si>
    <t>Caixa proveniente das operações</t>
  </si>
  <si>
    <t>Juros recebidos</t>
  </si>
  <si>
    <t>Imposto de renda e contribuição social pagos</t>
  </si>
  <si>
    <t>Fluxo de caixa das atividades de investimentos</t>
  </si>
  <si>
    <t>Recebimento pela venda de imobilizado e intangível</t>
  </si>
  <si>
    <t>Recebimento pela venda de investimentos</t>
  </si>
  <si>
    <t>Aquisição de imobilizado e intangível</t>
  </si>
  <si>
    <t>Aquisição de investimento líquido de caixa recebido da investida</t>
  </si>
  <si>
    <t>Caixa líquido proveniente das (aplicado nas) atividades de investimento</t>
  </si>
  <si>
    <t>Liquidação de empréstimos e financiamentos</t>
  </si>
  <si>
    <t>Aumento (redução) de participação de acionistas não controladores</t>
  </si>
  <si>
    <t>Dividendos pagos</t>
  </si>
  <si>
    <t>Dividendos pagos a não controladores</t>
  </si>
  <si>
    <t>Acréscimo (decréscimo) em caixa e equivalentes de caixa</t>
  </si>
  <si>
    <t>Redução de caixa resultante de reclassificação para ativos mantidos para venda</t>
  </si>
  <si>
    <t xml:space="preserve">Efeito de oscilações nas taxas cambiais </t>
  </si>
  <si>
    <t>Provisão de impairment de ativos</t>
  </si>
  <si>
    <t>Ganho na aquisição de investimentos - McInnis</t>
  </si>
  <si>
    <t>Custo de recompra dos bonds</t>
  </si>
  <si>
    <t>Caixa líquido proveniente das (aplicado nas) atividades de financiamentos</t>
  </si>
  <si>
    <t>Caixa e equivalentes de caixa no início do exercício</t>
  </si>
  <si>
    <t>Caixa e equivalentes de caixa no fim do exercício</t>
  </si>
  <si>
    <t>Demonstração dos fluxos de caixa</t>
  </si>
  <si>
    <t>Lucro (prejuízo) do exercício</t>
  </si>
  <si>
    <t>Itens de ajuste do EBITDA</t>
  </si>
  <si>
    <t>COVID</t>
  </si>
  <si>
    <t>EBITDA ajustado</t>
  </si>
  <si>
    <t>Adições do imobilizado e intangível (CAPEX)</t>
  </si>
  <si>
    <t>Dívida líquida</t>
  </si>
  <si>
    <t>Lucro (prejuízo) antes do imposto de renda e da contribuição social</t>
  </si>
  <si>
    <t>Dissolução de investimento</t>
  </si>
  <si>
    <t>Asset</t>
  </si>
  <si>
    <t>Current assets</t>
  </si>
  <si>
    <t>Cash and cash equivalents</t>
  </si>
  <si>
    <t>Financial investments</t>
  </si>
  <si>
    <t>Derivative financial instruments</t>
  </si>
  <si>
    <t>Trade receivables</t>
  </si>
  <si>
    <t>Inventory</t>
  </si>
  <si>
    <t>Taxes recoverable</t>
  </si>
  <si>
    <t>Income tax and social contribution recoverable</t>
  </si>
  <si>
    <t>Other assets</t>
  </si>
  <si>
    <t>Assets classified as held for sale</t>
  </si>
  <si>
    <t>Total current assets</t>
  </si>
  <si>
    <t>Non-current assets</t>
  </si>
  <si>
    <t xml:space="preserve">  Long-term assets</t>
  </si>
  <si>
    <t>Deferred income tax and social contribuition</t>
  </si>
  <si>
    <t>Related parties</t>
  </si>
  <si>
    <t>Judicial deposits</t>
  </si>
  <si>
    <t>Securitization of receivables</t>
  </si>
  <si>
    <t>Pension plan benefits</t>
  </si>
  <si>
    <t xml:space="preserve">  Investments in associates and joint ventures  </t>
  </si>
  <si>
    <t xml:space="preserve">  Property, plant and equipment</t>
  </si>
  <si>
    <t xml:space="preserve">  Intangible assets</t>
  </si>
  <si>
    <t xml:space="preserve">  Right-of-use assets</t>
  </si>
  <si>
    <t>Total non-current assets</t>
  </si>
  <si>
    <t>Total assets</t>
  </si>
  <si>
    <t>Liabilities and stockholders' equity</t>
  </si>
  <si>
    <t>Current liabilities</t>
  </si>
  <si>
    <t>Borrowing</t>
  </si>
  <si>
    <t>Lease liabilities</t>
  </si>
  <si>
    <t>Confirming payables</t>
  </si>
  <si>
    <t>Trade and other payables</t>
  </si>
  <si>
    <t>Salaries and social charges</t>
  </si>
  <si>
    <t>Income tax and social contribution payable</t>
  </si>
  <si>
    <t>Taxes payable</t>
  </si>
  <si>
    <t>Advances from customers</t>
  </si>
  <si>
    <t>Dividends payable</t>
  </si>
  <si>
    <t>Concession</t>
  </si>
  <si>
    <t>Other liabilities</t>
  </si>
  <si>
    <t>Liabilities related to assets held for sale</t>
  </si>
  <si>
    <t>Total current liabilities</t>
  </si>
  <si>
    <t>Non-current liabilities</t>
  </si>
  <si>
    <t>Provisions and judicial deposits</t>
  </si>
  <si>
    <t>Pension liabilities</t>
  </si>
  <si>
    <t>Total liabilities</t>
  </si>
  <si>
    <t>Stockholders' equity</t>
  </si>
  <si>
    <t>Share capital</t>
  </si>
  <si>
    <t>Income reserves</t>
  </si>
  <si>
    <t>Other comprehensive income</t>
  </si>
  <si>
    <t>Total equity attributable to the owners of the Company</t>
  </si>
  <si>
    <t>Non-controlling interests</t>
  </si>
  <si>
    <t>Total stockholders' equity</t>
  </si>
  <si>
    <t>Total liabilities and stockholders' equity</t>
  </si>
  <si>
    <t>Revenue from contracts with customers</t>
  </si>
  <si>
    <t>Cost of goods sold and services rendered</t>
  </si>
  <si>
    <t>Gross profit</t>
  </si>
  <si>
    <t>Operating income (expenses)</t>
  </si>
  <si>
    <t>Selling</t>
  </si>
  <si>
    <t>General and administrative</t>
  </si>
  <si>
    <t>Other operating income (expenses), net</t>
  </si>
  <si>
    <t>Operating profit before equity results</t>
  </si>
  <si>
    <t>and net financial results</t>
  </si>
  <si>
    <t>Results of investees</t>
  </si>
  <si>
    <t>Equity method investment</t>
  </si>
  <si>
    <t>Financial results, net</t>
  </si>
  <si>
    <t>Financial income</t>
  </si>
  <si>
    <t>Financial expenses</t>
  </si>
  <si>
    <t>Exchange variations, net</t>
  </si>
  <si>
    <t>Profit before income tax and social contribution</t>
  </si>
  <si>
    <t>Income tax and social contribution</t>
  </si>
  <si>
    <t>Profit for the year</t>
  </si>
  <si>
    <t>Attributable to the</t>
  </si>
  <si>
    <t>Owners of the Company</t>
  </si>
  <si>
    <t>Adjustments to items that do not represent changes in cash and cash equivalents</t>
  </si>
  <si>
    <t>Depreciation, amortization and depletion</t>
  </si>
  <si>
    <t>Net gain (loss) on disposal of PP&amp;E and intangible assets</t>
  </si>
  <si>
    <t>Gain on dilution of equity interest</t>
  </si>
  <si>
    <t>Allowance for doubtful accounts</t>
  </si>
  <si>
    <t>Provision (reversal) for obsolete inventory</t>
  </si>
  <si>
    <t>Components of net financial results</t>
  </si>
  <si>
    <t>Decrease (increase) in assets</t>
  </si>
  <si>
    <t>Other receivables and other assets</t>
  </si>
  <si>
    <t>Increase (decrease) in liabilities</t>
  </si>
  <si>
    <t>Trade payables</t>
  </si>
  <si>
    <t>Payments of tax, civil and labor lawsuits</t>
  </si>
  <si>
    <t>Other accounts payable and other liabilities</t>
  </si>
  <si>
    <t>Cash provided by operating activities</t>
  </si>
  <si>
    <t>Interest received</t>
  </si>
  <si>
    <t>Cost paid on repurchase of bonds</t>
  </si>
  <si>
    <t>Income tax and social contribution paid</t>
  </si>
  <si>
    <t>Cash flow from investing activities</t>
  </si>
  <si>
    <t>Proceeds from disposals of PP&amp;E and intangible assets</t>
  </si>
  <si>
    <t>Proceeds from disposals of investments</t>
  </si>
  <si>
    <t>Dividends received</t>
  </si>
  <si>
    <t>Acquisitions of property, plant and equipment and intangible assets</t>
  </si>
  <si>
    <t>Acquisition of investments, net of cash received from investees</t>
  </si>
  <si>
    <t>Cash effect of capital movement in investees</t>
  </si>
  <si>
    <t>Net cash provided by (used in) investing activities</t>
  </si>
  <si>
    <t>Cash flow from financing activities</t>
  </si>
  <si>
    <t>New borrowing</t>
  </si>
  <si>
    <t>Payments of borrowing</t>
  </si>
  <si>
    <t>Lease liability payments</t>
  </si>
  <si>
    <t>Increase (decrease) in non-controlling interests</t>
  </si>
  <si>
    <t>Dividends paid to non-controlling stockholders</t>
  </si>
  <si>
    <t>Net cash provided by (used in) financing activities</t>
  </si>
  <si>
    <t>Dividends paid</t>
  </si>
  <si>
    <t>Effect of exchange rate changes on cash and cash equivalents</t>
  </si>
  <si>
    <t>Cash and cash equivalents at the beginning of the period</t>
  </si>
  <si>
    <t>Cash and cash equivalents at the end of the period</t>
  </si>
  <si>
    <t>Gain on investiment acquisition - McInnis</t>
  </si>
  <si>
    <t>Fair value gain resulting from remeasurement - Superior</t>
  </si>
  <si>
    <t>Other non-cash items</t>
  </si>
  <si>
    <t>Equity in the results of investees</t>
  </si>
  <si>
    <t>Provision for impairment of assets</t>
  </si>
  <si>
    <t>Provision (reversal) for civil, labor and tax legal claims</t>
  </si>
  <si>
    <t>Profit (loss) for the year</t>
  </si>
  <si>
    <t>Profit (loss) before income tax and social contribution</t>
  </si>
  <si>
    <t>Equity in the results of associates and joint ventures</t>
  </si>
  <si>
    <t xml:space="preserve">Adjusted EBITDA </t>
  </si>
  <si>
    <t>Additions of PP&amp;E and intangible assets ("CAPEX")</t>
  </si>
  <si>
    <t>Net debt</t>
  </si>
  <si>
    <t>Dissolution of investment</t>
  </si>
  <si>
    <t>Votorantim Cimentos S.A. and its subsidiaries</t>
  </si>
  <si>
    <t>EBITDA Ajustado</t>
  </si>
  <si>
    <t>Adjusted EBITDA</t>
  </si>
  <si>
    <t>(in thousands of reais)</t>
  </si>
  <si>
    <t>Efeito de inflação de economias hiperinflacionárias</t>
  </si>
  <si>
    <t>Caixa líquido proveniente das (aplicado nas) atividades operacionais</t>
  </si>
  <si>
    <t>Redemption of financial investments</t>
  </si>
  <si>
    <t>Payments to related parties</t>
  </si>
  <si>
    <t>Accumulated loss</t>
  </si>
  <si>
    <t>Inflation effect on hyperinflationary economies</t>
  </si>
  <si>
    <t>Received from related parties</t>
  </si>
  <si>
    <t>Instrumentos financeiros derivativos, líquidos</t>
  </si>
  <si>
    <t>Derivative financial instruments, net</t>
  </si>
  <si>
    <t>Consolidated statement of income</t>
  </si>
  <si>
    <t>Consolidated balance sheet</t>
  </si>
  <si>
    <t>Consolidated statement of cash flow</t>
  </si>
  <si>
    <t>Net cash provided by (used in) operating activities</t>
  </si>
  <si>
    <t>Increase (decrease) in cash and cash equivalents</t>
  </si>
  <si>
    <t>Other non-relevant adjustments</t>
  </si>
  <si>
    <t>Net debt/EBITDA ratio</t>
  </si>
  <si>
    <t>Outros ajustes não relevantes</t>
  </si>
  <si>
    <t>Income on financial investments</t>
  </si>
  <si>
    <t>Interest and charges on use of public property</t>
  </si>
  <si>
    <t>Contratos futuros de energia - valor justo</t>
  </si>
  <si>
    <t xml:space="preserve">  Investment property</t>
  </si>
  <si>
    <t>Future energy contracts - fair value</t>
  </si>
  <si>
    <t>Interest paid on borrowing</t>
  </si>
  <si>
    <t>Interest paid on the use of public assets</t>
  </si>
  <si>
    <t>Pagamentos a partes relacionadas</t>
  </si>
  <si>
    <t>Recebimentos de partes relacionadas</t>
  </si>
  <si>
    <t>Amounts paid to related parties</t>
  </si>
  <si>
    <t>Amounts received from related parties</t>
  </si>
  <si>
    <t>Adjustments</t>
  </si>
  <si>
    <t>Provision for (reversal of) impairment of assets</t>
  </si>
  <si>
    <t>Result from acquisitions and business dissolutions</t>
  </si>
  <si>
    <t>Resultado com aquisição e liquidação de negócio</t>
  </si>
  <si>
    <t>Uso de bem público</t>
  </si>
  <si>
    <t>Aquisição de associadas e controladas em conjunto</t>
  </si>
  <si>
    <t>Dividendos a receber</t>
  </si>
  <si>
    <t>(Reversão) provisão de processos cíveis, trabalhistas, fiscais e ambientais</t>
  </si>
  <si>
    <t>Outros componentes do resultado financeiro</t>
  </si>
  <si>
    <t>Fornecedores e outras contas a pagar</t>
  </si>
  <si>
    <t>Captações de empréstimos e financiamentos</t>
  </si>
  <si>
    <t>Liquidação de instrumentos financeiros derivativos</t>
  </si>
  <si>
    <t>Juros pagos de uso de bem público</t>
  </si>
  <si>
    <t>Rendimentos sobre aplicações financeiras</t>
  </si>
  <si>
    <t>m</t>
  </si>
  <si>
    <t>Operações continuadas</t>
  </si>
  <si>
    <t>Operações descontinuadas</t>
  </si>
  <si>
    <t>Caixa líquido das operações descontinuadas</t>
  </si>
  <si>
    <t>Lucro líquido do período das operações descontinuadas</t>
  </si>
  <si>
    <t>Lucro líquido do exercício das operações continuadas</t>
  </si>
  <si>
    <t>Atribuível a (operações continuadas)</t>
  </si>
  <si>
    <t>Atribuível a (operações descontinuadas)</t>
  </si>
  <si>
    <t>Arrendamentos</t>
  </si>
  <si>
    <t>Benefícios pós-emprego</t>
  </si>
  <si>
    <t>Instrumentos financeiros - ações</t>
  </si>
  <si>
    <t>Reapresentado</t>
  </si>
  <si>
    <t>Atualização monetária da utilização do bem público</t>
  </si>
  <si>
    <t>Provisão para perda estimada com créditos de liquidação duvidosa</t>
  </si>
  <si>
    <t>Perda (ganho) na venda de imobilizado e intangível, líquido</t>
  </si>
  <si>
    <t>(Reversão) provisão para obsolescência de estoques</t>
  </si>
  <si>
    <t>Resgates de aplicações financeiras</t>
  </si>
  <si>
    <t>Aumento de capital em investida</t>
  </si>
  <si>
    <t>Redução de capital em investida</t>
  </si>
  <si>
    <t>Liquidação de arrendamento</t>
  </si>
  <si>
    <t>Acordo celebrado com o CADE</t>
  </si>
  <si>
    <t>*</t>
  </si>
  <si>
    <t>Investimentos</t>
  </si>
  <si>
    <t>Propriedades para investimento</t>
  </si>
  <si>
    <t>Imobilizado</t>
  </si>
  <si>
    <t>Intangível</t>
  </si>
  <si>
    <t>Direito de uso em arrendamento</t>
  </si>
  <si>
    <t xml:space="preserve">Empréstimos, financiamentos e debêntures </t>
  </si>
  <si>
    <t>Imposto de renda e contribuição social diferidos</t>
  </si>
  <si>
    <t>Provisões e depósitos judiciais</t>
  </si>
  <si>
    <t>Lucros/ Prejuízo acumulados</t>
  </si>
  <si>
    <t>Juros sobre empréstimos, financiamentos e debêntures</t>
  </si>
  <si>
    <t>x</t>
  </si>
  <si>
    <t>X</t>
  </si>
  <si>
    <t>Realização de outros resultados abrangentes na alienação de investimentos</t>
  </si>
  <si>
    <t>Ganho na venda de investimentos</t>
  </si>
  <si>
    <t>Juros pagos de empréstimos, financiamentos e debêntures</t>
  </si>
  <si>
    <t>3/6/225</t>
  </si>
  <si>
    <t>3/9/225</t>
  </si>
  <si>
    <t>31/12/225</t>
  </si>
  <si>
    <t>30/092023</t>
  </si>
  <si>
    <t>30/092021</t>
  </si>
  <si>
    <t>30/092022</t>
  </si>
  <si>
    <t>30/092024</t>
  </si>
  <si>
    <t>Para fins de manter a consistência entre a dívida líquida apresentada e o EBITDA ajustado para os 12 meses findos nessa data, o EBITDA ajustado de R$ 5.811.677 inclui o EBITDA ajustado gerado pelas operações de Tunísia e Marrocos como originalmente apresentado em 31 de dezembro de 2023. Dessa forma, difere do EBITDA ajustado dos últimos 12 meses findos em 31 de dezembro de 2023 das operações continuadas de R$ 5.640.631 apresentado e reconciliado acima.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</si>
</sst>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_(* \(#,##0\);_(* &quot;&quot;??_);_(@_)"/>
    <numFmt numFmtId="165" formatCode="_(* #,##0.00_);_(* \(#,##0.00\);_(* &quot;-&quot;??_);_(@_)"/>
    <numFmt numFmtId="166" formatCode="_(* #,##0.00_);_(* \(#,##0.00\);_(* &quot;&quot;??_);_(@_)"/>
    <numFmt numFmtId="167" formatCode="_-* #,##0_-;\-* #,##0_-;_-* &quot;-&quot;??_-;_-@_-"/>
  </numFmts>
  <fonts count="13" x14ac:knownFonts="1">
    <font>
      <sz val="11"/>
      <color theme="1"/>
      <name val="Calibri"/>
      <family val="2"/>
      <scheme val="minor"/>
    </font>
    <font>
      <sz val="9"/>
      <name val="Arial"/>
      <family val="2"/>
    </font>
    <font>
      <b/>
      <sz val="9"/>
      <name val="Arial"/>
      <family val="2"/>
    </font>
    <font>
      <sz val="9"/>
      <color theme="1"/>
      <name val="Arial"/>
      <family val="2"/>
    </font>
    <font>
      <b/>
      <sz val="9"/>
      <color theme="1"/>
      <name val="Arial"/>
      <family val="2"/>
    </font>
    <font>
      <sz val="10"/>
      <name val="Arial"/>
      <family val="2"/>
    </font>
    <font>
      <sz val="11"/>
      <name val="Calibri"/>
      <family val="2"/>
      <scheme val="minor"/>
    </font>
    <font>
      <sz val="11"/>
      <color theme="0"/>
      <name val="Calibri"/>
      <family val="2"/>
      <scheme val="minor"/>
    </font>
    <font>
      <sz val="9"/>
      <color theme="0"/>
      <name val="Arial"/>
      <family val="2"/>
    </font>
    <font>
      <sz val="11"/>
      <color rgb="FFFF0000"/>
      <name val="Calibri"/>
      <family val="2"/>
      <scheme val="minor"/>
    </font>
    <font>
      <sz val="9"/>
      <color rgb="FF000000"/>
      <name val="Arial"/>
      <family val="2"/>
    </font>
    <font>
      <sz val="11"/>
      <color theme="1"/>
      <name val="Calibri"/>
      <family val="2"/>
      <scheme val="minor"/>
    </font>
    <font>
      <u val="singleAccounting"/>
      <sz val="9"/>
      <name val="Arial"/>
      <family val="2"/>
    </font>
  </fonts>
  <fills count="4">
    <fill>
      <patternFill patternType="none"/>
    </fill>
    <fill>
      <patternFill patternType="gray125"/>
    </fill>
    <fill>
      <patternFill patternType="solid">
        <fgColor rgb="FFDEE7F2"/>
        <bgColor indexed="64"/>
      </patternFill>
    </fill>
    <fill>
      <patternFill patternType="solid">
        <fgColor theme="0"/>
        <bgColor indexed="64"/>
      </patternFill>
    </fill>
  </fills>
  <borders count="6">
    <border>
      <left/>
      <right/>
      <top/>
      <bottom/>
      <diagonal/>
    </border>
    <border>
      <left/>
      <right/>
      <top/>
      <bottom style="medium">
        <color rgb="FF0063A1"/>
      </bottom>
      <diagonal/>
    </border>
    <border>
      <left/>
      <right/>
      <top/>
      <bottom style="thin">
        <color rgb="FF0063A1"/>
      </bottom>
      <diagonal/>
    </border>
    <border>
      <left/>
      <right/>
      <top style="thin">
        <color rgb="FF0063A1"/>
      </top>
      <bottom/>
      <diagonal/>
    </border>
    <border>
      <left/>
      <right/>
      <top/>
      <bottom style="double">
        <color rgb="FF0063A1"/>
      </bottom>
      <diagonal/>
    </border>
    <border>
      <left/>
      <right/>
      <top style="thin">
        <color rgb="FF0063A1"/>
      </top>
      <bottom style="double">
        <color rgb="FF0063A1"/>
      </bottom>
      <diagonal/>
    </border>
  </borders>
  <cellStyleXfs count="10">
    <xf numFmtId="0" fontId="0"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cellStyleXfs>
  <cellXfs count="140">
    <xf numFmtId="0" fontId="0" fillId="0" borderId="0" xfId="0"/>
    <xf numFmtId="164" fontId="1" fillId="0" borderId="0" xfId="0" applyNumberFormat="1" applyFont="1" applyAlignment="1">
      <alignment horizontal="right"/>
    </xf>
    <xf numFmtId="0" fontId="2" fillId="0" borderId="0" xfId="0" applyFont="1"/>
    <xf numFmtId="164" fontId="1" fillId="0" borderId="0" xfId="0" applyNumberFormat="1" applyFont="1"/>
    <xf numFmtId="0" fontId="1" fillId="0" borderId="0" xfId="0" applyFont="1"/>
    <xf numFmtId="164" fontId="3" fillId="0" borderId="0" xfId="0" applyNumberFormat="1" applyFont="1"/>
    <xf numFmtId="164" fontId="1" fillId="0" borderId="0" xfId="0" applyNumberFormat="1" applyFont="1" applyAlignment="1">
      <alignment horizontal="center"/>
    </xf>
    <xf numFmtId="0" fontId="1" fillId="0" borderId="0" xfId="0" applyFont="1" applyAlignment="1">
      <alignment wrapText="1"/>
    </xf>
    <xf numFmtId="0" fontId="1" fillId="2" borderId="0" xfId="0" quotePrefix="1" applyFont="1" applyFill="1" applyAlignment="1">
      <alignment wrapText="1"/>
    </xf>
    <xf numFmtId="0" fontId="1" fillId="2" borderId="0" xfId="0" applyFont="1" applyFill="1" applyAlignment="1">
      <alignment wrapText="1"/>
    </xf>
    <xf numFmtId="164" fontId="2" fillId="0" borderId="0" xfId="0" applyNumberFormat="1" applyFont="1" applyAlignment="1">
      <alignment horizontal="right"/>
    </xf>
    <xf numFmtId="0" fontId="2" fillId="0" borderId="0" xfId="0" applyFont="1" applyAlignment="1">
      <alignment wrapText="1"/>
    </xf>
    <xf numFmtId="0" fontId="2" fillId="2" borderId="0" xfId="0" applyFont="1" applyFill="1" applyAlignment="1">
      <alignment wrapText="1"/>
    </xf>
    <xf numFmtId="164" fontId="1" fillId="2" borderId="0" xfId="0" applyNumberFormat="1" applyFont="1" applyFill="1" applyAlignment="1">
      <alignment horizontal="right"/>
    </xf>
    <xf numFmtId="164" fontId="2" fillId="2" borderId="0" xfId="0" applyNumberFormat="1" applyFont="1" applyFill="1" applyAlignment="1">
      <alignment horizontal="right"/>
    </xf>
    <xf numFmtId="0" fontId="1" fillId="2" borderId="0" xfId="0" applyFont="1" applyFill="1" applyAlignment="1">
      <alignment horizontal="left" wrapText="1" indent="1"/>
    </xf>
    <xf numFmtId="164" fontId="1" fillId="2" borderId="0" xfId="0" applyNumberFormat="1" applyFont="1" applyFill="1"/>
    <xf numFmtId="164" fontId="1" fillId="2" borderId="0" xfId="0" applyNumberFormat="1" applyFont="1" applyFill="1" applyAlignment="1">
      <alignment horizontal="left" vertical="top" wrapText="1" readingOrder="1"/>
    </xf>
    <xf numFmtId="164" fontId="1" fillId="2" borderId="0" xfId="0" applyNumberFormat="1" applyFont="1" applyFill="1" applyAlignment="1">
      <alignment vertical="top" wrapText="1" readingOrder="1"/>
    </xf>
    <xf numFmtId="0" fontId="1" fillId="0" borderId="0" xfId="0" applyFont="1" applyAlignment="1">
      <alignment horizontal="left" wrapText="1" indent="1"/>
    </xf>
    <xf numFmtId="164" fontId="1" fillId="0" borderId="0" xfId="0" applyNumberFormat="1" applyFont="1" applyAlignment="1">
      <alignment horizontal="left" vertical="top" wrapText="1" readingOrder="1"/>
    </xf>
    <xf numFmtId="164" fontId="1" fillId="0" borderId="0" xfId="0" applyNumberFormat="1" applyFont="1" applyAlignment="1">
      <alignment vertical="top" wrapText="1" readingOrder="1"/>
    </xf>
    <xf numFmtId="164" fontId="1" fillId="2" borderId="0" xfId="0" applyNumberFormat="1" applyFont="1" applyFill="1" applyAlignment="1">
      <alignment horizontal="right" wrapText="1"/>
    </xf>
    <xf numFmtId="164" fontId="1" fillId="2" borderId="0" xfId="0" applyNumberFormat="1" applyFont="1" applyFill="1" applyAlignment="1">
      <alignment vertical="top" readingOrder="1"/>
    </xf>
    <xf numFmtId="164" fontId="1" fillId="2" borderId="2" xfId="0" applyNumberFormat="1" applyFont="1" applyFill="1" applyBorder="1"/>
    <xf numFmtId="0" fontId="1" fillId="0" borderId="0" xfId="0" applyFont="1" applyAlignment="1">
      <alignment horizontal="left" wrapText="1"/>
    </xf>
    <xf numFmtId="164" fontId="1" fillId="0" borderId="2" xfId="0" applyNumberFormat="1" applyFont="1" applyBorder="1"/>
    <xf numFmtId="0" fontId="1" fillId="2" borderId="0" xfId="0" applyFont="1" applyFill="1" applyAlignment="1">
      <alignment horizontal="right" wrapText="1"/>
    </xf>
    <xf numFmtId="164" fontId="1" fillId="2" borderId="2" xfId="0" applyNumberFormat="1" applyFont="1" applyFill="1" applyBorder="1" applyAlignment="1">
      <alignment horizontal="right"/>
    </xf>
    <xf numFmtId="0" fontId="1" fillId="2" borderId="0" xfId="0" applyFont="1" applyFill="1"/>
    <xf numFmtId="0" fontId="1" fillId="2" borderId="0" xfId="0" applyFont="1" applyFill="1" applyAlignment="1">
      <alignment horizontal="left" wrapText="1"/>
    </xf>
    <xf numFmtId="164" fontId="1" fillId="0" borderId="2" xfId="0" applyNumberFormat="1" applyFont="1" applyBorder="1" applyAlignment="1">
      <alignment vertical="top"/>
    </xf>
    <xf numFmtId="164" fontId="1" fillId="0" borderId="0" xfId="0" applyNumberFormat="1" applyFont="1" applyAlignment="1">
      <alignment vertical="top"/>
    </xf>
    <xf numFmtId="164" fontId="1" fillId="2" borderId="0" xfId="0" applyNumberFormat="1" applyFont="1" applyFill="1" applyAlignment="1">
      <alignment vertical="top"/>
    </xf>
    <xf numFmtId="164" fontId="1" fillId="2" borderId="2" xfId="0" applyNumberFormat="1" applyFont="1" applyFill="1" applyBorder="1" applyAlignment="1">
      <alignment vertical="top"/>
    </xf>
    <xf numFmtId="164" fontId="1" fillId="0" borderId="0" xfId="0" applyNumberFormat="1" applyFont="1" applyAlignment="1">
      <alignment wrapText="1"/>
    </xf>
    <xf numFmtId="0" fontId="1" fillId="0" borderId="0" xfId="0" applyFont="1" applyAlignment="1">
      <alignment vertical="top" wrapText="1" readingOrder="1"/>
    </xf>
    <xf numFmtId="0" fontId="1" fillId="2" borderId="0" xfId="0" applyFont="1" applyFill="1" applyAlignment="1">
      <alignment vertical="top" wrapText="1" readingOrder="1"/>
    </xf>
    <xf numFmtId="164" fontId="1" fillId="2" borderId="3" xfId="0" applyNumberFormat="1" applyFont="1" applyFill="1" applyBorder="1"/>
    <xf numFmtId="164" fontId="1" fillId="2" borderId="0" xfId="0" applyNumberFormat="1" applyFont="1" applyFill="1" applyAlignment="1">
      <alignment horizontal="left" vertical="top" wrapText="1" indent="2" readingOrder="1"/>
    </xf>
    <xf numFmtId="164" fontId="1" fillId="0" borderId="0" xfId="0" applyNumberFormat="1" applyFont="1" applyAlignment="1">
      <alignment horizontal="left" vertical="top" wrapText="1" indent="2" readingOrder="1"/>
    </xf>
    <xf numFmtId="164" fontId="1" fillId="0" borderId="0" xfId="0" applyNumberFormat="1" applyFont="1" applyAlignment="1">
      <alignment horizontal="right" wrapText="1"/>
    </xf>
    <xf numFmtId="164" fontId="1" fillId="2" borderId="4" xfId="0" applyNumberFormat="1" applyFont="1" applyFill="1" applyBorder="1" applyAlignment="1">
      <alignment horizontal="right"/>
    </xf>
    <xf numFmtId="0" fontId="2" fillId="0" borderId="0" xfId="0" applyFont="1" applyAlignment="1">
      <alignment horizontal="right"/>
    </xf>
    <xf numFmtId="164" fontId="1" fillId="0" borderId="0" xfId="0" applyNumberFormat="1" applyFont="1" applyAlignment="1">
      <alignment vertical="top" readingOrder="1"/>
    </xf>
    <xf numFmtId="0" fontId="3" fillId="0" borderId="0" xfId="0" applyFont="1"/>
    <xf numFmtId="0" fontId="3" fillId="0" borderId="0" xfId="0" applyFont="1" applyAlignment="1">
      <alignment wrapText="1"/>
    </xf>
    <xf numFmtId="0" fontId="4" fillId="0" borderId="0" xfId="0" applyFont="1"/>
    <xf numFmtId="0" fontId="3" fillId="2" borderId="0" xfId="0" applyFont="1" applyFill="1"/>
    <xf numFmtId="0" fontId="3" fillId="0" borderId="0" xfId="0" applyFont="1" applyAlignment="1">
      <alignment vertical="center"/>
    </xf>
    <xf numFmtId="0" fontId="4" fillId="0" borderId="0" xfId="0" applyFont="1" applyAlignment="1">
      <alignment vertical="center"/>
    </xf>
    <xf numFmtId="0" fontId="4" fillId="2" borderId="0" xfId="0" applyFont="1" applyFill="1"/>
    <xf numFmtId="0" fontId="3" fillId="0" borderId="0" xfId="0" applyFont="1" applyAlignment="1">
      <alignment horizontal="left" indent="1"/>
    </xf>
    <xf numFmtId="0" fontId="3" fillId="2" borderId="0" xfId="0" applyFont="1" applyFill="1" applyAlignment="1">
      <alignment horizontal="left" indent="1"/>
    </xf>
    <xf numFmtId="0" fontId="4" fillId="2" borderId="0" xfId="0" applyFont="1" applyFill="1" applyAlignment="1">
      <alignment horizontal="left" indent="1"/>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applyAlignment="1">
      <alignment wrapText="1"/>
    </xf>
    <xf numFmtId="0" fontId="4" fillId="0" borderId="0" xfId="0" applyFont="1" applyAlignment="1">
      <alignment horizontal="left" vertical="top"/>
    </xf>
    <xf numFmtId="0" fontId="4" fillId="2" borderId="0" xfId="0" applyFont="1" applyFill="1" applyAlignment="1">
      <alignment horizontal="left" vertical="top"/>
    </xf>
    <xf numFmtId="164" fontId="1" fillId="2" borderId="0" xfId="5" applyNumberFormat="1" applyFont="1" applyFill="1" applyBorder="1" applyAlignment="1">
      <alignment horizontal="right"/>
    </xf>
    <xf numFmtId="164" fontId="1" fillId="0" borderId="0" xfId="5" applyNumberFormat="1" applyFont="1" applyFill="1" applyBorder="1" applyAlignment="1">
      <alignment horizontal="right"/>
    </xf>
    <xf numFmtId="164" fontId="4" fillId="0" borderId="0" xfId="0" applyNumberFormat="1" applyFont="1"/>
    <xf numFmtId="164" fontId="2" fillId="2" borderId="0" xfId="0" applyNumberFormat="1" applyFont="1" applyFill="1" applyAlignment="1">
      <alignment horizontal="center"/>
    </xf>
    <xf numFmtId="14" fontId="2" fillId="0" borderId="1" xfId="0" applyNumberFormat="1" applyFont="1" applyBorder="1" applyAlignment="1">
      <alignment horizontal="center"/>
    </xf>
    <xf numFmtId="164" fontId="1" fillId="0" borderId="0" xfId="0" applyNumberFormat="1" applyFont="1" applyAlignment="1">
      <alignment horizontal="center" wrapText="1"/>
    </xf>
    <xf numFmtId="0" fontId="1" fillId="3" borderId="0" xfId="0" applyFont="1" applyFill="1" applyAlignment="1">
      <alignment horizontal="left" wrapText="1" indent="1"/>
    </xf>
    <xf numFmtId="164" fontId="1" fillId="3" borderId="0" xfId="0" applyNumberFormat="1" applyFont="1" applyFill="1" applyAlignment="1">
      <alignment horizontal="right"/>
    </xf>
    <xf numFmtId="164" fontId="1" fillId="3" borderId="3" xfId="0" applyNumberFormat="1" applyFont="1" applyFill="1" applyBorder="1"/>
    <xf numFmtId="0" fontId="2" fillId="2" borderId="1" xfId="0" applyFont="1" applyFill="1" applyBorder="1" applyAlignment="1">
      <alignment horizontal="center"/>
    </xf>
    <xf numFmtId="0" fontId="2" fillId="0" borderId="0" xfId="0" applyFont="1" applyAlignment="1">
      <alignment horizontal="center"/>
    </xf>
    <xf numFmtId="164" fontId="2" fillId="2" borderId="0" xfId="0" quotePrefix="1" applyNumberFormat="1" applyFont="1" applyFill="1" applyAlignment="1">
      <alignment horizontal="center" wrapText="1"/>
    </xf>
    <xf numFmtId="0" fontId="3" fillId="0" borderId="0" xfId="0" applyFont="1" applyAlignment="1">
      <alignment horizontal="left" vertical="center"/>
    </xf>
    <xf numFmtId="164" fontId="1" fillId="0" borderId="0" xfId="0" applyNumberFormat="1" applyFont="1" applyAlignment="1">
      <alignment horizontal="right" vertical="center"/>
    </xf>
    <xf numFmtId="164" fontId="1" fillId="0" borderId="0" xfId="0" applyNumberFormat="1" applyFont="1" applyAlignment="1">
      <alignment vertical="center"/>
    </xf>
    <xf numFmtId="0" fontId="3" fillId="2" borderId="0" xfId="0" applyFont="1" applyFill="1" applyAlignment="1">
      <alignment horizontal="left" vertical="center"/>
    </xf>
    <xf numFmtId="164" fontId="1" fillId="2" borderId="2" xfId="0" applyNumberFormat="1"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64" fontId="1" fillId="0" borderId="2" xfId="0" applyNumberFormat="1" applyFont="1" applyBorder="1" applyAlignment="1">
      <alignment horizontal="right" vertical="center"/>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vertical="center" wrapText="1"/>
    </xf>
    <xf numFmtId="164" fontId="1" fillId="2" borderId="0" xfId="0" applyNumberFormat="1" applyFont="1" applyFill="1" applyAlignment="1">
      <alignment horizontal="right" vertical="center" wrapText="1"/>
    </xf>
    <xf numFmtId="0" fontId="4" fillId="0" borderId="0" xfId="0" applyFont="1" applyAlignment="1">
      <alignment horizontal="left" vertical="center"/>
    </xf>
    <xf numFmtId="164" fontId="1" fillId="0" borderId="4" xfId="0" applyNumberFormat="1" applyFont="1" applyBorder="1" applyAlignment="1">
      <alignment horizontal="right" vertical="center"/>
    </xf>
    <xf numFmtId="164" fontId="1" fillId="2" borderId="4" xfId="0" applyNumberFormat="1" applyFont="1" applyFill="1" applyBorder="1" applyAlignment="1">
      <alignment horizontal="right" vertical="center"/>
    </xf>
    <xf numFmtId="164" fontId="2" fillId="0" borderId="0" xfId="0" quotePrefix="1" applyNumberFormat="1" applyFont="1" applyAlignment="1">
      <alignment horizontal="center" wrapText="1"/>
    </xf>
    <xf numFmtId="164" fontId="4" fillId="0" borderId="0" xfId="0" applyNumberFormat="1" applyFont="1" applyAlignment="1">
      <alignment vertical="center"/>
    </xf>
    <xf numFmtId="164" fontId="3" fillId="0" borderId="0" xfId="0" applyNumberFormat="1" applyFont="1" applyAlignment="1">
      <alignment vertical="center"/>
    </xf>
    <xf numFmtId="164" fontId="3" fillId="0" borderId="0" xfId="0" applyNumberFormat="1" applyFont="1" applyAlignment="1">
      <alignment vertical="center" wrapText="1"/>
    </xf>
    <xf numFmtId="0" fontId="0" fillId="2" borderId="0" xfId="0" applyFill="1" applyAlignment="1">
      <alignment vertical="center"/>
    </xf>
    <xf numFmtId="0" fontId="0" fillId="0" borderId="0" xfId="0" applyAlignment="1">
      <alignment vertical="center"/>
    </xf>
    <xf numFmtId="166" fontId="1" fillId="2" borderId="0" xfId="5" applyNumberFormat="1" applyFont="1" applyFill="1" applyBorder="1" applyAlignment="1">
      <alignment horizontal="right"/>
    </xf>
    <xf numFmtId="14" fontId="2" fillId="3" borderId="1" xfId="0" applyNumberFormat="1" applyFont="1" applyFill="1" applyBorder="1" applyAlignment="1">
      <alignment horizontal="center"/>
    </xf>
    <xf numFmtId="164" fontId="1" fillId="3" borderId="0" xfId="0" applyNumberFormat="1" applyFont="1" applyFill="1" applyAlignment="1">
      <alignment horizontal="center"/>
    </xf>
    <xf numFmtId="0" fontId="6" fillId="0" borderId="0" xfId="0" applyFont="1"/>
    <xf numFmtId="0" fontId="7" fillId="0" borderId="0" xfId="0" applyFont="1"/>
    <xf numFmtId="164" fontId="7" fillId="0" borderId="0" xfId="0" applyNumberFormat="1" applyFont="1"/>
    <xf numFmtId="164" fontId="8" fillId="0" borderId="0" xfId="0" applyNumberFormat="1" applyFont="1"/>
    <xf numFmtId="164" fontId="1" fillId="2" borderId="0" xfId="8" applyNumberFormat="1" applyFont="1" applyFill="1" applyBorder="1" applyAlignment="1">
      <alignment horizontal="right"/>
    </xf>
    <xf numFmtId="164" fontId="1" fillId="0" borderId="0" xfId="8" applyNumberFormat="1" applyFont="1" applyFill="1" applyBorder="1" applyAlignment="1">
      <alignment horizontal="right"/>
    </xf>
    <xf numFmtId="166" fontId="1" fillId="2" borderId="0" xfId="8" applyNumberFormat="1" applyFont="1" applyFill="1" applyBorder="1" applyAlignment="1">
      <alignment horizontal="right"/>
    </xf>
    <xf numFmtId="164" fontId="1" fillId="3" borderId="0" xfId="0" applyNumberFormat="1" applyFont="1" applyFill="1"/>
    <xf numFmtId="164" fontId="1" fillId="3" borderId="0" xfId="0" applyNumberFormat="1" applyFont="1" applyFill="1" applyAlignment="1">
      <alignment horizontal="left" vertical="top" wrapText="1" readingOrder="1"/>
    </xf>
    <xf numFmtId="0" fontId="6" fillId="3" borderId="0" xfId="0" applyFont="1" applyFill="1"/>
    <xf numFmtId="0" fontId="0" fillId="3" borderId="0" xfId="0" applyFill="1"/>
    <xf numFmtId="0" fontId="1" fillId="0" borderId="0" xfId="0" applyFont="1" applyAlignment="1">
      <alignment vertical="top" wrapText="1"/>
    </xf>
    <xf numFmtId="0" fontId="4" fillId="3" borderId="0" xfId="0" applyFont="1" applyFill="1"/>
    <xf numFmtId="0" fontId="4" fillId="3" borderId="0" xfId="0" applyFont="1" applyFill="1" applyAlignment="1">
      <alignment vertical="center"/>
    </xf>
    <xf numFmtId="164" fontId="4" fillId="3" borderId="0" xfId="0" applyNumberFormat="1" applyFont="1" applyFill="1" applyAlignment="1">
      <alignment vertical="center"/>
    </xf>
    <xf numFmtId="164" fontId="1" fillId="3" borderId="0" xfId="0" applyNumberFormat="1" applyFont="1" applyFill="1" applyAlignment="1">
      <alignment horizontal="right" vertical="center"/>
    </xf>
    <xf numFmtId="164" fontId="1" fillId="3" borderId="0" xfId="0" applyNumberFormat="1" applyFont="1" applyFill="1" applyAlignment="1">
      <alignment vertical="center"/>
    </xf>
    <xf numFmtId="164" fontId="1" fillId="3" borderId="0" xfId="0" applyNumberFormat="1" applyFont="1" applyFill="1" applyAlignment="1">
      <alignment horizontal="right" vertical="center" wrapText="1"/>
    </xf>
    <xf numFmtId="0" fontId="3" fillId="3" borderId="0" xfId="0" applyFont="1" applyFill="1" applyAlignment="1">
      <alignment horizontal="left" indent="1"/>
    </xf>
    <xf numFmtId="0" fontId="3" fillId="3" borderId="0" xfId="0" applyFont="1" applyFill="1" applyAlignment="1">
      <alignment horizontal="left" vertical="center"/>
    </xf>
    <xf numFmtId="164" fontId="3" fillId="3" borderId="0" xfId="0" applyNumberFormat="1" applyFont="1" applyFill="1" applyAlignment="1">
      <alignment vertical="center"/>
    </xf>
    <xf numFmtId="0" fontId="0" fillId="3" borderId="0" xfId="0" applyFill="1" applyAlignment="1">
      <alignment vertical="center"/>
    </xf>
    <xf numFmtId="164" fontId="3" fillId="2" borderId="0" xfId="0" applyNumberFormat="1" applyFont="1" applyFill="1" applyAlignment="1">
      <alignment vertical="center"/>
    </xf>
    <xf numFmtId="0" fontId="0" fillId="2" borderId="0" xfId="0" applyFill="1"/>
    <xf numFmtId="164" fontId="1" fillId="3" borderId="4" xfId="0" applyNumberFormat="1" applyFont="1" applyFill="1" applyBorder="1" applyAlignment="1">
      <alignment horizontal="right" vertical="center"/>
    </xf>
    <xf numFmtId="164" fontId="4" fillId="2" borderId="0" xfId="0" applyNumberFormat="1" applyFont="1" applyFill="1" applyAlignment="1">
      <alignment vertical="center"/>
    </xf>
    <xf numFmtId="0" fontId="3" fillId="3" borderId="0" xfId="0" applyFont="1" applyFill="1"/>
    <xf numFmtId="0" fontId="3" fillId="3" borderId="0" xfId="0" applyFont="1" applyFill="1" applyAlignment="1">
      <alignment vertical="center"/>
    </xf>
    <xf numFmtId="164" fontId="1" fillId="3" borderId="2" xfId="0" applyNumberFormat="1" applyFont="1" applyFill="1" applyBorder="1" applyAlignment="1">
      <alignment horizontal="right" vertical="center"/>
    </xf>
    <xf numFmtId="165" fontId="1" fillId="0" borderId="0" xfId="2" applyFont="1"/>
    <xf numFmtId="0" fontId="6" fillId="0" borderId="0" xfId="0" quotePrefix="1" applyFont="1"/>
    <xf numFmtId="164" fontId="1" fillId="0" borderId="2" xfId="0" applyNumberFormat="1" applyFont="1" applyBorder="1" applyAlignment="1">
      <alignment wrapText="1"/>
    </xf>
    <xf numFmtId="0" fontId="10" fillId="0" borderId="0" xfId="0" applyFont="1" applyAlignment="1">
      <alignment horizontal="left" vertical="center" indent="1"/>
    </xf>
    <xf numFmtId="164" fontId="0" fillId="3" borderId="0" xfId="0" applyNumberFormat="1" applyFill="1"/>
    <xf numFmtId="164" fontId="1" fillId="0" borderId="5" xfId="0" applyNumberFormat="1" applyFont="1" applyBorder="1"/>
    <xf numFmtId="0" fontId="9" fillId="0" borderId="0" xfId="0" applyFont="1"/>
    <xf numFmtId="167" fontId="6" fillId="0" borderId="0" xfId="9" applyNumberFormat="1" applyFont="1"/>
    <xf numFmtId="4" fontId="6" fillId="0" borderId="0" xfId="0" applyNumberFormat="1" applyFont="1"/>
    <xf numFmtId="0" fontId="2" fillId="2" borderId="1" xfId="0" applyFont="1" applyFill="1" applyBorder="1" applyAlignment="1">
      <alignment horizontal="center"/>
    </xf>
    <xf numFmtId="0" fontId="3" fillId="0" borderId="0" xfId="0" applyFont="1" applyAlignment="1">
      <alignment horizontal="left" vertical="top" wrapText="1"/>
    </xf>
    <xf numFmtId="164" fontId="12" fillId="0" borderId="5" xfId="0" applyNumberFormat="1" applyFont="1" applyBorder="1"/>
  </cellXfs>
  <cellStyles count="10">
    <cellStyle name="Comma" xfId="2" xr:uid="{E6C61221-3247-46C6-81F6-AE2E438953E9}"/>
    <cellStyle name="Comma 10" xfId="5" xr:uid="{33DCE4C5-52BF-43A5-B94B-B72AAEC7F245}"/>
    <cellStyle name="Comma 10 2" xfId="8" xr:uid="{14C780B5-64B7-4C27-BC89-94700463FBBF}"/>
    <cellStyle name="Normal" xfId="0" builtinId="0"/>
    <cellStyle name="Normal 10" xfId="3" xr:uid="{B27437B0-FF0F-4E92-913E-A98F533812BC}"/>
    <cellStyle name="Percent" xfId="1" xr:uid="{6C0DFEAB-6E5D-4415-ABE0-55A52E8D02F4}"/>
    <cellStyle name="Porcentagem 2 2 3" xfId="6" xr:uid="{B767B03F-23F9-44D4-BA66-98265E4FF3B1}"/>
    <cellStyle name="Vírgula" xfId="9" builtinId="3"/>
    <cellStyle name="Vírgula 2 15" xfId="4" xr:uid="{97E80EE9-4B71-44BC-A89E-85EBD13D050B}"/>
    <cellStyle name="Vírgula 2 15 2" xfId="7" xr:uid="{B6143692-A95E-4358-8852-307113037724}"/>
  </cellStyles>
  <dxfs count="6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A1DA6983-D26F-4A0F-A8E1-7388A711C839}"/>
  </tableStyles>
  <colors>
    <mruColors>
      <color rgb="FFDEE7F2"/>
      <color rgb="FF404040"/>
      <color rgb="FF06E3FF"/>
      <color rgb="FF0C46E6"/>
      <color rgb="FF00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DFC!A1"/><Relationship Id="rId2" Type="http://schemas.openxmlformats.org/officeDocument/2006/relationships/hyperlink" Target="#DRE!A1"/><Relationship Id="rId1" Type="http://schemas.openxmlformats.org/officeDocument/2006/relationships/hyperlink" Target="#BP!A1"/><Relationship Id="rId4" Type="http://schemas.openxmlformats.org/officeDocument/2006/relationships/hyperlink" Target="#EBITD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564356</xdr:colOff>
      <xdr:row>0</xdr:row>
      <xdr:rowOff>76200</xdr:rowOff>
    </xdr:from>
    <xdr:to>
      <xdr:col>9</xdr:col>
      <xdr:colOff>307181</xdr:colOff>
      <xdr:row>3</xdr:row>
      <xdr:rowOff>55034</xdr:rowOff>
    </xdr:to>
    <xdr:sp macro="" textlink="">
      <xdr:nvSpPr>
        <xdr:cNvPr id="6" name="CaixaDeTexto 10">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778794" y="76200"/>
          <a:ext cx="3993356"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balance sheet</a:t>
          </a:r>
        </a:p>
      </xdr:txBody>
    </xdr:sp>
    <xdr:clientData/>
  </xdr:twoCellAnchor>
  <xdr:twoCellAnchor>
    <xdr:from>
      <xdr:col>2</xdr:col>
      <xdr:colOff>564356</xdr:colOff>
      <xdr:row>2</xdr:row>
      <xdr:rowOff>119062</xdr:rowOff>
    </xdr:from>
    <xdr:to>
      <xdr:col>9</xdr:col>
      <xdr:colOff>545306</xdr:colOff>
      <xdr:row>5</xdr:row>
      <xdr:rowOff>97896</xdr:rowOff>
    </xdr:to>
    <xdr:sp macro="" textlink="">
      <xdr:nvSpPr>
        <xdr:cNvPr id="8" name="CaixaDeTexto 10">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1778794" y="500062"/>
          <a:ext cx="4231481"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statement of income</a:t>
          </a:r>
        </a:p>
      </xdr:txBody>
    </xdr:sp>
    <xdr:clientData/>
  </xdr:twoCellAnchor>
  <xdr:twoCellAnchor>
    <xdr:from>
      <xdr:col>2</xdr:col>
      <xdr:colOff>540544</xdr:colOff>
      <xdr:row>5</xdr:row>
      <xdr:rowOff>11906</xdr:rowOff>
    </xdr:from>
    <xdr:to>
      <xdr:col>9</xdr:col>
      <xdr:colOff>547688</xdr:colOff>
      <xdr:row>7</xdr:row>
      <xdr:rowOff>181240</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00000000-0008-0000-0000-00000B000000}"/>
            </a:ext>
          </a:extLst>
        </xdr:cNvPr>
        <xdr:cNvSpPr txBox="1"/>
      </xdr:nvSpPr>
      <xdr:spPr>
        <a:xfrm>
          <a:off x="1754982" y="964406"/>
          <a:ext cx="4257675"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a:t>
          </a:r>
          <a:r>
            <a:rPr lang="pt-BR" sz="1600" b="1" baseline="0">
              <a:solidFill>
                <a:schemeClr val="tx1">
                  <a:lumMod val="65000"/>
                  <a:lumOff val="35000"/>
                </a:schemeClr>
              </a:solidFill>
              <a:latin typeface="Votorantim Sans" panose="00000500000000000000" pitchFamily="2" charset="0"/>
            </a:rPr>
            <a:t> statement of cash flow</a:t>
          </a:r>
          <a:endParaRPr lang="pt-BR" sz="1600" b="1">
            <a:solidFill>
              <a:schemeClr val="tx1">
                <a:lumMod val="65000"/>
                <a:lumOff val="35000"/>
              </a:schemeClr>
            </a:solidFill>
            <a:latin typeface="Votorantim Sans" panose="00000500000000000000" pitchFamily="2" charset="0"/>
          </a:endParaRPr>
        </a:p>
      </xdr:txBody>
    </xdr:sp>
    <xdr:clientData/>
  </xdr:twoCellAnchor>
  <xdr:twoCellAnchor>
    <xdr:from>
      <xdr:col>2</xdr:col>
      <xdr:colOff>552450</xdr:colOff>
      <xdr:row>7</xdr:row>
      <xdr:rowOff>83344</xdr:rowOff>
    </xdr:from>
    <xdr:to>
      <xdr:col>8</xdr:col>
      <xdr:colOff>238125</xdr:colOff>
      <xdr:row>10</xdr:row>
      <xdr:rowOff>62178</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00000000-0008-0000-0000-00000D000000}"/>
            </a:ext>
          </a:extLst>
        </xdr:cNvPr>
        <xdr:cNvSpPr txBox="1"/>
      </xdr:nvSpPr>
      <xdr:spPr>
        <a:xfrm>
          <a:off x="1766888" y="1416844"/>
          <a:ext cx="3328987"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adjusted</a:t>
          </a:r>
          <a:r>
            <a:rPr lang="pt-BR" sz="1600" b="1" baseline="0">
              <a:solidFill>
                <a:schemeClr val="tx1">
                  <a:lumMod val="65000"/>
                  <a:lumOff val="35000"/>
                </a:schemeClr>
              </a:solidFill>
              <a:latin typeface="Votorantim Sans" panose="00000500000000000000" pitchFamily="2" charset="0"/>
            </a:rPr>
            <a:t> </a:t>
          </a:r>
          <a:r>
            <a:rPr lang="pt-BR" sz="1600" b="1">
              <a:solidFill>
                <a:schemeClr val="tx1">
                  <a:lumMod val="65000"/>
                  <a:lumOff val="35000"/>
                </a:schemeClr>
              </a:solidFill>
              <a:latin typeface="Votorantim Sans" panose="00000500000000000000" pitchFamily="2" charset="0"/>
            </a:rPr>
            <a:t>EBITDA</a:t>
          </a:r>
        </a:p>
      </xdr:txBody>
    </xdr:sp>
    <xdr:clientData/>
  </xdr:twoCellAnchor>
  <xdr:twoCellAnchor>
    <xdr:from>
      <xdr:col>2</xdr:col>
      <xdr:colOff>414067</xdr:colOff>
      <xdr:row>14</xdr:row>
      <xdr:rowOff>36304</xdr:rowOff>
    </xdr:from>
    <xdr:to>
      <xdr:col>9</xdr:col>
      <xdr:colOff>414068</xdr:colOff>
      <xdr:row>22</xdr:row>
      <xdr:rowOff>29771</xdr:rowOff>
    </xdr:to>
    <xdr:sp macro="" textlink="">
      <xdr:nvSpPr>
        <xdr:cNvPr id="14" name="Caixa de Texto 2">
          <a:extLst>
            <a:ext uri="{FF2B5EF4-FFF2-40B4-BE49-F238E27FC236}">
              <a16:creationId xmlns:a16="http://schemas.microsoft.com/office/drawing/2014/main" id="{00000000-0008-0000-0000-00000E000000}"/>
            </a:ext>
          </a:extLst>
        </xdr:cNvPr>
        <xdr:cNvSpPr txBox="1">
          <a:spLocks noChangeArrowheads="1"/>
        </xdr:cNvSpPr>
      </xdr:nvSpPr>
      <xdr:spPr bwMode="auto">
        <a:xfrm>
          <a:off x="1628505" y="2703304"/>
          <a:ext cx="4250532" cy="1517467"/>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en-US" sz="2800" b="1">
              <a:solidFill>
                <a:srgbClr val="404040"/>
              </a:solidFill>
              <a:effectLst/>
              <a:latin typeface="Votorantim Sans Medium" panose="02010603030202050203" pitchFamily="2" charset="0"/>
              <a:ea typeface="MS Mincho"/>
              <a:cs typeface="Times New Roman" panose="02020603050405020304" pitchFamily="18" charset="0"/>
            </a:rPr>
            <a:t>Votorantim Cimentos S.A. </a:t>
          </a:r>
        </a:p>
        <a:p>
          <a:pPr algn="r">
            <a:spcAft>
              <a:spcPts val="0"/>
            </a:spcAft>
          </a:pPr>
          <a:endParaRPr lang="pt-BR" sz="1050">
            <a:solidFill>
              <a:srgbClr val="404040"/>
            </a:solidFill>
            <a:effectLst/>
            <a:latin typeface="Cambria" panose="02040503050406030204" pitchFamily="18" charset="0"/>
            <a:ea typeface="MS Mincho"/>
            <a:cs typeface="Times New Roman" panose="02020603050405020304" pitchFamily="18" charset="0"/>
          </a:endParaRPr>
        </a:p>
        <a:p>
          <a:pPr algn="r">
            <a:spcAft>
              <a:spcPts val="0"/>
            </a:spcAft>
          </a:pPr>
          <a:r>
            <a:rPr lang="pt-BR" sz="2800" b="1">
              <a:solidFill>
                <a:srgbClr val="0C46E6"/>
              </a:solidFill>
              <a:effectLst/>
              <a:latin typeface="Votorantim Sans Black" panose="02010A03030202050203" pitchFamily="2" charset="0"/>
              <a:ea typeface="MS Mincho"/>
              <a:cs typeface="Times New Roman" panose="02020603050405020304" pitchFamily="18" charset="0"/>
            </a:rPr>
            <a:t>Planilha de resultados </a:t>
          </a:r>
          <a:endParaRPr lang="pt-BR" sz="2800">
            <a:solidFill>
              <a:srgbClr val="0C46E6"/>
            </a:solidFill>
            <a:effectLst/>
            <a:latin typeface="Cambria" panose="02040503050406030204" pitchFamily="18" charset="0"/>
            <a:ea typeface="MS Mincho"/>
            <a:cs typeface="Times New Roman" panose="02020603050405020304" pitchFamily="18" charset="0"/>
          </a:endParaRPr>
        </a:p>
      </xdr:txBody>
    </xdr:sp>
    <xdr:clientData/>
  </xdr:twoCellAnchor>
  <xdr:twoCellAnchor>
    <xdr:from>
      <xdr:col>16384</xdr:col>
      <xdr:colOff>620706</xdr:colOff>
      <xdr:row>34</xdr:row>
      <xdr:rowOff>42870</xdr:rowOff>
    </xdr:from>
    <xdr:to>
      <xdr:col>16384</xdr:col>
      <xdr:colOff>620706</xdr:colOff>
      <xdr:row>1048576</xdr:row>
      <xdr:rowOff>184630</xdr:rowOff>
    </xdr:to>
    <xdr:cxnSp macro="">
      <xdr:nvCxnSpPr>
        <xdr:cNvPr id="12" name="Conector reto 11">
          <a:extLst>
            <a:ext uri="{FF2B5EF4-FFF2-40B4-BE49-F238E27FC236}">
              <a16:creationId xmlns:a16="http://schemas.microsoft.com/office/drawing/2014/main" id="{00000000-0008-0000-0000-00000C000000}"/>
            </a:ext>
          </a:extLst>
        </xdr:cNvPr>
        <xdr:cNvCxnSpPr>
          <a:cxnSpLocks/>
        </xdr:cNvCxnSpPr>
      </xdr:nvCxnSpPr>
      <xdr:spPr>
        <a:xfrm>
          <a:off x="6917989" y="620213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16384</xdr:col>
      <xdr:colOff>414032</xdr:colOff>
      <xdr:row>20</xdr:row>
      <xdr:rowOff>6566</xdr:rowOff>
    </xdr:from>
    <xdr:to>
      <xdr:col>16384</xdr:col>
      <xdr:colOff>414032</xdr:colOff>
      <xdr:row>26</xdr:row>
      <xdr:rowOff>1677</xdr:rowOff>
    </xdr:to>
    <xdr:cxnSp macro="">
      <xdr:nvCxnSpPr>
        <xdr:cNvPr id="16" name="Conector reto 15">
          <a:extLst>
            <a:ext uri="{FF2B5EF4-FFF2-40B4-BE49-F238E27FC236}">
              <a16:creationId xmlns:a16="http://schemas.microsoft.com/office/drawing/2014/main" id="{00000000-0008-0000-0000-000010000000}"/>
            </a:ext>
          </a:extLst>
        </xdr:cNvPr>
        <xdr:cNvCxnSpPr>
          <a:cxnSpLocks/>
        </xdr:cNvCxnSpPr>
      </xdr:nvCxnSpPr>
      <xdr:spPr>
        <a:xfrm>
          <a:off x="6711315" y="362966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414067</xdr:colOff>
      <xdr:row>15</xdr:row>
      <xdr:rowOff>0</xdr:rowOff>
    </xdr:from>
    <xdr:to>
      <xdr:col>9</xdr:col>
      <xdr:colOff>414067</xdr:colOff>
      <xdr:row>20</xdr:row>
      <xdr:rowOff>17253</xdr:rowOff>
    </xdr:to>
    <xdr:cxnSp macro="">
      <xdr:nvCxnSpPr>
        <xdr:cNvPr id="3" name="Conector reto 2">
          <a:extLst>
            <a:ext uri="{FF2B5EF4-FFF2-40B4-BE49-F238E27FC236}">
              <a16:creationId xmlns:a16="http://schemas.microsoft.com/office/drawing/2014/main" id="{00000000-0008-0000-0000-000003000000}"/>
            </a:ext>
          </a:extLst>
        </xdr:cNvPr>
        <xdr:cNvCxnSpPr/>
      </xdr:nvCxnSpPr>
      <xdr:spPr>
        <a:xfrm>
          <a:off x="6081622" y="2717321"/>
          <a:ext cx="0" cy="923026"/>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49740</xdr:colOff>
      <xdr:row>0</xdr:row>
      <xdr:rowOff>173568</xdr:rowOff>
    </xdr:from>
    <xdr:to>
      <xdr:col>2</xdr:col>
      <xdr:colOff>1878540</xdr:colOff>
      <xdr:row>1</xdr:row>
      <xdr:rowOff>0</xdr:rowOff>
    </xdr:to>
    <xdr:pic>
      <xdr:nvPicPr>
        <xdr:cNvPr id="3" name="Imagem 2">
          <a:extLst>
            <a:ext uri="{FF2B5EF4-FFF2-40B4-BE49-F238E27FC236}">
              <a16:creationId xmlns:a16="http://schemas.microsoft.com/office/drawing/2014/main" id="{A61C24A2-CC50-4D1C-967B-2F9D63C03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157" y="173568"/>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0</xdr:row>
      <xdr:rowOff>148167</xdr:rowOff>
    </xdr:from>
    <xdr:to>
      <xdr:col>2</xdr:col>
      <xdr:colOff>1892300</xdr:colOff>
      <xdr:row>1</xdr:row>
      <xdr:rowOff>0</xdr:rowOff>
    </xdr:to>
    <xdr:pic>
      <xdr:nvPicPr>
        <xdr:cNvPr id="3" name="Imagem 2">
          <a:extLst>
            <a:ext uri="{FF2B5EF4-FFF2-40B4-BE49-F238E27FC236}">
              <a16:creationId xmlns:a16="http://schemas.microsoft.com/office/drawing/2014/main" id="{B11110C4-28B9-403F-AAA7-6E7C04AB9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148167"/>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67235</xdr:colOff>
      <xdr:row>0</xdr:row>
      <xdr:rowOff>156883</xdr:rowOff>
    </xdr:from>
    <xdr:to>
      <xdr:col>2</xdr:col>
      <xdr:colOff>1896035</xdr:colOff>
      <xdr:row>1</xdr:row>
      <xdr:rowOff>0</xdr:rowOff>
    </xdr:to>
    <xdr:pic>
      <xdr:nvPicPr>
        <xdr:cNvPr id="2" name="Imagem 2">
          <a:extLst>
            <a:ext uri="{FF2B5EF4-FFF2-40B4-BE49-F238E27FC236}">
              <a16:creationId xmlns:a16="http://schemas.microsoft.com/office/drawing/2014/main" id="{5E2A54AF-2046-4A4B-8EE9-9CDE25673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56883"/>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39"/>
  <sheetViews>
    <sheetView showGridLines="0" zoomScale="80" zoomScaleNormal="80" workbookViewId="0">
      <selection activeCell="M29" sqref="M29"/>
    </sheetView>
  </sheetViews>
  <sheetFormatPr defaultColWidth="0" defaultRowHeight="15" zeroHeight="1" x14ac:dyDescent="0.25"/>
  <cols>
    <col min="1" max="13" width="9.140625" customWidth="1"/>
    <col min="14"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6D43-085D-4286-94F5-66A98A3B189A}">
  <dimension ref="A1:AV109"/>
  <sheetViews>
    <sheetView showGridLines="0" zoomScale="80" zoomScaleNormal="80" workbookViewId="0">
      <pane xSplit="3" ySplit="6" topLeftCell="U98" activePane="bottomRight" state="frozen"/>
      <selection pane="topRight" activeCell="D1" sqref="D1"/>
      <selection pane="bottomLeft" activeCell="A10" sqref="A10"/>
      <selection pane="bottomRight" activeCell="S105" sqref="S105:AL108"/>
    </sheetView>
  </sheetViews>
  <sheetFormatPr defaultColWidth="8.7109375" defaultRowHeight="15" outlineLevelCol="1" x14ac:dyDescent="0.25"/>
  <cols>
    <col min="1" max="1" width="3.7109375" style="1" customWidth="1"/>
    <col min="2" max="2" width="42.5703125" style="7" bestFit="1" customWidth="1"/>
    <col min="3" max="3" width="53.42578125" style="7" hidden="1" customWidth="1"/>
    <col min="4" max="4" width="1.5703125" style="6" customWidth="1"/>
    <col min="5" max="5" width="12.7109375" style="3" customWidth="1"/>
    <col min="6" max="6" width="1.5703125" style="3" customWidth="1"/>
    <col min="7" max="7" width="12.7109375" style="3" customWidth="1" outlineLevel="1"/>
    <col min="8" max="8" width="1.5703125" style="3" customWidth="1" outlineLevel="1"/>
    <col min="9" max="9" width="12.7109375" style="6" customWidth="1" outlineLevel="1"/>
    <col min="10" max="10" width="1.5703125" style="3" customWidth="1" outlineLevel="1"/>
    <col min="11" max="11" width="12.7109375" style="3" customWidth="1" outlineLevel="1"/>
    <col min="12" max="12" width="1.5703125" style="3" customWidth="1" outlineLevel="1"/>
    <col min="13" max="13" width="12.7109375" style="3" customWidth="1"/>
    <col min="14" max="14" width="1.5703125" style="3" customWidth="1"/>
    <col min="15" max="15" width="12.7109375" style="3" customWidth="1" outlineLevel="1"/>
    <col min="16" max="16" width="1.5703125" style="3" customWidth="1" outlineLevel="1"/>
    <col min="17" max="17" width="12.7109375" style="3" customWidth="1" outlineLevel="1"/>
    <col min="18" max="18" width="1.5703125" style="3" customWidth="1" outlineLevel="1"/>
    <col min="19" max="19" width="12.7109375" style="3" customWidth="1" outlineLevel="1"/>
    <col min="20" max="20" width="1.5703125" style="3" customWidth="1" outlineLevel="1"/>
    <col min="21" max="21" width="12.7109375" style="3" customWidth="1"/>
    <col min="22" max="22" width="1.7109375" style="99" customWidth="1"/>
    <col min="23" max="23" width="12.85546875" style="3" customWidth="1" outlineLevel="1"/>
    <col min="24" max="24" width="1.7109375" style="3" customWidth="1" outlineLevel="1"/>
    <col min="25" max="25" width="13.140625" style="3" customWidth="1" outlineLevel="1"/>
    <col min="26" max="26" width="1.7109375" style="3" customWidth="1" outlineLevel="1"/>
    <col min="27" max="27" width="12.7109375" style="3" customWidth="1" outlineLevel="1"/>
    <col min="28" max="28" width="1.7109375" style="3" customWidth="1" outlineLevel="1"/>
    <col min="29" max="29" width="12.28515625" style="3" bestFit="1" customWidth="1"/>
    <col min="30" max="30" width="1.7109375" style="99" customWidth="1"/>
    <col min="31" max="31" width="12.85546875" style="3" customWidth="1" outlineLevel="1"/>
    <col min="32" max="32" width="1.7109375" style="3" customWidth="1" outlineLevel="1"/>
    <col min="33" max="33" width="13.140625" style="3" customWidth="1" outlineLevel="1"/>
    <col min="34" max="34" width="1.7109375" style="3" customWidth="1" outlineLevel="1"/>
    <col min="35" max="35" width="12.7109375" style="3" customWidth="1" outlineLevel="1"/>
    <col min="36" max="36" width="1.7109375" style="3" customWidth="1" outlineLevel="1"/>
    <col min="37" max="37" width="12.28515625" style="3" bestFit="1" customWidth="1"/>
    <col min="38" max="38" width="2.28515625" style="99" customWidth="1"/>
    <col min="39" max="39" width="12.85546875" style="3" customWidth="1" outlineLevel="1"/>
    <col min="40" max="40" width="1.7109375" style="3" customWidth="1" outlineLevel="1"/>
    <col min="41" max="41" width="13.140625" style="3" customWidth="1" outlineLevel="1"/>
    <col min="42" max="42" width="1.7109375" style="3" customWidth="1" outlineLevel="1"/>
    <col min="43" max="43" width="12.7109375" style="3" customWidth="1" outlineLevel="1"/>
    <col min="44" max="44" width="1.7109375" style="3" customWidth="1" outlineLevel="1"/>
    <col min="45" max="45" width="12.28515625" style="3" hidden="1" customWidth="1"/>
    <col min="46" max="47" width="8.7109375" style="99"/>
    <col min="48" max="48" width="12.28515625" style="99" bestFit="1" customWidth="1"/>
    <col min="49" max="16384" width="8.7109375" style="99"/>
  </cols>
  <sheetData>
    <row r="1" spans="1:48" x14ac:dyDescent="0.25">
      <c r="G1" s="3">
        <v>1000</v>
      </c>
    </row>
    <row r="2" spans="1:48" x14ac:dyDescent="0.25">
      <c r="B2" s="2" t="s">
        <v>58</v>
      </c>
      <c r="C2" s="2" t="s">
        <v>237</v>
      </c>
      <c r="D2" s="3"/>
      <c r="I2" s="65"/>
      <c r="M2" s="65"/>
      <c r="Q2" s="65"/>
      <c r="Y2" s="65"/>
      <c r="AG2" s="65"/>
      <c r="AO2" s="65"/>
    </row>
    <row r="3" spans="1:48" x14ac:dyDescent="0.25">
      <c r="B3" s="2" t="s">
        <v>46</v>
      </c>
      <c r="C3" s="2" t="s">
        <v>251</v>
      </c>
      <c r="D3" s="3"/>
      <c r="I3" s="3"/>
    </row>
    <row r="4" spans="1:48" x14ac:dyDescent="0.25">
      <c r="B4" s="7" t="s">
        <v>59</v>
      </c>
      <c r="C4" s="4" t="s">
        <v>240</v>
      </c>
      <c r="I4" s="3"/>
    </row>
    <row r="5" spans="1:48" ht="15.75" thickBot="1" x14ac:dyDescent="0.3">
      <c r="B5" s="8" t="s">
        <v>47</v>
      </c>
      <c r="C5" s="8"/>
      <c r="D5" s="43"/>
      <c r="E5" s="69">
        <v>2020</v>
      </c>
      <c r="F5" s="70"/>
      <c r="G5" s="137">
        <v>2021</v>
      </c>
      <c r="H5" s="137"/>
      <c r="I5" s="137"/>
      <c r="J5" s="137"/>
      <c r="K5" s="137"/>
      <c r="L5" s="137"/>
      <c r="M5" s="137"/>
      <c r="N5" s="70"/>
      <c r="O5" s="137">
        <v>2022</v>
      </c>
      <c r="P5" s="137"/>
      <c r="Q5" s="137"/>
      <c r="R5" s="137"/>
      <c r="S5" s="137"/>
      <c r="T5" s="137"/>
      <c r="U5" s="137"/>
      <c r="W5" s="137">
        <v>2023</v>
      </c>
      <c r="X5" s="137"/>
      <c r="Y5" s="137"/>
      <c r="Z5" s="137"/>
      <c r="AA5" s="137"/>
      <c r="AB5" s="137"/>
      <c r="AC5" s="137"/>
      <c r="AE5" s="137">
        <v>2024</v>
      </c>
      <c r="AF5" s="137"/>
      <c r="AG5" s="137"/>
      <c r="AH5" s="137"/>
      <c r="AI5" s="137"/>
      <c r="AJ5" s="137"/>
      <c r="AK5" s="137"/>
      <c r="AM5" s="137">
        <v>2025</v>
      </c>
      <c r="AN5" s="137"/>
      <c r="AO5" s="137"/>
      <c r="AP5" s="137"/>
      <c r="AQ5" s="137"/>
      <c r="AR5" s="137"/>
      <c r="AS5" s="137"/>
    </row>
    <row r="6" spans="1:48" ht="15.75" thickBot="1" x14ac:dyDescent="0.3">
      <c r="A6" s="10"/>
      <c r="B6" s="11" t="s">
        <v>0</v>
      </c>
      <c r="C6" s="11" t="s">
        <v>116</v>
      </c>
      <c r="D6" s="43"/>
      <c r="E6" s="64">
        <v>44196</v>
      </c>
      <c r="F6" s="70"/>
      <c r="G6" s="64">
        <v>44286</v>
      </c>
      <c r="H6" s="70"/>
      <c r="I6" s="64">
        <v>44377</v>
      </c>
      <c r="J6" s="70"/>
      <c r="K6" s="97">
        <v>44469</v>
      </c>
      <c r="L6" s="70"/>
      <c r="M6" s="64">
        <v>44561</v>
      </c>
      <c r="N6" s="70"/>
      <c r="O6" s="64">
        <v>44651</v>
      </c>
      <c r="P6" s="70"/>
      <c r="Q6" s="64">
        <v>44742</v>
      </c>
      <c r="R6" s="70"/>
      <c r="S6" s="64">
        <v>44834</v>
      </c>
      <c r="T6" s="70"/>
      <c r="U6" s="64">
        <v>44926</v>
      </c>
      <c r="W6" s="64">
        <v>45016</v>
      </c>
      <c r="X6" s="70"/>
      <c r="Y6" s="64">
        <v>45107</v>
      </c>
      <c r="Z6" s="70"/>
      <c r="AA6" s="64">
        <v>45199</v>
      </c>
      <c r="AB6" s="70"/>
      <c r="AC6" s="64">
        <v>45291</v>
      </c>
      <c r="AE6" s="64">
        <v>45382</v>
      </c>
      <c r="AF6" s="70"/>
      <c r="AG6" s="64">
        <v>45473</v>
      </c>
      <c r="AH6" s="70"/>
      <c r="AI6" s="64">
        <v>45565</v>
      </c>
      <c r="AJ6" s="70"/>
      <c r="AK6" s="64">
        <v>45657</v>
      </c>
      <c r="AM6" s="64">
        <v>45747</v>
      </c>
      <c r="AN6" s="70"/>
      <c r="AO6" s="64">
        <v>45838</v>
      </c>
      <c r="AP6" s="70"/>
      <c r="AQ6" s="64">
        <v>45930</v>
      </c>
      <c r="AR6" s="70"/>
      <c r="AS6" s="64">
        <v>46022</v>
      </c>
    </row>
    <row r="7" spans="1:48" x14ac:dyDescent="0.25">
      <c r="B7" s="12"/>
      <c r="C7" s="12"/>
      <c r="E7" s="14"/>
      <c r="F7" s="10"/>
      <c r="G7" s="14"/>
      <c r="H7" s="14"/>
      <c r="I7" s="14"/>
      <c r="J7" s="14"/>
      <c r="K7" s="14"/>
      <c r="L7" s="14"/>
      <c r="M7" s="14"/>
      <c r="N7" s="10"/>
      <c r="O7" s="14"/>
      <c r="P7" s="14"/>
      <c r="Q7" s="14"/>
      <c r="R7" s="14"/>
      <c r="S7" s="14"/>
      <c r="T7" s="14"/>
      <c r="U7" s="14"/>
      <c r="W7" s="14"/>
      <c r="X7" s="14"/>
      <c r="Y7" s="14"/>
      <c r="Z7" s="14"/>
      <c r="AA7" s="14"/>
      <c r="AB7" s="14"/>
      <c r="AC7" s="14"/>
      <c r="AE7" s="14"/>
      <c r="AF7" s="14"/>
      <c r="AG7" s="14"/>
      <c r="AH7" s="14"/>
      <c r="AI7" s="14"/>
      <c r="AJ7" s="14"/>
      <c r="AK7" s="14"/>
      <c r="AM7" s="14"/>
      <c r="AN7" s="14"/>
      <c r="AO7" s="14"/>
      <c r="AP7" s="14"/>
      <c r="AQ7" s="14"/>
      <c r="AR7" s="14"/>
      <c r="AS7" s="14"/>
    </row>
    <row r="8" spans="1:48" x14ac:dyDescent="0.25">
      <c r="B8" s="7" t="s">
        <v>1</v>
      </c>
      <c r="C8" s="7" t="s">
        <v>117</v>
      </c>
      <c r="E8" s="10"/>
      <c r="F8" s="10"/>
      <c r="G8" s="10"/>
      <c r="H8" s="10"/>
      <c r="I8" s="10"/>
      <c r="J8" s="10"/>
      <c r="K8" s="10"/>
      <c r="L8" s="10"/>
      <c r="M8" s="10"/>
      <c r="N8" s="10"/>
      <c r="O8" s="10"/>
      <c r="P8" s="10"/>
      <c r="Q8" s="10"/>
      <c r="R8" s="10"/>
      <c r="S8" s="10"/>
      <c r="T8" s="10"/>
      <c r="U8" s="10"/>
      <c r="W8" s="10"/>
      <c r="X8" s="10"/>
      <c r="Y8" s="10"/>
      <c r="Z8" s="10"/>
      <c r="AA8" s="10"/>
      <c r="AB8" s="10"/>
      <c r="AC8" s="10"/>
      <c r="AE8" s="10"/>
      <c r="AF8" s="10"/>
      <c r="AG8" s="10"/>
      <c r="AH8" s="10"/>
      <c r="AI8" s="10"/>
      <c r="AJ8" s="10"/>
      <c r="AK8" s="10"/>
      <c r="AM8" s="10"/>
      <c r="AN8" s="10"/>
      <c r="AO8" s="10"/>
      <c r="AP8" s="10"/>
      <c r="AQ8" s="10"/>
      <c r="AR8" s="10"/>
      <c r="AS8" s="10"/>
    </row>
    <row r="9" spans="1:48" x14ac:dyDescent="0.25">
      <c r="B9" s="15" t="s">
        <v>2</v>
      </c>
      <c r="C9" s="15" t="s">
        <v>118</v>
      </c>
      <c r="E9" s="16">
        <v>3413.0259999999998</v>
      </c>
      <c r="F9" s="3">
        <v>0</v>
      </c>
      <c r="G9" s="16">
        <v>3177.692</v>
      </c>
      <c r="H9" s="3">
        <v>0</v>
      </c>
      <c r="I9" s="16">
        <v>3190.9119999999998</v>
      </c>
      <c r="J9" s="3">
        <v>0</v>
      </c>
      <c r="K9" s="16">
        <v>4506.2910000000002</v>
      </c>
      <c r="L9" s="3">
        <v>0</v>
      </c>
      <c r="M9" s="16">
        <v>4450.03</v>
      </c>
      <c r="N9" s="3">
        <v>0</v>
      </c>
      <c r="O9" s="16">
        <v>2724.1390000000001</v>
      </c>
      <c r="P9" s="3">
        <v>0</v>
      </c>
      <c r="Q9" s="16">
        <v>3913.1860000000001</v>
      </c>
      <c r="R9" s="3">
        <v>0</v>
      </c>
      <c r="S9" s="16">
        <v>4170.5209999999997</v>
      </c>
      <c r="T9" s="3">
        <v>0</v>
      </c>
      <c r="U9" s="16">
        <v>3943.5129999999999</v>
      </c>
      <c r="V9" s="3">
        <v>0</v>
      </c>
      <c r="W9" s="16">
        <v>2657.8629999999998</v>
      </c>
      <c r="X9" s="3">
        <v>0</v>
      </c>
      <c r="Y9" s="16">
        <v>2460.3240000000001</v>
      </c>
      <c r="Z9" s="3">
        <v>0</v>
      </c>
      <c r="AA9" s="16">
        <v>3875.68</v>
      </c>
      <c r="AB9" s="3">
        <v>0</v>
      </c>
      <c r="AC9" s="16">
        <v>4856.9560000000001</v>
      </c>
      <c r="AD9" s="3">
        <v>0</v>
      </c>
      <c r="AE9" s="16">
        <v>3361.2719999999999</v>
      </c>
      <c r="AF9" s="3">
        <v>0</v>
      </c>
      <c r="AG9" s="16">
        <v>4260.442</v>
      </c>
      <c r="AH9" s="3">
        <v>0</v>
      </c>
      <c r="AI9" s="16">
        <v>3893.7530000000002</v>
      </c>
      <c r="AJ9" s="3">
        <v>0</v>
      </c>
      <c r="AK9" s="16">
        <v>4070.9839999999999</v>
      </c>
      <c r="AL9" s="129" t="s">
        <v>47</v>
      </c>
      <c r="AM9" s="16">
        <v>3136</v>
      </c>
      <c r="AN9" s="17"/>
      <c r="AO9" s="16"/>
      <c r="AP9" s="17"/>
      <c r="AQ9" s="16"/>
      <c r="AR9" s="17"/>
      <c r="AS9" s="16"/>
      <c r="AV9" s="99">
        <v>2978162</v>
      </c>
    </row>
    <row r="10" spans="1:48" x14ac:dyDescent="0.25">
      <c r="B10" s="19" t="s">
        <v>3</v>
      </c>
      <c r="C10" s="19" t="s">
        <v>119</v>
      </c>
      <c r="E10" s="3">
        <v>990.28300000000002</v>
      </c>
      <c r="F10" s="3">
        <v>0</v>
      </c>
      <c r="G10" s="3">
        <v>824.42700000000002</v>
      </c>
      <c r="H10" s="3">
        <v>0</v>
      </c>
      <c r="I10" s="3">
        <v>957.90899999999999</v>
      </c>
      <c r="J10" s="3">
        <v>0</v>
      </c>
      <c r="K10" s="3">
        <v>1429.3</v>
      </c>
      <c r="L10" s="3">
        <v>0</v>
      </c>
      <c r="M10" s="3">
        <v>946.26400000000001</v>
      </c>
      <c r="N10" s="3">
        <v>0</v>
      </c>
      <c r="O10" s="3">
        <v>936.80499999999995</v>
      </c>
      <c r="P10" s="3">
        <v>0</v>
      </c>
      <c r="Q10" s="3">
        <v>865.83699999999999</v>
      </c>
      <c r="R10" s="3">
        <v>0</v>
      </c>
      <c r="S10" s="3">
        <v>909.37400000000002</v>
      </c>
      <c r="T10" s="3">
        <v>0</v>
      </c>
      <c r="U10" s="3">
        <v>978.31600000000003</v>
      </c>
      <c r="V10" s="3">
        <v>0</v>
      </c>
      <c r="W10" s="3">
        <v>930.43100000000004</v>
      </c>
      <c r="X10" s="3">
        <v>0</v>
      </c>
      <c r="Y10" s="3">
        <v>948.56200000000001</v>
      </c>
      <c r="Z10" s="3">
        <v>0</v>
      </c>
      <c r="AA10" s="3">
        <v>987.24099999999999</v>
      </c>
      <c r="AB10" s="3">
        <v>0</v>
      </c>
      <c r="AC10" s="3">
        <v>1056.569</v>
      </c>
      <c r="AD10" s="3">
        <v>0</v>
      </c>
      <c r="AE10" s="3">
        <v>1060.884</v>
      </c>
      <c r="AF10" s="3">
        <v>0</v>
      </c>
      <c r="AG10" s="3">
        <v>1139.3979999999999</v>
      </c>
      <c r="AH10" s="3">
        <v>0</v>
      </c>
      <c r="AI10" s="3">
        <v>1086.857</v>
      </c>
      <c r="AJ10" s="3">
        <v>0</v>
      </c>
      <c r="AK10" s="3">
        <v>1136.8389999999999</v>
      </c>
      <c r="AM10" s="3">
        <v>1112</v>
      </c>
      <c r="AN10" s="20"/>
      <c r="AP10" s="20"/>
      <c r="AV10" s="135">
        <f>AV9*12%</f>
        <v>357379.44</v>
      </c>
    </row>
    <row r="11" spans="1:48" x14ac:dyDescent="0.25">
      <c r="B11" s="15" t="s">
        <v>4</v>
      </c>
      <c r="C11" s="15" t="s">
        <v>120</v>
      </c>
      <c r="D11" s="3"/>
      <c r="E11" s="16">
        <v>21.053000000000001</v>
      </c>
      <c r="F11" s="3">
        <v>0</v>
      </c>
      <c r="G11" s="16">
        <v>3.4079999999999999</v>
      </c>
      <c r="H11" s="3">
        <v>0</v>
      </c>
      <c r="I11" s="16">
        <v>1.0780000000000001</v>
      </c>
      <c r="J11" s="3">
        <v>0</v>
      </c>
      <c r="K11" s="16">
        <v>2.6280000000000001</v>
      </c>
      <c r="L11" s="3">
        <v>0</v>
      </c>
      <c r="M11" s="16">
        <v>4.4340000000000002</v>
      </c>
      <c r="N11" s="3">
        <v>0</v>
      </c>
      <c r="O11" s="16">
        <v>3.7080000000000002</v>
      </c>
      <c r="P11" s="3">
        <v>0</v>
      </c>
      <c r="Q11" s="16">
        <v>1.2909999999999999</v>
      </c>
      <c r="R11" s="3">
        <v>0</v>
      </c>
      <c r="S11" s="16">
        <v>0.45500000000000002</v>
      </c>
      <c r="T11" s="3">
        <v>0</v>
      </c>
      <c r="U11" s="16">
        <v>4.8000000000000001E-2</v>
      </c>
      <c r="V11" s="3">
        <v>0</v>
      </c>
      <c r="W11" s="16">
        <v>2.3570000000000002</v>
      </c>
      <c r="X11" s="3">
        <v>0</v>
      </c>
      <c r="Y11" s="16">
        <v>31.07</v>
      </c>
      <c r="Z11" s="3">
        <v>0</v>
      </c>
      <c r="AA11" s="16">
        <v>12.103999999999999</v>
      </c>
      <c r="AB11" s="3">
        <v>0</v>
      </c>
      <c r="AC11" s="16">
        <v>1.0269999999999999</v>
      </c>
      <c r="AD11" s="3">
        <v>0</v>
      </c>
      <c r="AE11" s="16">
        <v>0.93400000000000005</v>
      </c>
      <c r="AF11" s="3">
        <v>0</v>
      </c>
      <c r="AG11" s="16">
        <v>1.1659999999999999</v>
      </c>
      <c r="AH11" s="3">
        <v>0</v>
      </c>
      <c r="AI11" s="16">
        <v>9.5000000000000001E-2</v>
      </c>
      <c r="AJ11" s="3">
        <v>0</v>
      </c>
      <c r="AK11" s="16">
        <v>1E-3</v>
      </c>
      <c r="AM11" s="16">
        <v>0</v>
      </c>
      <c r="AN11" s="17"/>
      <c r="AO11" s="16"/>
      <c r="AP11" s="17"/>
      <c r="AQ11" s="16"/>
      <c r="AR11" s="16"/>
      <c r="AS11" s="16"/>
      <c r="AV11" s="136">
        <v>982793.49</v>
      </c>
    </row>
    <row r="12" spans="1:48" x14ac:dyDescent="0.25">
      <c r="B12" s="19" t="s">
        <v>5</v>
      </c>
      <c r="C12" s="19" t="s">
        <v>121</v>
      </c>
      <c r="E12" s="3">
        <v>1031.396</v>
      </c>
      <c r="F12" s="3">
        <v>0</v>
      </c>
      <c r="G12" s="3">
        <v>1292.1990000000001</v>
      </c>
      <c r="H12" s="3">
        <v>0</v>
      </c>
      <c r="I12" s="3">
        <v>1712.817</v>
      </c>
      <c r="J12" s="3">
        <v>0</v>
      </c>
      <c r="K12" s="3">
        <v>1713.7260000000001</v>
      </c>
      <c r="L12" s="3">
        <v>0</v>
      </c>
      <c r="M12" s="3">
        <v>1344.298</v>
      </c>
      <c r="N12" s="3">
        <v>0</v>
      </c>
      <c r="O12" s="3">
        <v>1480.701</v>
      </c>
      <c r="P12" s="3">
        <v>0</v>
      </c>
      <c r="Q12" s="3">
        <v>1983.3150000000001</v>
      </c>
      <c r="R12" s="3">
        <v>0</v>
      </c>
      <c r="S12" s="3">
        <v>2016.548</v>
      </c>
      <c r="T12" s="3">
        <v>0</v>
      </c>
      <c r="U12" s="3">
        <v>1521.32</v>
      </c>
      <c r="V12" s="3">
        <v>0</v>
      </c>
      <c r="W12" s="3">
        <v>1952.41</v>
      </c>
      <c r="X12" s="3">
        <v>0</v>
      </c>
      <c r="Y12" s="3">
        <v>2002.761</v>
      </c>
      <c r="Z12" s="3">
        <v>0</v>
      </c>
      <c r="AA12" s="3">
        <v>2179.3130000000001</v>
      </c>
      <c r="AB12" s="3">
        <v>0</v>
      </c>
      <c r="AC12" s="3">
        <v>1641.634</v>
      </c>
      <c r="AD12" s="3">
        <v>0</v>
      </c>
      <c r="AE12" s="3">
        <v>1972.588</v>
      </c>
      <c r="AF12" s="3">
        <v>0</v>
      </c>
      <c r="AG12" s="3">
        <v>2394.2620000000002</v>
      </c>
      <c r="AH12" s="3">
        <v>0</v>
      </c>
      <c r="AI12" s="3">
        <v>2386.5929999999998</v>
      </c>
      <c r="AJ12" s="3">
        <v>0</v>
      </c>
      <c r="AK12" s="3">
        <v>1704.307</v>
      </c>
      <c r="AM12" s="3">
        <v>2069</v>
      </c>
      <c r="AN12" s="20"/>
      <c r="AP12" s="20"/>
    </row>
    <row r="13" spans="1:48" x14ac:dyDescent="0.25">
      <c r="B13" s="15" t="s">
        <v>6</v>
      </c>
      <c r="C13" s="15" t="s">
        <v>122</v>
      </c>
      <c r="E13" s="16">
        <v>1914.8119999999999</v>
      </c>
      <c r="F13" s="3">
        <v>0</v>
      </c>
      <c r="G13" s="16">
        <v>2219.5250000000001</v>
      </c>
      <c r="H13" s="3">
        <v>0</v>
      </c>
      <c r="I13" s="16">
        <v>2275.3870000000002</v>
      </c>
      <c r="J13" s="3">
        <v>0</v>
      </c>
      <c r="K13" s="16">
        <v>2519.752</v>
      </c>
      <c r="L13" s="3">
        <v>0</v>
      </c>
      <c r="M13" s="16">
        <v>2862.0459999999998</v>
      </c>
      <c r="N13" s="3">
        <v>0</v>
      </c>
      <c r="O13" s="16">
        <v>2893.703</v>
      </c>
      <c r="P13" s="3">
        <v>0</v>
      </c>
      <c r="Q13" s="16">
        <v>3155.23</v>
      </c>
      <c r="R13" s="3">
        <v>0</v>
      </c>
      <c r="S13" s="16">
        <v>3194.9189999999999</v>
      </c>
      <c r="T13" s="3">
        <v>0</v>
      </c>
      <c r="U13" s="16">
        <v>3358.7919999999999</v>
      </c>
      <c r="V13" s="3">
        <v>0</v>
      </c>
      <c r="W13" s="16">
        <v>3624.942</v>
      </c>
      <c r="X13" s="3">
        <v>0</v>
      </c>
      <c r="Y13" s="16">
        <v>3408.0729999999999</v>
      </c>
      <c r="Z13" s="3">
        <v>0</v>
      </c>
      <c r="AA13" s="16">
        <v>3312.424</v>
      </c>
      <c r="AB13" s="3">
        <v>0</v>
      </c>
      <c r="AC13" s="16">
        <v>3499.9639999999999</v>
      </c>
      <c r="AD13" s="3">
        <v>0</v>
      </c>
      <c r="AE13" s="16">
        <v>3762.652</v>
      </c>
      <c r="AF13" s="3">
        <v>0</v>
      </c>
      <c r="AG13" s="16">
        <v>3892.674</v>
      </c>
      <c r="AH13" s="3">
        <v>0</v>
      </c>
      <c r="AI13" s="16">
        <v>3674.49</v>
      </c>
      <c r="AJ13" s="3">
        <v>0</v>
      </c>
      <c r="AK13" s="16">
        <v>4100.3770000000004</v>
      </c>
      <c r="AM13" s="16">
        <v>4034</v>
      </c>
      <c r="AN13" s="17"/>
      <c r="AO13" s="16"/>
      <c r="AP13" s="17"/>
      <c r="AQ13" s="16"/>
      <c r="AR13" s="16"/>
      <c r="AS13" s="16"/>
    </row>
    <row r="14" spans="1:48" x14ac:dyDescent="0.25">
      <c r="B14" s="19" t="s">
        <v>7</v>
      </c>
      <c r="C14" s="19" t="s">
        <v>123</v>
      </c>
      <c r="E14" s="3">
        <v>483.82600000000002</v>
      </c>
      <c r="F14" s="3">
        <v>0</v>
      </c>
      <c r="G14" s="3">
        <v>426.39699999999999</v>
      </c>
      <c r="H14" s="3">
        <v>0</v>
      </c>
      <c r="I14" s="3">
        <v>331.11900000000003</v>
      </c>
      <c r="J14" s="3">
        <v>0</v>
      </c>
      <c r="K14" s="3">
        <v>754.76199999999994</v>
      </c>
      <c r="L14" s="3">
        <v>0</v>
      </c>
      <c r="M14" s="3">
        <v>682.17499999999995</v>
      </c>
      <c r="N14" s="3">
        <v>0</v>
      </c>
      <c r="O14" s="3">
        <v>633.125</v>
      </c>
      <c r="P14" s="3">
        <v>0</v>
      </c>
      <c r="Q14" s="3">
        <v>508.59500000000003</v>
      </c>
      <c r="R14" s="3">
        <v>0</v>
      </c>
      <c r="S14" s="3">
        <v>372.67</v>
      </c>
      <c r="T14" s="3">
        <v>0</v>
      </c>
      <c r="U14" s="3">
        <v>297.755</v>
      </c>
      <c r="V14" s="3">
        <v>0</v>
      </c>
      <c r="W14" s="3">
        <v>203.78800000000001</v>
      </c>
      <c r="X14" s="3">
        <v>0</v>
      </c>
      <c r="Y14" s="3">
        <v>142.00700000000001</v>
      </c>
      <c r="Z14" s="3">
        <v>0</v>
      </c>
      <c r="AA14" s="3">
        <v>124.768</v>
      </c>
      <c r="AB14" s="3">
        <v>0</v>
      </c>
      <c r="AC14" s="3">
        <v>126.73099999999999</v>
      </c>
      <c r="AD14" s="3">
        <v>0</v>
      </c>
      <c r="AE14" s="3">
        <v>108.72499999999999</v>
      </c>
      <c r="AF14" s="3">
        <v>0</v>
      </c>
      <c r="AG14" s="3">
        <v>103.482</v>
      </c>
      <c r="AH14" s="3">
        <v>0</v>
      </c>
      <c r="AI14" s="3">
        <v>117.994</v>
      </c>
      <c r="AJ14" s="3">
        <v>0</v>
      </c>
      <c r="AK14" s="3">
        <v>146.387</v>
      </c>
      <c r="AM14" s="3">
        <v>166</v>
      </c>
      <c r="AN14" s="20"/>
      <c r="AP14" s="20"/>
    </row>
    <row r="15" spans="1:48" ht="24.75" x14ac:dyDescent="0.25">
      <c r="B15" s="15" t="s">
        <v>49</v>
      </c>
      <c r="C15" s="15" t="s">
        <v>124</v>
      </c>
      <c r="E15" s="16">
        <v>72.775000000000006</v>
      </c>
      <c r="F15" s="3">
        <v>0</v>
      </c>
      <c r="G15" s="16">
        <v>69.741</v>
      </c>
      <c r="H15" s="3">
        <v>0</v>
      </c>
      <c r="I15" s="16">
        <v>36.17</v>
      </c>
      <c r="J15" s="3">
        <v>0</v>
      </c>
      <c r="K15" s="16">
        <v>34.454000000000001</v>
      </c>
      <c r="L15" s="3">
        <v>0</v>
      </c>
      <c r="M15" s="16">
        <v>356.10899999999998</v>
      </c>
      <c r="N15" s="3">
        <v>0</v>
      </c>
      <c r="O15" s="16">
        <v>346.20600000000002</v>
      </c>
      <c r="P15" s="3">
        <v>0</v>
      </c>
      <c r="Q15" s="16">
        <v>405.41899999999998</v>
      </c>
      <c r="R15" s="3">
        <v>0</v>
      </c>
      <c r="S15" s="16">
        <v>159.934</v>
      </c>
      <c r="T15" s="3">
        <v>0</v>
      </c>
      <c r="U15" s="16">
        <v>169.96899999999999</v>
      </c>
      <c r="V15" s="3">
        <v>0</v>
      </c>
      <c r="W15" s="16">
        <v>176.779</v>
      </c>
      <c r="X15" s="3">
        <v>0</v>
      </c>
      <c r="Y15" s="16">
        <v>63.531999999999996</v>
      </c>
      <c r="Z15" s="3">
        <v>0</v>
      </c>
      <c r="AA15" s="16">
        <v>48.209000000000003</v>
      </c>
      <c r="AB15" s="3">
        <v>0</v>
      </c>
      <c r="AC15" s="16">
        <v>117.69499999999999</v>
      </c>
      <c r="AD15" s="3">
        <v>0</v>
      </c>
      <c r="AE15" s="16">
        <v>233.03200000000001</v>
      </c>
      <c r="AF15" s="3">
        <v>0</v>
      </c>
      <c r="AG15" s="16">
        <v>258.416</v>
      </c>
      <c r="AH15" s="3">
        <v>0</v>
      </c>
      <c r="AI15" s="16">
        <v>275.46300000000002</v>
      </c>
      <c r="AJ15" s="3">
        <v>0</v>
      </c>
      <c r="AK15" s="16">
        <v>177.82300000000001</v>
      </c>
      <c r="AM15" s="16">
        <v>169</v>
      </c>
      <c r="AN15" s="17"/>
      <c r="AO15" s="16"/>
      <c r="AP15" s="17"/>
      <c r="AQ15" s="16"/>
      <c r="AR15" s="16"/>
      <c r="AS15" s="16"/>
    </row>
    <row r="16" spans="1:48" s="108" customFormat="1" x14ac:dyDescent="0.25">
      <c r="A16" s="67"/>
      <c r="B16" s="66" t="s">
        <v>275</v>
      </c>
      <c r="C16" s="66"/>
      <c r="D16" s="98"/>
      <c r="E16" s="106">
        <v>0</v>
      </c>
      <c r="F16" s="3">
        <v>0</v>
      </c>
      <c r="G16" s="106">
        <v>0</v>
      </c>
      <c r="H16" s="3">
        <v>0</v>
      </c>
      <c r="I16" s="106">
        <v>0</v>
      </c>
      <c r="J16" s="3">
        <v>0</v>
      </c>
      <c r="K16" s="106">
        <v>0</v>
      </c>
      <c r="L16" s="3">
        <v>0</v>
      </c>
      <c r="M16" s="106">
        <v>0</v>
      </c>
      <c r="N16" s="3">
        <v>0</v>
      </c>
      <c r="O16" s="106">
        <v>0</v>
      </c>
      <c r="P16" s="3">
        <v>0</v>
      </c>
      <c r="Q16" s="106">
        <v>0</v>
      </c>
      <c r="R16" s="3">
        <v>0</v>
      </c>
      <c r="S16" s="106">
        <v>0</v>
      </c>
      <c r="T16" s="3">
        <v>0</v>
      </c>
      <c r="U16" s="106">
        <v>0</v>
      </c>
      <c r="V16" s="3">
        <v>0</v>
      </c>
      <c r="W16" s="106">
        <v>0</v>
      </c>
      <c r="X16" s="3">
        <v>0</v>
      </c>
      <c r="Y16" s="106">
        <v>0</v>
      </c>
      <c r="Z16" s="3">
        <v>0</v>
      </c>
      <c r="AA16" s="106">
        <v>0</v>
      </c>
      <c r="AB16" s="3">
        <v>0</v>
      </c>
      <c r="AC16" s="106">
        <v>0</v>
      </c>
      <c r="AD16" s="3">
        <v>0</v>
      </c>
      <c r="AE16" s="106">
        <v>0</v>
      </c>
      <c r="AF16" s="3">
        <v>0</v>
      </c>
      <c r="AG16" s="106">
        <v>0</v>
      </c>
      <c r="AH16" s="3">
        <v>0</v>
      </c>
      <c r="AI16" s="106">
        <v>1.25</v>
      </c>
      <c r="AJ16" s="3">
        <v>0</v>
      </c>
      <c r="AK16" s="106">
        <v>0</v>
      </c>
      <c r="AL16" s="99"/>
      <c r="AM16" s="106">
        <v>0</v>
      </c>
      <c r="AN16" s="107"/>
      <c r="AO16" s="106"/>
      <c r="AP16" s="107"/>
      <c r="AQ16" s="106"/>
      <c r="AR16" s="106"/>
      <c r="AS16" s="106"/>
    </row>
    <row r="17" spans="2:45" x14ac:dyDescent="0.25">
      <c r="B17" s="15" t="s">
        <v>54</v>
      </c>
      <c r="C17" s="15"/>
      <c r="E17" s="16">
        <v>0</v>
      </c>
      <c r="F17" s="3">
        <v>0</v>
      </c>
      <c r="G17" s="16">
        <v>0</v>
      </c>
      <c r="H17" s="3">
        <v>0</v>
      </c>
      <c r="I17" s="16">
        <v>0</v>
      </c>
      <c r="J17" s="3">
        <v>0</v>
      </c>
      <c r="K17" s="16">
        <v>0</v>
      </c>
      <c r="L17" s="3">
        <v>0</v>
      </c>
      <c r="M17" s="16">
        <v>0</v>
      </c>
      <c r="N17" s="3">
        <v>0</v>
      </c>
      <c r="O17" s="16">
        <v>0</v>
      </c>
      <c r="P17" s="3">
        <v>0</v>
      </c>
      <c r="Q17" s="16">
        <v>0</v>
      </c>
      <c r="R17" s="3">
        <v>0</v>
      </c>
      <c r="S17" s="16">
        <v>0</v>
      </c>
      <c r="T17" s="3">
        <v>0</v>
      </c>
      <c r="U17" s="16">
        <v>0</v>
      </c>
      <c r="V17" s="3">
        <v>0</v>
      </c>
      <c r="W17" s="16">
        <v>0</v>
      </c>
      <c r="X17" s="3">
        <v>0</v>
      </c>
      <c r="Y17" s="16">
        <v>0</v>
      </c>
      <c r="Z17" s="3">
        <v>0</v>
      </c>
      <c r="AA17" s="16">
        <v>0</v>
      </c>
      <c r="AB17" s="3">
        <v>0</v>
      </c>
      <c r="AC17" s="16">
        <v>0</v>
      </c>
      <c r="AD17" s="3">
        <v>0</v>
      </c>
      <c r="AE17" s="16">
        <v>0</v>
      </c>
      <c r="AF17" s="3">
        <v>0</v>
      </c>
      <c r="AG17" s="16">
        <v>379.428</v>
      </c>
      <c r="AH17" s="3">
        <v>0</v>
      </c>
      <c r="AI17" s="16">
        <v>434.02800000000002</v>
      </c>
      <c r="AJ17" s="3">
        <v>0</v>
      </c>
      <c r="AK17" s="16">
        <v>325.19</v>
      </c>
      <c r="AM17" s="16">
        <v>319</v>
      </c>
      <c r="AN17" s="17"/>
      <c r="AO17" s="16"/>
      <c r="AP17" s="17"/>
      <c r="AQ17" s="16"/>
      <c r="AR17" s="16"/>
      <c r="AS17" s="16"/>
    </row>
    <row r="18" spans="2:45" x14ac:dyDescent="0.25">
      <c r="B18" s="19" t="s">
        <v>8</v>
      </c>
      <c r="C18" s="19" t="s">
        <v>125</v>
      </c>
      <c r="E18" s="26">
        <v>192.24600000000001</v>
      </c>
      <c r="F18" s="3">
        <v>0</v>
      </c>
      <c r="G18" s="26">
        <v>239.363</v>
      </c>
      <c r="H18" s="3">
        <v>0</v>
      </c>
      <c r="I18" s="26">
        <v>197.42699999999999</v>
      </c>
      <c r="J18" s="3">
        <v>0</v>
      </c>
      <c r="K18" s="26">
        <v>232.35499999999999</v>
      </c>
      <c r="L18" s="3">
        <v>0</v>
      </c>
      <c r="M18" s="26">
        <v>233.01</v>
      </c>
      <c r="N18" s="3">
        <v>0</v>
      </c>
      <c r="O18" s="26">
        <v>221.09100000000001</v>
      </c>
      <c r="P18" s="3">
        <v>0</v>
      </c>
      <c r="Q18" s="26">
        <v>248.8</v>
      </c>
      <c r="R18" s="3">
        <v>0</v>
      </c>
      <c r="S18" s="26">
        <v>294.66300000000001</v>
      </c>
      <c r="T18" s="3">
        <v>0</v>
      </c>
      <c r="U18" s="26">
        <v>266.315</v>
      </c>
      <c r="V18" s="3">
        <v>0</v>
      </c>
      <c r="W18" s="26">
        <v>293.72800000000001</v>
      </c>
      <c r="X18" s="3">
        <v>0</v>
      </c>
      <c r="Y18" s="26">
        <v>267.85300000000001</v>
      </c>
      <c r="Z18" s="3">
        <v>0</v>
      </c>
      <c r="AA18" s="26">
        <v>213.37700000000001</v>
      </c>
      <c r="AB18" s="3">
        <v>0</v>
      </c>
      <c r="AC18" s="26">
        <v>524.74900000000002</v>
      </c>
      <c r="AD18" s="3">
        <v>0</v>
      </c>
      <c r="AE18" s="26">
        <v>373.584</v>
      </c>
      <c r="AF18" s="3">
        <v>0</v>
      </c>
      <c r="AG18" s="26">
        <v>309.142</v>
      </c>
      <c r="AH18" s="3">
        <v>0</v>
      </c>
      <c r="AI18" s="26">
        <v>296.899</v>
      </c>
      <c r="AJ18" s="3">
        <v>0</v>
      </c>
      <c r="AK18" s="26">
        <v>347.404</v>
      </c>
      <c r="AM18" s="26">
        <v>405</v>
      </c>
      <c r="AN18" s="20"/>
      <c r="AO18" s="26"/>
      <c r="AP18" s="20"/>
      <c r="AQ18" s="26"/>
      <c r="AR18" s="20"/>
      <c r="AS18" s="26"/>
    </row>
    <row r="19" spans="2:45" ht="5.0999999999999996" customHeight="1" x14ac:dyDescent="0.25">
      <c r="B19" s="25"/>
      <c r="C19" s="25"/>
      <c r="E19" s="1">
        <v>0</v>
      </c>
      <c r="F19" s="3">
        <v>0</v>
      </c>
      <c r="G19" s="1">
        <v>0</v>
      </c>
      <c r="H19" s="3">
        <v>0</v>
      </c>
      <c r="I19" s="1">
        <v>0</v>
      </c>
      <c r="J19" s="3">
        <v>0</v>
      </c>
      <c r="K19" s="1">
        <v>0</v>
      </c>
      <c r="L19" s="3">
        <v>0</v>
      </c>
      <c r="M19" s="1">
        <v>0</v>
      </c>
      <c r="N19" s="3">
        <v>0</v>
      </c>
      <c r="O19" s="1">
        <v>0</v>
      </c>
      <c r="P19" s="3">
        <v>0</v>
      </c>
      <c r="Q19" s="1">
        <v>0</v>
      </c>
      <c r="R19" s="3">
        <v>0</v>
      </c>
      <c r="S19" s="1">
        <v>0</v>
      </c>
      <c r="T19" s="3">
        <v>0</v>
      </c>
      <c r="U19" s="1">
        <v>0</v>
      </c>
      <c r="V19" s="3">
        <v>0</v>
      </c>
      <c r="W19" s="1">
        <v>0</v>
      </c>
      <c r="X19" s="3">
        <v>0</v>
      </c>
      <c r="Y19" s="1">
        <v>0</v>
      </c>
      <c r="Z19" s="3">
        <v>0</v>
      </c>
      <c r="AA19" s="1">
        <v>0</v>
      </c>
      <c r="AB19" s="3">
        <v>0</v>
      </c>
      <c r="AC19" s="1">
        <v>0</v>
      </c>
      <c r="AD19" s="3">
        <v>0</v>
      </c>
      <c r="AE19" s="1">
        <v>0</v>
      </c>
      <c r="AF19" s="3">
        <v>0</v>
      </c>
      <c r="AG19" s="1">
        <v>0</v>
      </c>
      <c r="AH19" s="3">
        <v>0</v>
      </c>
      <c r="AI19" s="1">
        <v>0</v>
      </c>
      <c r="AJ19" s="3">
        <v>0</v>
      </c>
      <c r="AK19" s="1">
        <v>0</v>
      </c>
      <c r="AM19" s="1"/>
      <c r="AN19" s="1"/>
      <c r="AO19" s="1"/>
      <c r="AP19" s="1"/>
      <c r="AQ19" s="1"/>
      <c r="AR19" s="1"/>
      <c r="AS19" s="1"/>
    </row>
    <row r="20" spans="2:45" x14ac:dyDescent="0.25">
      <c r="B20" s="27"/>
      <c r="C20" s="27"/>
      <c r="E20" s="28">
        <f>SUM(E9:E18)</f>
        <v>8119.4169999999995</v>
      </c>
      <c r="F20" s="3">
        <v>0</v>
      </c>
      <c r="G20" s="28">
        <f>SUM(G9:G18)</f>
        <v>8252.7520000000004</v>
      </c>
      <c r="H20" s="3">
        <v>0</v>
      </c>
      <c r="I20" s="28">
        <f>SUM(I9:I18)</f>
        <v>8702.8190000000013</v>
      </c>
      <c r="J20" s="3">
        <v>0</v>
      </c>
      <c r="K20" s="28">
        <f>SUM(K9:K18)</f>
        <v>11193.268</v>
      </c>
      <c r="L20" s="3">
        <v>0</v>
      </c>
      <c r="M20" s="28">
        <f>SUM(M9:M18)</f>
        <v>10878.366</v>
      </c>
      <c r="N20" s="3">
        <v>0</v>
      </c>
      <c r="O20" s="28">
        <f>SUM(O9:O18)</f>
        <v>9239.478000000001</v>
      </c>
      <c r="P20" s="3">
        <v>0</v>
      </c>
      <c r="Q20" s="28">
        <f>SUM(Q9:Q18)</f>
        <v>11081.672999999999</v>
      </c>
      <c r="R20" s="3">
        <v>0</v>
      </c>
      <c r="S20" s="28">
        <f>SUM(S9:S18)</f>
        <v>11119.083999999999</v>
      </c>
      <c r="T20" s="3">
        <v>0</v>
      </c>
      <c r="U20" s="28">
        <f>SUM(U9:U18)</f>
        <v>10536.027999999998</v>
      </c>
      <c r="V20" s="3">
        <v>0</v>
      </c>
      <c r="W20" s="28">
        <f>SUM(W9:W18)</f>
        <v>9842.2980000000007</v>
      </c>
      <c r="X20" s="3">
        <v>0</v>
      </c>
      <c r="Y20" s="28">
        <f>SUM(Y9:Y18)</f>
        <v>9324.1819999999989</v>
      </c>
      <c r="Z20" s="3">
        <v>0</v>
      </c>
      <c r="AA20" s="28">
        <f>SUM(AA9:AA18)</f>
        <v>10753.116000000002</v>
      </c>
      <c r="AB20" s="3">
        <v>0</v>
      </c>
      <c r="AC20" s="28">
        <f>SUM(AC9:AC18)</f>
        <v>11825.324999999999</v>
      </c>
      <c r="AD20" s="3">
        <v>0</v>
      </c>
      <c r="AE20" s="28">
        <f>SUM(AE9:AE18)</f>
        <v>10873.671</v>
      </c>
      <c r="AF20" s="3">
        <v>0</v>
      </c>
      <c r="AG20" s="28">
        <f>SUM(AG9:AG18)</f>
        <v>12738.409999999998</v>
      </c>
      <c r="AH20" s="3">
        <v>0</v>
      </c>
      <c r="AI20" s="28">
        <f>SUM(AI9:AI18)</f>
        <v>12167.422</v>
      </c>
      <c r="AJ20" s="3">
        <v>0</v>
      </c>
      <c r="AK20" s="28">
        <f>SUM(AK9:AK18)</f>
        <v>12009.312000000004</v>
      </c>
      <c r="AM20" s="28">
        <f>SUM(AM9:AM18)</f>
        <v>11410</v>
      </c>
      <c r="AN20" s="13"/>
      <c r="AO20" s="28">
        <f>SUM(AO9:AO18)</f>
        <v>0</v>
      </c>
      <c r="AP20" s="13"/>
      <c r="AQ20" s="28">
        <f>SUM(AQ9:AQ18)</f>
        <v>0</v>
      </c>
      <c r="AR20" s="13"/>
      <c r="AS20" s="28">
        <f>SUM(AS9:AS18)</f>
        <v>0</v>
      </c>
    </row>
    <row r="21" spans="2:45" x14ac:dyDescent="0.25">
      <c r="B21" s="4"/>
      <c r="C21" s="4"/>
      <c r="D21" s="3"/>
      <c r="E21" s="3">
        <v>0</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row>
    <row r="22" spans="2:45" x14ac:dyDescent="0.25">
      <c r="B22" s="9"/>
      <c r="C22" s="9"/>
      <c r="E22" s="16">
        <v>0</v>
      </c>
      <c r="F22" s="3">
        <v>0</v>
      </c>
      <c r="G22" s="16">
        <v>0</v>
      </c>
      <c r="H22" s="3">
        <v>0</v>
      </c>
      <c r="I22" s="16">
        <v>0</v>
      </c>
      <c r="J22" s="3">
        <v>0</v>
      </c>
      <c r="K22" s="16">
        <v>0</v>
      </c>
      <c r="L22" s="3">
        <v>0</v>
      </c>
      <c r="M22" s="16">
        <v>0</v>
      </c>
      <c r="N22" s="3">
        <v>0</v>
      </c>
      <c r="O22" s="16">
        <v>0</v>
      </c>
      <c r="P22" s="3">
        <v>0</v>
      </c>
      <c r="Q22" s="16">
        <v>0</v>
      </c>
      <c r="R22" s="3">
        <v>0</v>
      </c>
      <c r="S22" s="16">
        <v>0</v>
      </c>
      <c r="T22" s="3">
        <v>0</v>
      </c>
      <c r="U22" s="16">
        <v>0</v>
      </c>
      <c r="V22" s="3">
        <v>0</v>
      </c>
      <c r="W22" s="16">
        <v>0</v>
      </c>
      <c r="X22" s="3">
        <v>0</v>
      </c>
      <c r="Y22" s="16">
        <v>0</v>
      </c>
      <c r="Z22" s="3">
        <v>0</v>
      </c>
      <c r="AA22" s="16">
        <v>0</v>
      </c>
      <c r="AB22" s="3">
        <v>0</v>
      </c>
      <c r="AC22" s="16">
        <v>0</v>
      </c>
      <c r="AD22" s="3">
        <v>0</v>
      </c>
      <c r="AE22" s="16">
        <v>0</v>
      </c>
      <c r="AF22" s="3">
        <v>0</v>
      </c>
      <c r="AG22" s="16">
        <v>0</v>
      </c>
      <c r="AH22" s="3">
        <v>0</v>
      </c>
      <c r="AI22" s="16">
        <v>0</v>
      </c>
      <c r="AJ22" s="3">
        <v>0</v>
      </c>
      <c r="AK22" s="16">
        <v>0</v>
      </c>
      <c r="AM22" s="16"/>
      <c r="AN22" s="16"/>
      <c r="AO22" s="16"/>
      <c r="AP22" s="16"/>
      <c r="AQ22" s="16"/>
      <c r="AR22" s="16"/>
      <c r="AS22" s="16"/>
    </row>
    <row r="23" spans="2:45" x14ac:dyDescent="0.25">
      <c r="B23" s="19" t="s">
        <v>9</v>
      </c>
      <c r="C23" s="19" t="s">
        <v>126</v>
      </c>
      <c r="E23" s="26">
        <v>6.2560000000000002</v>
      </c>
      <c r="F23" s="3">
        <v>0</v>
      </c>
      <c r="G23" s="26">
        <v>3.0859999999999999</v>
      </c>
      <c r="H23" s="3">
        <v>0</v>
      </c>
      <c r="I23" s="26">
        <v>3.0840000000000001</v>
      </c>
      <c r="J23" s="3">
        <v>0</v>
      </c>
      <c r="K23" s="26">
        <v>34.113999999999997</v>
      </c>
      <c r="L23" s="3">
        <v>0</v>
      </c>
      <c r="M23" s="26">
        <v>25.154</v>
      </c>
      <c r="N23" s="3">
        <v>0</v>
      </c>
      <c r="O23" s="26">
        <v>25.826000000000001</v>
      </c>
      <c r="P23" s="3">
        <v>0</v>
      </c>
      <c r="Q23" s="26">
        <v>2.1160000000000001</v>
      </c>
      <c r="R23" s="3">
        <v>0</v>
      </c>
      <c r="S23" s="26">
        <v>2.1160000000000001</v>
      </c>
      <c r="T23" s="3">
        <v>0</v>
      </c>
      <c r="U23" s="26">
        <v>2.1160000000000001</v>
      </c>
      <c r="V23" s="3">
        <v>0</v>
      </c>
      <c r="W23" s="26">
        <v>2.1160000000000001</v>
      </c>
      <c r="X23" s="3">
        <v>0</v>
      </c>
      <c r="Y23" s="26">
        <v>5.7519999999999998</v>
      </c>
      <c r="Z23" s="3">
        <v>0</v>
      </c>
      <c r="AA23" s="26">
        <v>5.8090000000000002</v>
      </c>
      <c r="AB23" s="3">
        <v>0</v>
      </c>
      <c r="AC23" s="26">
        <v>10.206</v>
      </c>
      <c r="AD23" s="3">
        <v>0</v>
      </c>
      <c r="AE23" s="26">
        <v>10.821</v>
      </c>
      <c r="AF23" s="3">
        <v>0</v>
      </c>
      <c r="AG23" s="26">
        <v>11.362</v>
      </c>
      <c r="AH23" s="3">
        <v>0</v>
      </c>
      <c r="AI23" s="26">
        <v>1718.3530000000001</v>
      </c>
      <c r="AJ23" s="3">
        <v>0</v>
      </c>
      <c r="AK23" s="26">
        <v>1972.585</v>
      </c>
      <c r="AM23" s="26">
        <v>1147</v>
      </c>
      <c r="AN23" s="20"/>
      <c r="AO23" s="26"/>
      <c r="AP23" s="20"/>
      <c r="AQ23" s="26"/>
      <c r="AR23" s="20"/>
      <c r="AS23" s="26"/>
    </row>
    <row r="24" spans="2:45" x14ac:dyDescent="0.25">
      <c r="B24" s="29"/>
      <c r="C24" s="29"/>
      <c r="D24" s="3"/>
      <c r="E24" s="16">
        <v>0</v>
      </c>
      <c r="F24" s="3">
        <v>0</v>
      </c>
      <c r="G24" s="16">
        <v>0</v>
      </c>
      <c r="H24" s="3">
        <v>0</v>
      </c>
      <c r="I24" s="16">
        <v>0</v>
      </c>
      <c r="J24" s="3">
        <v>0</v>
      </c>
      <c r="K24" s="16">
        <v>0</v>
      </c>
      <c r="L24" s="3">
        <v>0</v>
      </c>
      <c r="M24" s="16">
        <v>0</v>
      </c>
      <c r="N24" s="3">
        <v>0</v>
      </c>
      <c r="O24" s="16">
        <v>0</v>
      </c>
      <c r="P24" s="3">
        <v>0</v>
      </c>
      <c r="Q24" s="16">
        <v>0</v>
      </c>
      <c r="R24" s="3">
        <v>0</v>
      </c>
      <c r="S24" s="16">
        <v>0</v>
      </c>
      <c r="T24" s="3">
        <v>0</v>
      </c>
      <c r="U24" s="16">
        <v>0</v>
      </c>
      <c r="V24" s="3">
        <v>0</v>
      </c>
      <c r="W24" s="16">
        <v>0</v>
      </c>
      <c r="X24" s="3">
        <v>0</v>
      </c>
      <c r="Y24" s="16">
        <v>0</v>
      </c>
      <c r="Z24" s="3">
        <v>0</v>
      </c>
      <c r="AA24" s="16">
        <v>0</v>
      </c>
      <c r="AB24" s="3">
        <v>0</v>
      </c>
      <c r="AC24" s="16">
        <v>0</v>
      </c>
      <c r="AD24" s="3">
        <v>0</v>
      </c>
      <c r="AE24" s="16">
        <v>0</v>
      </c>
      <c r="AF24" s="3">
        <v>0</v>
      </c>
      <c r="AG24" s="16">
        <v>0</v>
      </c>
      <c r="AH24" s="3">
        <v>0</v>
      </c>
      <c r="AI24" s="16">
        <v>0</v>
      </c>
      <c r="AJ24" s="3">
        <v>0</v>
      </c>
      <c r="AK24" s="16">
        <v>0</v>
      </c>
      <c r="AM24" s="16"/>
      <c r="AN24" s="17"/>
      <c r="AO24" s="16"/>
      <c r="AP24" s="17"/>
      <c r="AQ24" s="16"/>
      <c r="AR24" s="17"/>
      <c r="AS24" s="16"/>
    </row>
    <row r="25" spans="2:45" x14ac:dyDescent="0.25">
      <c r="B25" s="7" t="s">
        <v>51</v>
      </c>
      <c r="C25" s="7" t="s">
        <v>127</v>
      </c>
      <c r="E25" s="31">
        <f>(SUM(E20,E23))</f>
        <v>8125.6729999999998</v>
      </c>
      <c r="F25" s="3">
        <v>0</v>
      </c>
      <c r="G25" s="31">
        <f t="shared" ref="G25:AL25" si="0">(SUM(G20,G23))</f>
        <v>8255.8379999999997</v>
      </c>
      <c r="H25" s="3">
        <v>0</v>
      </c>
      <c r="I25" s="31">
        <f t="shared" ref="I25:AL25" si="1">(SUM(I20,I23))</f>
        <v>8705.9030000000021</v>
      </c>
      <c r="J25" s="3">
        <v>0</v>
      </c>
      <c r="K25" s="31">
        <f t="shared" ref="K25:AL25" si="2">(SUM(K20,K23))</f>
        <v>11227.382</v>
      </c>
      <c r="L25" s="3">
        <v>0</v>
      </c>
      <c r="M25" s="31">
        <f t="shared" ref="M25:AL25" si="3">(SUM(M20,M23))</f>
        <v>10903.52</v>
      </c>
      <c r="N25" s="3">
        <v>0</v>
      </c>
      <c r="O25" s="31">
        <f t="shared" ref="O25:AL25" si="4">(SUM(O20,O23))</f>
        <v>9265.3040000000001</v>
      </c>
      <c r="P25" s="3">
        <v>0</v>
      </c>
      <c r="Q25" s="31">
        <f t="shared" ref="Q25:AL25" si="5">(SUM(Q20,Q23))</f>
        <v>11083.788999999999</v>
      </c>
      <c r="R25" s="3">
        <v>0</v>
      </c>
      <c r="S25" s="31">
        <f t="shared" ref="S25:AL25" si="6">(SUM(S20,S23))</f>
        <v>11121.199999999999</v>
      </c>
      <c r="T25" s="3">
        <v>0</v>
      </c>
      <c r="U25" s="31">
        <f t="shared" ref="U25:AL25" si="7">(SUM(U20,U23))</f>
        <v>10538.143999999998</v>
      </c>
      <c r="V25" s="3">
        <v>0</v>
      </c>
      <c r="W25" s="31">
        <f t="shared" ref="W25:AL25" si="8">(SUM(W20,W23))</f>
        <v>9844.4140000000007</v>
      </c>
      <c r="X25" s="3">
        <v>0</v>
      </c>
      <c r="Y25" s="31">
        <f t="shared" ref="Y25:AL25" si="9">(SUM(Y20,Y23))</f>
        <v>9329.9339999999993</v>
      </c>
      <c r="Z25" s="3">
        <v>0</v>
      </c>
      <c r="AA25" s="31">
        <f t="shared" ref="AA25:AL25" si="10">(SUM(AA20,AA23))</f>
        <v>10758.925000000001</v>
      </c>
      <c r="AB25" s="3">
        <v>0</v>
      </c>
      <c r="AC25" s="31">
        <f t="shared" ref="AC25:AL25" si="11">(SUM(AC20,AC23))</f>
        <v>11835.530999999999</v>
      </c>
      <c r="AD25" s="3">
        <v>0</v>
      </c>
      <c r="AE25" s="31">
        <f t="shared" ref="AE25:AL25" si="12">(SUM(AE20,AE23))</f>
        <v>10884.492</v>
      </c>
      <c r="AF25" s="3">
        <v>0</v>
      </c>
      <c r="AG25" s="31">
        <f t="shared" ref="AG25:AL25" si="13">(SUM(AG20,AG23))</f>
        <v>12749.771999999997</v>
      </c>
      <c r="AH25" s="3">
        <v>0</v>
      </c>
      <c r="AI25" s="31">
        <f t="shared" ref="AI25:AL25" si="14">(SUM(AI20,AI23))</f>
        <v>13885.775000000001</v>
      </c>
      <c r="AJ25" s="3">
        <v>0</v>
      </c>
      <c r="AK25" s="31">
        <f t="shared" ref="AK25:AL25" si="15">(SUM(AK20,AK23))</f>
        <v>13981.897000000004</v>
      </c>
      <c r="AL25" s="3">
        <v>0</v>
      </c>
      <c r="AM25" s="31">
        <f>SUM(AM20,AM23)</f>
        <v>12557</v>
      </c>
      <c r="AN25" s="32"/>
      <c r="AO25" s="31">
        <f>SUM(AO20,AO23)</f>
        <v>0</v>
      </c>
      <c r="AP25" s="32"/>
      <c r="AQ25" s="31">
        <f>SUM(AQ20,AQ23)</f>
        <v>0</v>
      </c>
      <c r="AR25" s="32"/>
      <c r="AS25" s="31">
        <f>SUM(AS20,AS23)</f>
        <v>0</v>
      </c>
    </row>
    <row r="26" spans="2:45" x14ac:dyDescent="0.25">
      <c r="B26" s="29"/>
      <c r="C26" s="29"/>
      <c r="D26" s="3"/>
      <c r="E26" s="16">
        <v>0</v>
      </c>
      <c r="F26" s="3">
        <v>0</v>
      </c>
      <c r="G26" s="16">
        <v>0</v>
      </c>
      <c r="H26" s="3">
        <v>0</v>
      </c>
      <c r="I26" s="16">
        <v>0</v>
      </c>
      <c r="J26" s="3">
        <v>0</v>
      </c>
      <c r="K26" s="16">
        <v>0</v>
      </c>
      <c r="L26" s="3">
        <v>0</v>
      </c>
      <c r="M26" s="16">
        <v>0</v>
      </c>
      <c r="N26" s="3">
        <v>0</v>
      </c>
      <c r="O26" s="16">
        <v>0</v>
      </c>
      <c r="P26" s="3">
        <v>0</v>
      </c>
      <c r="Q26" s="16">
        <v>0</v>
      </c>
      <c r="R26" s="3">
        <v>0</v>
      </c>
      <c r="S26" s="16">
        <v>0</v>
      </c>
      <c r="T26" s="3">
        <v>0</v>
      </c>
      <c r="U26" s="16">
        <v>0</v>
      </c>
      <c r="V26" s="3">
        <v>0</v>
      </c>
      <c r="W26" s="16">
        <v>0</v>
      </c>
      <c r="X26" s="3">
        <v>0</v>
      </c>
      <c r="Y26" s="16">
        <v>0</v>
      </c>
      <c r="Z26" s="3">
        <v>0</v>
      </c>
      <c r="AA26" s="16">
        <v>0</v>
      </c>
      <c r="AB26" s="3">
        <v>0</v>
      </c>
      <c r="AC26" s="16">
        <v>0</v>
      </c>
      <c r="AD26" s="3">
        <v>0</v>
      </c>
      <c r="AE26" s="16">
        <v>0</v>
      </c>
      <c r="AF26" s="3">
        <v>0</v>
      </c>
      <c r="AG26" s="16">
        <v>0</v>
      </c>
      <c r="AH26" s="3">
        <v>0</v>
      </c>
      <c r="AI26" s="16">
        <v>0</v>
      </c>
      <c r="AJ26" s="3">
        <v>0</v>
      </c>
      <c r="AK26" s="16">
        <v>0</v>
      </c>
      <c r="AM26" s="16"/>
      <c r="AN26" s="16"/>
      <c r="AO26" s="16"/>
      <c r="AP26" s="16"/>
      <c r="AQ26" s="16"/>
      <c r="AR26" s="16"/>
      <c r="AS26" s="16"/>
    </row>
    <row r="27" spans="2:45" x14ac:dyDescent="0.25">
      <c r="B27" s="7" t="s">
        <v>10</v>
      </c>
      <c r="C27" s="7" t="s">
        <v>128</v>
      </c>
      <c r="E27" s="1">
        <v>0</v>
      </c>
      <c r="F27" s="3">
        <v>0</v>
      </c>
      <c r="G27" s="1">
        <v>0</v>
      </c>
      <c r="H27" s="3">
        <v>0</v>
      </c>
      <c r="I27" s="1">
        <v>0</v>
      </c>
      <c r="J27" s="3">
        <v>0</v>
      </c>
      <c r="K27" s="1">
        <v>0</v>
      </c>
      <c r="L27" s="3">
        <v>0</v>
      </c>
      <c r="M27" s="1">
        <v>0</v>
      </c>
      <c r="N27" s="3">
        <v>0</v>
      </c>
      <c r="O27" s="1">
        <v>0</v>
      </c>
      <c r="P27" s="3">
        <v>0</v>
      </c>
      <c r="Q27" s="1">
        <v>0</v>
      </c>
      <c r="R27" s="3">
        <v>0</v>
      </c>
      <c r="S27" s="1">
        <v>0</v>
      </c>
      <c r="T27" s="3">
        <v>0</v>
      </c>
      <c r="U27" s="1">
        <v>0</v>
      </c>
      <c r="V27" s="3">
        <v>0</v>
      </c>
      <c r="W27" s="1">
        <v>0</v>
      </c>
      <c r="X27" s="3">
        <v>0</v>
      </c>
      <c r="Y27" s="1">
        <v>0</v>
      </c>
      <c r="Z27" s="3">
        <v>0</v>
      </c>
      <c r="AA27" s="1">
        <v>0</v>
      </c>
      <c r="AB27" s="3">
        <v>0</v>
      </c>
      <c r="AC27" s="1">
        <v>0</v>
      </c>
      <c r="AD27" s="3">
        <v>0</v>
      </c>
      <c r="AE27" s="1">
        <v>0</v>
      </c>
      <c r="AF27" s="3">
        <v>0</v>
      </c>
      <c r="AG27" s="1">
        <v>0</v>
      </c>
      <c r="AH27" s="3">
        <v>0</v>
      </c>
      <c r="AI27" s="1">
        <v>0</v>
      </c>
      <c r="AJ27" s="3">
        <v>0</v>
      </c>
      <c r="AK27" s="1">
        <v>0</v>
      </c>
      <c r="AM27" s="1"/>
      <c r="AN27" s="1"/>
      <c r="AO27" s="1"/>
      <c r="AP27" s="1"/>
      <c r="AQ27" s="1"/>
      <c r="AR27" s="1"/>
      <c r="AS27" s="1"/>
    </row>
    <row r="28" spans="2:45" x14ac:dyDescent="0.25">
      <c r="B28" s="9" t="s">
        <v>53</v>
      </c>
      <c r="C28" s="9" t="s">
        <v>129</v>
      </c>
      <c r="E28" s="13">
        <v>0</v>
      </c>
      <c r="F28" s="3">
        <v>0</v>
      </c>
      <c r="G28" s="13">
        <v>0</v>
      </c>
      <c r="H28" s="3">
        <v>0</v>
      </c>
      <c r="I28" s="13">
        <v>0</v>
      </c>
      <c r="J28" s="3">
        <v>0</v>
      </c>
      <c r="K28" s="13">
        <v>0</v>
      </c>
      <c r="L28" s="3">
        <v>0</v>
      </c>
      <c r="M28" s="13">
        <v>0</v>
      </c>
      <c r="N28" s="3">
        <v>0</v>
      </c>
      <c r="O28" s="13">
        <v>0</v>
      </c>
      <c r="P28" s="3">
        <v>0</v>
      </c>
      <c r="Q28" s="13">
        <v>0</v>
      </c>
      <c r="R28" s="3">
        <v>0</v>
      </c>
      <c r="S28" s="13">
        <v>0</v>
      </c>
      <c r="T28" s="3">
        <v>0</v>
      </c>
      <c r="U28" s="13">
        <v>0</v>
      </c>
      <c r="V28" s="3">
        <v>0</v>
      </c>
      <c r="W28" s="13">
        <v>0</v>
      </c>
      <c r="X28" s="3">
        <v>0</v>
      </c>
      <c r="Y28" s="13">
        <v>0</v>
      </c>
      <c r="Z28" s="3">
        <v>0</v>
      </c>
      <c r="AA28" s="13">
        <v>0</v>
      </c>
      <c r="AB28" s="3">
        <v>0</v>
      </c>
      <c r="AC28" s="13">
        <v>0</v>
      </c>
      <c r="AD28" s="3">
        <v>0</v>
      </c>
      <c r="AE28" s="13">
        <v>0</v>
      </c>
      <c r="AF28" s="3">
        <v>0</v>
      </c>
      <c r="AG28" s="13">
        <v>0</v>
      </c>
      <c r="AH28" s="3">
        <v>0</v>
      </c>
      <c r="AI28" s="13">
        <v>0</v>
      </c>
      <c r="AJ28" s="3">
        <v>0</v>
      </c>
      <c r="AK28" s="13">
        <v>0</v>
      </c>
      <c r="AM28" s="13">
        <v>0</v>
      </c>
      <c r="AN28" s="13"/>
      <c r="AO28" s="13"/>
      <c r="AP28" s="13"/>
      <c r="AQ28" s="13"/>
      <c r="AR28" s="13"/>
      <c r="AS28" s="13"/>
    </row>
    <row r="29" spans="2:45" x14ac:dyDescent="0.25">
      <c r="B29" s="19" t="s">
        <v>60</v>
      </c>
      <c r="C29" s="19" t="s">
        <v>119</v>
      </c>
      <c r="E29" s="3">
        <v>20.097000000000001</v>
      </c>
      <c r="F29" s="3">
        <v>0</v>
      </c>
      <c r="G29" s="3">
        <v>20.175999999999998</v>
      </c>
      <c r="H29" s="3">
        <v>0</v>
      </c>
      <c r="I29" s="3">
        <v>10.147</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N29" s="20"/>
      <c r="AP29" s="20"/>
      <c r="AQ29" s="3">
        <v>0</v>
      </c>
      <c r="AR29" s="20"/>
    </row>
    <row r="30" spans="2:45" x14ac:dyDescent="0.25">
      <c r="B30" s="15" t="s">
        <v>4</v>
      </c>
      <c r="C30" s="15" t="s">
        <v>120</v>
      </c>
      <c r="E30" s="16">
        <v>966.447</v>
      </c>
      <c r="F30" s="3">
        <v>0</v>
      </c>
      <c r="G30" s="16">
        <v>767.95600000000002</v>
      </c>
      <c r="H30" s="3">
        <v>0</v>
      </c>
      <c r="I30" s="16">
        <v>559.65800000000002</v>
      </c>
      <c r="J30" s="3">
        <v>0</v>
      </c>
      <c r="K30" s="16">
        <v>961.03200000000004</v>
      </c>
      <c r="L30" s="3">
        <v>0</v>
      </c>
      <c r="M30" s="16">
        <v>817.91200000000003</v>
      </c>
      <c r="N30" s="3">
        <v>0</v>
      </c>
      <c r="O30" s="16">
        <v>553.79399999999998</v>
      </c>
      <c r="P30" s="3">
        <v>0</v>
      </c>
      <c r="Q30" s="16">
        <v>723.62300000000005</v>
      </c>
      <c r="R30" s="3">
        <v>0</v>
      </c>
      <c r="S30" s="16">
        <v>695.62800000000004</v>
      </c>
      <c r="T30" s="3">
        <v>0</v>
      </c>
      <c r="U30" s="16">
        <v>708.6</v>
      </c>
      <c r="V30" s="3">
        <v>0</v>
      </c>
      <c r="W30" s="16">
        <v>645.26800000000003</v>
      </c>
      <c r="X30" s="3">
        <v>0</v>
      </c>
      <c r="Y30" s="16">
        <v>451.37400000000002</v>
      </c>
      <c r="Z30" s="3">
        <v>0</v>
      </c>
      <c r="AA30" s="16">
        <v>569.13699999999994</v>
      </c>
      <c r="AB30" s="3">
        <v>0</v>
      </c>
      <c r="AC30" s="16">
        <v>612.19399999999996</v>
      </c>
      <c r="AD30" s="3">
        <v>0</v>
      </c>
      <c r="AE30" s="16">
        <v>641.98599999999999</v>
      </c>
      <c r="AF30" s="3">
        <v>0</v>
      </c>
      <c r="AG30" s="16">
        <v>895.33399999999995</v>
      </c>
      <c r="AH30" s="3">
        <v>0</v>
      </c>
      <c r="AI30" s="16">
        <v>669.17100000000005</v>
      </c>
      <c r="AJ30" s="3">
        <v>0</v>
      </c>
      <c r="AK30" s="16">
        <v>875.673</v>
      </c>
      <c r="AM30" s="16">
        <v>768</v>
      </c>
      <c r="AN30" s="17"/>
      <c r="AO30" s="16"/>
      <c r="AP30" s="17"/>
      <c r="AQ30" s="16"/>
      <c r="AR30" s="17"/>
      <c r="AS30" s="16"/>
    </row>
    <row r="31" spans="2:45" x14ac:dyDescent="0.25">
      <c r="B31" s="19" t="s">
        <v>7</v>
      </c>
      <c r="C31" s="19" t="s">
        <v>123</v>
      </c>
      <c r="E31" s="35">
        <v>768.51400000000001</v>
      </c>
      <c r="F31" s="3">
        <v>0</v>
      </c>
      <c r="G31" s="35">
        <v>737.94200000000001</v>
      </c>
      <c r="H31" s="3">
        <v>0</v>
      </c>
      <c r="I31" s="35">
        <v>1256.537</v>
      </c>
      <c r="J31" s="3">
        <v>0</v>
      </c>
      <c r="K31" s="35">
        <v>182.23099999999999</v>
      </c>
      <c r="L31" s="3">
        <v>0</v>
      </c>
      <c r="M31" s="35">
        <v>179.73</v>
      </c>
      <c r="N31" s="3">
        <v>0</v>
      </c>
      <c r="O31" s="35">
        <v>162.816</v>
      </c>
      <c r="P31" s="3">
        <v>0</v>
      </c>
      <c r="Q31" s="35">
        <v>177.87299999999999</v>
      </c>
      <c r="R31" s="3">
        <v>0</v>
      </c>
      <c r="S31" s="35">
        <v>218.60400000000001</v>
      </c>
      <c r="T31" s="3">
        <v>0</v>
      </c>
      <c r="U31" s="35">
        <v>197.816</v>
      </c>
      <c r="V31" s="3">
        <v>0</v>
      </c>
      <c r="W31" s="35">
        <v>191.035</v>
      </c>
      <c r="X31" s="3">
        <v>0</v>
      </c>
      <c r="Y31" s="35">
        <v>183.899</v>
      </c>
      <c r="Z31" s="3">
        <v>0</v>
      </c>
      <c r="AA31" s="35">
        <v>178.691</v>
      </c>
      <c r="AB31" s="3">
        <v>0</v>
      </c>
      <c r="AC31" s="35">
        <v>177.21700000000001</v>
      </c>
      <c r="AD31" s="3">
        <v>0</v>
      </c>
      <c r="AE31" s="35">
        <v>177.679</v>
      </c>
      <c r="AF31" s="3">
        <v>0</v>
      </c>
      <c r="AG31" s="35">
        <v>190.83</v>
      </c>
      <c r="AH31" s="3">
        <v>0</v>
      </c>
      <c r="AI31" s="35">
        <v>200.875</v>
      </c>
      <c r="AJ31" s="3">
        <v>0</v>
      </c>
      <c r="AK31" s="35">
        <v>218.77500000000001</v>
      </c>
      <c r="AM31" s="35">
        <v>222</v>
      </c>
      <c r="AN31" s="20"/>
      <c r="AO31" s="35"/>
      <c r="AP31" s="20"/>
      <c r="AQ31" s="35"/>
      <c r="AR31" s="20"/>
      <c r="AS31" s="35"/>
    </row>
    <row r="32" spans="2:45" ht="24.75" x14ac:dyDescent="0.25">
      <c r="B32" s="15" t="s">
        <v>61</v>
      </c>
      <c r="C32" s="15" t="s">
        <v>124</v>
      </c>
      <c r="E32" s="16">
        <v>642.32500000000005</v>
      </c>
      <c r="F32" s="3">
        <v>0</v>
      </c>
      <c r="G32" s="16">
        <v>642.32500000000005</v>
      </c>
      <c r="H32" s="3">
        <v>0</v>
      </c>
      <c r="I32" s="16">
        <v>642.32500000000005</v>
      </c>
      <c r="J32" s="3">
        <v>0</v>
      </c>
      <c r="K32" s="16">
        <v>642.32500000000005</v>
      </c>
      <c r="L32" s="3">
        <v>0</v>
      </c>
      <c r="M32" s="16">
        <v>587.077</v>
      </c>
      <c r="N32" s="3">
        <v>0</v>
      </c>
      <c r="O32" s="16">
        <v>587.077</v>
      </c>
      <c r="P32" s="3">
        <v>0</v>
      </c>
      <c r="Q32" s="16">
        <v>596.91600000000005</v>
      </c>
      <c r="R32" s="3">
        <v>0</v>
      </c>
      <c r="S32" s="16">
        <v>426.17500000000001</v>
      </c>
      <c r="T32" s="3">
        <v>0</v>
      </c>
      <c r="U32" s="16">
        <v>410.87799999999999</v>
      </c>
      <c r="V32" s="3">
        <v>0</v>
      </c>
      <c r="W32" s="16">
        <v>410.81299999999999</v>
      </c>
      <c r="X32" s="3">
        <v>0</v>
      </c>
      <c r="Y32" s="16">
        <v>507.37200000000001</v>
      </c>
      <c r="Z32" s="3">
        <v>0</v>
      </c>
      <c r="AA32" s="16">
        <v>502.38200000000001</v>
      </c>
      <c r="AB32" s="3">
        <v>0</v>
      </c>
      <c r="AC32" s="16">
        <v>510.24900000000002</v>
      </c>
      <c r="AD32" s="3">
        <v>0</v>
      </c>
      <c r="AE32" s="16">
        <v>439.12700000000001</v>
      </c>
      <c r="AF32" s="3">
        <v>0</v>
      </c>
      <c r="AG32" s="16">
        <v>439.90600000000001</v>
      </c>
      <c r="AH32" s="3">
        <v>0</v>
      </c>
      <c r="AI32" s="16">
        <v>398.291</v>
      </c>
      <c r="AJ32" s="3">
        <v>0</v>
      </c>
      <c r="AK32" s="16">
        <v>395.387</v>
      </c>
      <c r="AM32" s="16">
        <v>395</v>
      </c>
      <c r="AN32" s="17"/>
      <c r="AO32" s="16"/>
      <c r="AP32" s="17"/>
      <c r="AQ32" s="16"/>
      <c r="AR32" s="17"/>
      <c r="AS32" s="16"/>
    </row>
    <row r="33" spans="2:45" x14ac:dyDescent="0.25">
      <c r="B33" s="19" t="s">
        <v>62</v>
      </c>
      <c r="C33" s="19" t="s">
        <v>130</v>
      </c>
      <c r="D33" s="3"/>
      <c r="E33" s="3">
        <v>278.34699999999998</v>
      </c>
      <c r="F33" s="3">
        <v>0</v>
      </c>
      <c r="G33" s="3">
        <v>279.12299999999999</v>
      </c>
      <c r="H33" s="3">
        <v>0</v>
      </c>
      <c r="I33" s="3">
        <v>886.28</v>
      </c>
      <c r="J33" s="3">
        <v>0</v>
      </c>
      <c r="K33" s="3">
        <v>1014.072</v>
      </c>
      <c r="L33" s="3">
        <v>0</v>
      </c>
      <c r="M33" s="3">
        <v>912.38199999999995</v>
      </c>
      <c r="N33" s="3">
        <v>0</v>
      </c>
      <c r="O33" s="3">
        <v>791.279</v>
      </c>
      <c r="P33" s="3">
        <v>0</v>
      </c>
      <c r="Q33" s="3">
        <v>721.23500000000001</v>
      </c>
      <c r="R33" s="3">
        <v>0</v>
      </c>
      <c r="S33" s="3">
        <v>326.88900000000001</v>
      </c>
      <c r="T33" s="3">
        <v>0</v>
      </c>
      <c r="U33" s="3">
        <v>435.88400000000001</v>
      </c>
      <c r="V33" s="3">
        <v>0</v>
      </c>
      <c r="W33" s="3">
        <v>441.19</v>
      </c>
      <c r="X33" s="3">
        <v>0</v>
      </c>
      <c r="Y33" s="3">
        <v>378.40800000000002</v>
      </c>
      <c r="Z33" s="3">
        <v>0</v>
      </c>
      <c r="AA33" s="3">
        <v>347.51499999999999</v>
      </c>
      <c r="AB33" s="3">
        <v>0</v>
      </c>
      <c r="AC33" s="3">
        <v>802.04</v>
      </c>
      <c r="AD33" s="3">
        <v>0</v>
      </c>
      <c r="AE33" s="3">
        <v>854.78099999999995</v>
      </c>
      <c r="AF33" s="3">
        <v>0</v>
      </c>
      <c r="AG33" s="3">
        <v>914.11199999999997</v>
      </c>
      <c r="AH33" s="3">
        <v>0</v>
      </c>
      <c r="AI33" s="3">
        <v>756.02200000000005</v>
      </c>
      <c r="AJ33" s="3">
        <v>0</v>
      </c>
      <c r="AK33" s="3">
        <v>846.36599999999999</v>
      </c>
      <c r="AM33" s="3">
        <v>850</v>
      </c>
      <c r="AN33" s="20"/>
      <c r="AP33" s="20"/>
      <c r="AR33" s="20"/>
    </row>
    <row r="34" spans="2:45" x14ac:dyDescent="0.25">
      <c r="B34" s="15" t="s">
        <v>63</v>
      </c>
      <c r="C34" s="15" t="s">
        <v>131</v>
      </c>
      <c r="E34" s="16">
        <v>3.7480000000000002</v>
      </c>
      <c r="F34" s="3">
        <v>0</v>
      </c>
      <c r="G34" s="16">
        <v>7.157</v>
      </c>
      <c r="H34" s="3">
        <v>0</v>
      </c>
      <c r="I34" s="16">
        <v>8.3439999999999994</v>
      </c>
      <c r="J34" s="3">
        <v>0</v>
      </c>
      <c r="K34" s="16">
        <v>6.0419999999999998</v>
      </c>
      <c r="L34" s="3">
        <v>0</v>
      </c>
      <c r="M34" s="16">
        <v>3.7389999999999999</v>
      </c>
      <c r="N34" s="3">
        <v>0</v>
      </c>
      <c r="O34" s="16">
        <v>35.524999999999999</v>
      </c>
      <c r="P34" s="3">
        <v>0</v>
      </c>
      <c r="Q34" s="16">
        <v>37.371000000000002</v>
      </c>
      <c r="R34" s="3">
        <v>0</v>
      </c>
      <c r="S34" s="16">
        <v>44.536999999999999</v>
      </c>
      <c r="T34" s="3">
        <v>0</v>
      </c>
      <c r="U34" s="16">
        <v>45.698999999999998</v>
      </c>
      <c r="V34" s="3">
        <v>0</v>
      </c>
      <c r="W34" s="16">
        <v>41.628999999999998</v>
      </c>
      <c r="X34" s="3">
        <v>0</v>
      </c>
      <c r="Y34" s="16">
        <v>42.674999999999997</v>
      </c>
      <c r="Z34" s="3">
        <v>0</v>
      </c>
      <c r="AA34" s="16">
        <v>41.61</v>
      </c>
      <c r="AB34" s="3">
        <v>0</v>
      </c>
      <c r="AC34" s="16">
        <v>51.904000000000003</v>
      </c>
      <c r="AD34" s="3">
        <v>0</v>
      </c>
      <c r="AE34" s="16">
        <v>52.850999999999999</v>
      </c>
      <c r="AF34" s="3">
        <v>0</v>
      </c>
      <c r="AG34" s="16">
        <v>48.478000000000002</v>
      </c>
      <c r="AH34" s="3">
        <v>0</v>
      </c>
      <c r="AI34" s="16">
        <v>43.091000000000001</v>
      </c>
      <c r="AJ34" s="3">
        <v>0</v>
      </c>
      <c r="AK34" s="16">
        <v>25.202000000000002</v>
      </c>
      <c r="AM34" s="16">
        <v>25</v>
      </c>
      <c r="AN34" s="17"/>
      <c r="AO34" s="16"/>
      <c r="AP34" s="17"/>
      <c r="AQ34" s="16"/>
      <c r="AR34" s="17"/>
      <c r="AS34" s="16"/>
    </row>
    <row r="35" spans="2:45" x14ac:dyDescent="0.25">
      <c r="B35" s="19" t="s">
        <v>64</v>
      </c>
      <c r="C35" s="19" t="s">
        <v>132</v>
      </c>
      <c r="D35" s="3"/>
      <c r="E35" s="3">
        <v>132.59</v>
      </c>
      <c r="F35" s="3">
        <v>0</v>
      </c>
      <c r="G35" s="3">
        <v>137.14699999999999</v>
      </c>
      <c r="H35" s="3">
        <v>0</v>
      </c>
      <c r="I35" s="3">
        <v>137.14500000000001</v>
      </c>
      <c r="J35" s="3">
        <v>0</v>
      </c>
      <c r="K35" s="3">
        <v>142.852</v>
      </c>
      <c r="L35" s="3">
        <v>0</v>
      </c>
      <c r="M35" s="3">
        <v>147.22900000000001</v>
      </c>
      <c r="N35" s="3">
        <v>0</v>
      </c>
      <c r="O35" s="3">
        <v>152.01</v>
      </c>
      <c r="P35" s="3">
        <v>0</v>
      </c>
      <c r="Q35" s="3">
        <v>164.61600000000001</v>
      </c>
      <c r="R35" s="3">
        <v>0</v>
      </c>
      <c r="S35" s="3">
        <v>183.41399999999999</v>
      </c>
      <c r="T35" s="3">
        <v>0</v>
      </c>
      <c r="U35" s="3">
        <v>215.833</v>
      </c>
      <c r="V35" s="3">
        <v>0</v>
      </c>
      <c r="W35" s="3">
        <v>229.5</v>
      </c>
      <c r="X35" s="3">
        <v>0</v>
      </c>
      <c r="Y35" s="3">
        <v>225.74700000000001</v>
      </c>
      <c r="Z35" s="3">
        <v>0</v>
      </c>
      <c r="AA35" s="3">
        <v>232.13900000000001</v>
      </c>
      <c r="AB35" s="3">
        <v>0</v>
      </c>
      <c r="AC35" s="3">
        <v>241.67099999999999</v>
      </c>
      <c r="AD35" s="3">
        <v>0</v>
      </c>
      <c r="AE35" s="3">
        <v>247.22900000000001</v>
      </c>
      <c r="AF35" s="3">
        <v>0</v>
      </c>
      <c r="AG35" s="3">
        <v>252.56100000000001</v>
      </c>
      <c r="AH35" s="3">
        <v>0</v>
      </c>
      <c r="AI35" s="3">
        <v>256.46499999999997</v>
      </c>
      <c r="AJ35" s="3">
        <v>0</v>
      </c>
      <c r="AK35" s="3">
        <v>271.63900000000001</v>
      </c>
      <c r="AM35" s="3">
        <v>247</v>
      </c>
      <c r="AN35" s="20"/>
      <c r="AP35" s="20"/>
      <c r="AR35" s="20"/>
    </row>
    <row r="36" spans="2:45" x14ac:dyDescent="0.25">
      <c r="B36" s="15" t="s">
        <v>65</v>
      </c>
      <c r="C36" s="15" t="s">
        <v>133</v>
      </c>
      <c r="D36" s="3"/>
      <c r="E36" s="16">
        <v>148.935</v>
      </c>
      <c r="F36" s="3">
        <v>0</v>
      </c>
      <c r="G36" s="16">
        <v>275.58699999999999</v>
      </c>
      <c r="H36" s="3">
        <v>0</v>
      </c>
      <c r="I36" s="16">
        <v>250.55199999999999</v>
      </c>
      <c r="J36" s="3">
        <v>0</v>
      </c>
      <c r="K36" s="16">
        <v>462.71499999999997</v>
      </c>
      <c r="L36" s="3">
        <v>0</v>
      </c>
      <c r="M36" s="16">
        <v>210.61500000000001</v>
      </c>
      <c r="N36" s="3">
        <v>0</v>
      </c>
      <c r="O36" s="16">
        <v>286.96600000000001</v>
      </c>
      <c r="P36" s="3">
        <v>0</v>
      </c>
      <c r="Q36" s="16">
        <v>426.52600000000001</v>
      </c>
      <c r="R36" s="3">
        <v>0</v>
      </c>
      <c r="S36" s="16">
        <v>458.52699999999999</v>
      </c>
      <c r="T36" s="3">
        <v>0</v>
      </c>
      <c r="U36" s="16">
        <v>217.74</v>
      </c>
      <c r="V36" s="3">
        <v>0</v>
      </c>
      <c r="W36" s="16">
        <v>301.096</v>
      </c>
      <c r="X36" s="3">
        <v>0</v>
      </c>
      <c r="Y36" s="16">
        <v>450.34199999999998</v>
      </c>
      <c r="Z36" s="3">
        <v>0</v>
      </c>
      <c r="AA36" s="16">
        <v>449.387</v>
      </c>
      <c r="AB36" s="3">
        <v>0</v>
      </c>
      <c r="AC36" s="16">
        <v>0</v>
      </c>
      <c r="AD36" s="3">
        <v>0</v>
      </c>
      <c r="AE36" s="16">
        <v>273.47699999999998</v>
      </c>
      <c r="AF36" s="3">
        <v>0</v>
      </c>
      <c r="AG36" s="16">
        <v>0</v>
      </c>
      <c r="AH36" s="3">
        <v>0</v>
      </c>
      <c r="AI36" s="16">
        <v>0</v>
      </c>
      <c r="AJ36" s="3">
        <v>0</v>
      </c>
      <c r="AK36" s="16">
        <v>0</v>
      </c>
      <c r="AM36" s="16">
        <v>0</v>
      </c>
      <c r="AN36" s="17"/>
      <c r="AO36" s="16"/>
      <c r="AP36" s="17"/>
      <c r="AQ36" s="16"/>
      <c r="AR36" s="17"/>
      <c r="AS36" s="16"/>
    </row>
    <row r="37" spans="2:45" x14ac:dyDescent="0.25">
      <c r="B37" s="19" t="s">
        <v>292</v>
      </c>
      <c r="C37" s="19" t="s">
        <v>134</v>
      </c>
      <c r="E37" s="3">
        <v>138.52500000000001</v>
      </c>
      <c r="F37" s="3">
        <v>0</v>
      </c>
      <c r="G37" s="3">
        <v>189.124</v>
      </c>
      <c r="H37" s="3">
        <v>0</v>
      </c>
      <c r="I37" s="3">
        <v>127.511</v>
      </c>
      <c r="J37" s="3">
        <v>0</v>
      </c>
      <c r="K37" s="3">
        <v>178.92599999999999</v>
      </c>
      <c r="L37" s="3">
        <v>0</v>
      </c>
      <c r="M37" s="3">
        <v>215.244</v>
      </c>
      <c r="N37" s="3">
        <v>0</v>
      </c>
      <c r="O37" s="3">
        <v>183.94200000000001</v>
      </c>
      <c r="P37" s="3">
        <v>0</v>
      </c>
      <c r="Q37" s="3">
        <v>196.23400000000001</v>
      </c>
      <c r="R37" s="3">
        <v>0</v>
      </c>
      <c r="S37" s="3">
        <v>187.316</v>
      </c>
      <c r="T37" s="3">
        <v>0</v>
      </c>
      <c r="U37" s="3">
        <v>126.33499999999999</v>
      </c>
      <c r="V37" s="3">
        <v>0</v>
      </c>
      <c r="W37" s="3">
        <v>122.69799999999999</v>
      </c>
      <c r="X37" s="3">
        <v>0</v>
      </c>
      <c r="Y37" s="3">
        <v>118.684</v>
      </c>
      <c r="Z37" s="3">
        <v>0</v>
      </c>
      <c r="AA37" s="3">
        <v>117.81</v>
      </c>
      <c r="AB37" s="3">
        <v>0</v>
      </c>
      <c r="AC37" s="3">
        <v>82.762</v>
      </c>
      <c r="AD37" s="3">
        <v>0</v>
      </c>
      <c r="AE37" s="3">
        <v>80.721000000000004</v>
      </c>
      <c r="AF37" s="3">
        <v>0</v>
      </c>
      <c r="AG37" s="3">
        <v>86.325000000000003</v>
      </c>
      <c r="AH37" s="3">
        <v>0</v>
      </c>
      <c r="AI37" s="3">
        <v>85.453000000000003</v>
      </c>
      <c r="AJ37" s="3">
        <v>0</v>
      </c>
      <c r="AK37" s="3">
        <v>93.41</v>
      </c>
      <c r="AM37" s="3">
        <v>85</v>
      </c>
    </row>
    <row r="38" spans="2:45" x14ac:dyDescent="0.25">
      <c r="B38" s="15" t="s">
        <v>293</v>
      </c>
      <c r="C38" s="15"/>
      <c r="E38" s="16">
        <v>0</v>
      </c>
      <c r="F38" s="3">
        <v>0</v>
      </c>
      <c r="G38" s="16">
        <v>0</v>
      </c>
      <c r="H38" s="3">
        <v>0</v>
      </c>
      <c r="I38" s="16">
        <v>0</v>
      </c>
      <c r="J38" s="3">
        <v>0</v>
      </c>
      <c r="K38" s="16">
        <v>0</v>
      </c>
      <c r="L38" s="3">
        <v>0</v>
      </c>
      <c r="M38" s="16">
        <v>0</v>
      </c>
      <c r="N38" s="3">
        <v>0</v>
      </c>
      <c r="O38" s="16">
        <v>0</v>
      </c>
      <c r="P38" s="3">
        <v>0</v>
      </c>
      <c r="Q38" s="16">
        <v>0</v>
      </c>
      <c r="R38" s="3">
        <v>0</v>
      </c>
      <c r="S38" s="16">
        <v>0</v>
      </c>
      <c r="T38" s="3">
        <v>0</v>
      </c>
      <c r="U38" s="16">
        <v>0</v>
      </c>
      <c r="V38" s="3">
        <v>0</v>
      </c>
      <c r="W38" s="16">
        <v>0</v>
      </c>
      <c r="X38" s="3">
        <v>0</v>
      </c>
      <c r="Y38" s="16">
        <v>0</v>
      </c>
      <c r="Z38" s="3">
        <v>0</v>
      </c>
      <c r="AA38" s="16">
        <v>0</v>
      </c>
      <c r="AB38" s="3">
        <v>0</v>
      </c>
      <c r="AC38" s="16">
        <v>0</v>
      </c>
      <c r="AD38" s="3">
        <v>0</v>
      </c>
      <c r="AE38" s="16">
        <v>0</v>
      </c>
      <c r="AF38" s="3">
        <v>0</v>
      </c>
      <c r="AG38" s="16">
        <v>0</v>
      </c>
      <c r="AH38" s="3">
        <v>0</v>
      </c>
      <c r="AI38" s="16">
        <v>0</v>
      </c>
      <c r="AJ38" s="3">
        <v>0</v>
      </c>
      <c r="AK38" s="16">
        <v>247.39</v>
      </c>
      <c r="AM38" s="16">
        <v>251</v>
      </c>
      <c r="AN38" s="17"/>
      <c r="AO38" s="16"/>
      <c r="AP38" s="17"/>
      <c r="AQ38" s="16"/>
      <c r="AR38" s="17"/>
      <c r="AS38" s="16"/>
    </row>
    <row r="39" spans="2:45" x14ac:dyDescent="0.25">
      <c r="B39" s="19" t="s">
        <v>66</v>
      </c>
      <c r="C39" s="19" t="s">
        <v>125</v>
      </c>
      <c r="E39" s="26">
        <v>260.95299999999997</v>
      </c>
      <c r="F39" s="3">
        <v>0</v>
      </c>
      <c r="G39" s="26">
        <v>265.51299999999998</v>
      </c>
      <c r="H39" s="3">
        <v>0</v>
      </c>
      <c r="I39" s="26">
        <v>237.649</v>
      </c>
      <c r="J39" s="3">
        <v>0</v>
      </c>
      <c r="K39" s="26">
        <v>271.70999999999998</v>
      </c>
      <c r="L39" s="3">
        <v>0</v>
      </c>
      <c r="M39" s="26">
        <v>264.358</v>
      </c>
      <c r="N39" s="3">
        <v>0</v>
      </c>
      <c r="O39" s="26">
        <v>224.22399999999999</v>
      </c>
      <c r="P39" s="3">
        <v>0</v>
      </c>
      <c r="Q39" s="26">
        <v>281.41399999999999</v>
      </c>
      <c r="R39" s="3">
        <v>0</v>
      </c>
      <c r="S39" s="26">
        <v>235.41399999999999</v>
      </c>
      <c r="T39" s="3">
        <v>0</v>
      </c>
      <c r="U39" s="26">
        <v>240.161</v>
      </c>
      <c r="V39" s="3">
        <v>0</v>
      </c>
      <c r="W39" s="26">
        <v>248.965</v>
      </c>
      <c r="X39" s="3">
        <v>0</v>
      </c>
      <c r="Y39" s="26">
        <v>186.624</v>
      </c>
      <c r="Z39" s="3">
        <v>0</v>
      </c>
      <c r="AA39" s="26">
        <v>212.22399999999999</v>
      </c>
      <c r="AB39" s="3">
        <v>0</v>
      </c>
      <c r="AC39" s="26">
        <v>169.76900000000001</v>
      </c>
      <c r="AD39" s="3">
        <v>0</v>
      </c>
      <c r="AE39" s="26">
        <v>238.00399999999999</v>
      </c>
      <c r="AF39" s="3">
        <v>0</v>
      </c>
      <c r="AG39" s="26">
        <v>246.29</v>
      </c>
      <c r="AH39" s="3">
        <v>0</v>
      </c>
      <c r="AI39" s="26">
        <v>223.49100000000001</v>
      </c>
      <c r="AJ39" s="3">
        <v>0</v>
      </c>
      <c r="AK39" s="26">
        <v>192.44200000000001</v>
      </c>
      <c r="AM39" s="26">
        <v>194</v>
      </c>
      <c r="AN39" s="20"/>
      <c r="AO39" s="130"/>
      <c r="AP39" s="20"/>
      <c r="AQ39" s="26"/>
      <c r="AR39" s="20"/>
      <c r="AS39" s="26"/>
    </row>
    <row r="40" spans="2:45" x14ac:dyDescent="0.25">
      <c r="B40" s="25"/>
      <c r="C40" s="25"/>
      <c r="E40" s="1">
        <v>0</v>
      </c>
      <c r="F40" s="3">
        <v>0</v>
      </c>
      <c r="G40" s="1">
        <v>0</v>
      </c>
      <c r="H40" s="3">
        <v>0</v>
      </c>
      <c r="I40" s="1">
        <v>0</v>
      </c>
      <c r="J40" s="3">
        <v>0</v>
      </c>
      <c r="K40" s="1">
        <v>0</v>
      </c>
      <c r="L40" s="3">
        <v>0</v>
      </c>
      <c r="M40" s="1">
        <v>0</v>
      </c>
      <c r="N40" s="3">
        <v>0</v>
      </c>
      <c r="O40" s="1">
        <v>0</v>
      </c>
      <c r="P40" s="3">
        <v>0</v>
      </c>
      <c r="Q40" s="1">
        <v>0</v>
      </c>
      <c r="R40" s="3">
        <v>0</v>
      </c>
      <c r="S40" s="1">
        <v>0</v>
      </c>
      <c r="T40" s="3">
        <v>0</v>
      </c>
      <c r="U40" s="1">
        <v>0</v>
      </c>
      <c r="V40" s="3">
        <v>0</v>
      </c>
      <c r="W40" s="1">
        <v>0</v>
      </c>
      <c r="X40" s="3">
        <v>0</v>
      </c>
      <c r="Y40" s="1">
        <v>0</v>
      </c>
      <c r="Z40" s="3">
        <v>0</v>
      </c>
      <c r="AA40" s="1">
        <v>0</v>
      </c>
      <c r="AB40" s="3">
        <v>0</v>
      </c>
      <c r="AC40" s="1">
        <v>0</v>
      </c>
      <c r="AD40" s="3">
        <v>0</v>
      </c>
      <c r="AE40" s="1">
        <v>0</v>
      </c>
      <c r="AF40" s="3">
        <v>0</v>
      </c>
      <c r="AG40" s="1">
        <v>0</v>
      </c>
      <c r="AH40" s="3">
        <v>0</v>
      </c>
      <c r="AI40" s="1">
        <v>0</v>
      </c>
      <c r="AJ40" s="3">
        <v>0</v>
      </c>
      <c r="AK40" s="1">
        <v>0</v>
      </c>
      <c r="AM40" s="1"/>
      <c r="AN40" s="1"/>
      <c r="AO40" s="1"/>
      <c r="AP40" s="1"/>
      <c r="AQ40" s="1"/>
      <c r="AR40" s="1"/>
      <c r="AS40" s="1"/>
    </row>
    <row r="41" spans="2:45" x14ac:dyDescent="0.25">
      <c r="B41" s="30"/>
      <c r="C41" s="30"/>
      <c r="E41" s="24">
        <f>(SUM(E29:E39))</f>
        <v>3360.4809999999998</v>
      </c>
      <c r="F41" s="3">
        <v>0</v>
      </c>
      <c r="G41" s="24">
        <f t="shared" ref="G41:AL41" si="16">(SUM(G29:G39))</f>
        <v>3322.05</v>
      </c>
      <c r="H41" s="3">
        <v>0</v>
      </c>
      <c r="I41" s="24">
        <f t="shared" ref="I41:AL41" si="17">(SUM(I29:I39))</f>
        <v>4116.1480000000001</v>
      </c>
      <c r="J41" s="3">
        <v>0</v>
      </c>
      <c r="K41" s="24">
        <f t="shared" ref="K41:AL41" si="18">(SUM(K29:K39))</f>
        <v>3861.9049999999997</v>
      </c>
      <c r="L41" s="3">
        <v>0</v>
      </c>
      <c r="M41" s="24">
        <f t="shared" ref="M41:AL41" si="19">(SUM(M29:M39))</f>
        <v>3338.2860000000005</v>
      </c>
      <c r="N41" s="3">
        <v>0</v>
      </c>
      <c r="O41" s="24">
        <f t="shared" ref="O41:AL41" si="20">(SUM(O29:O39))</f>
        <v>2977.6330000000003</v>
      </c>
      <c r="P41" s="3">
        <v>0</v>
      </c>
      <c r="Q41" s="24">
        <f t="shared" ref="Q41:AL41" si="21">(SUM(Q29:Q39))</f>
        <v>3325.808</v>
      </c>
      <c r="R41" s="3">
        <v>0</v>
      </c>
      <c r="S41" s="24">
        <f t="shared" ref="S41:AL41" si="22">(SUM(S29:S39))</f>
        <v>2776.5039999999999</v>
      </c>
      <c r="T41" s="3">
        <v>0</v>
      </c>
      <c r="U41" s="24">
        <f t="shared" ref="U41:AL41" si="23">(SUM(U29:U39))</f>
        <v>2598.9460000000004</v>
      </c>
      <c r="V41" s="3">
        <v>0</v>
      </c>
      <c r="W41" s="24">
        <f t="shared" ref="W41:AL41" si="24">(SUM(W29:W39))</f>
        <v>2632.194</v>
      </c>
      <c r="X41" s="3">
        <v>0</v>
      </c>
      <c r="Y41" s="24">
        <f t="shared" ref="Y41:AL41" si="25">(SUM(Y29:Y39))</f>
        <v>2545.125</v>
      </c>
      <c r="Z41" s="3">
        <v>0</v>
      </c>
      <c r="AA41" s="24">
        <f t="shared" ref="AA41:AL41" si="26">(SUM(AA29:AA39))</f>
        <v>2650.895</v>
      </c>
      <c r="AB41" s="3">
        <v>0</v>
      </c>
      <c r="AC41" s="24">
        <f t="shared" ref="AC41:AL41" si="27">(SUM(AC29:AC39))</f>
        <v>2647.8059999999996</v>
      </c>
      <c r="AD41" s="3">
        <v>0</v>
      </c>
      <c r="AE41" s="24">
        <f t="shared" ref="AE41:AL41" si="28">(SUM(AE29:AE39))</f>
        <v>3005.8549999999996</v>
      </c>
      <c r="AF41" s="3">
        <v>0</v>
      </c>
      <c r="AG41" s="24">
        <f t="shared" ref="AG41:AL41" si="29">(SUM(AG29:AG39))</f>
        <v>3073.8359999999998</v>
      </c>
      <c r="AH41" s="3">
        <v>0</v>
      </c>
      <c r="AI41" s="24">
        <f t="shared" ref="AI41:AL41" si="30">(SUM(AI29:AI39))</f>
        <v>2632.8589999999999</v>
      </c>
      <c r="AJ41" s="3">
        <v>0</v>
      </c>
      <c r="AK41" s="24">
        <f t="shared" ref="AK41:AL41" si="31">(SUM(AK29:AK39))</f>
        <v>3166.2840000000001</v>
      </c>
      <c r="AL41" s="3">
        <v>0</v>
      </c>
      <c r="AM41" s="24">
        <f>SUM(AM29:AM39)</f>
        <v>3037</v>
      </c>
      <c r="AN41" s="13"/>
      <c r="AO41" s="24">
        <f>SUM(AO29:AO39)</f>
        <v>0</v>
      </c>
      <c r="AP41" s="13"/>
      <c r="AQ41" s="24">
        <f>SUM(AQ29:AQ39)</f>
        <v>0</v>
      </c>
      <c r="AR41" s="13"/>
      <c r="AS41" s="24">
        <f>SUM(AS29:AS39)</f>
        <v>0</v>
      </c>
    </row>
    <row r="42" spans="2:45" x14ac:dyDescent="0.25">
      <c r="B42" s="25"/>
      <c r="C42" s="25"/>
      <c r="E42" s="3">
        <v>0</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N42" s="1"/>
      <c r="AP42" s="1"/>
      <c r="AR42" s="1"/>
    </row>
    <row r="43" spans="2:45" x14ac:dyDescent="0.25">
      <c r="B43" s="37" t="s">
        <v>305</v>
      </c>
      <c r="C43" s="37" t="s">
        <v>135</v>
      </c>
      <c r="E43" s="13">
        <v>1235.9469999999999</v>
      </c>
      <c r="F43" s="3">
        <v>0</v>
      </c>
      <c r="G43" s="13">
        <v>1352.087</v>
      </c>
      <c r="H43" s="3">
        <v>0</v>
      </c>
      <c r="I43" s="13">
        <v>1248.8920000000001</v>
      </c>
      <c r="J43" s="3">
        <v>0</v>
      </c>
      <c r="K43" s="13">
        <v>1304.1600000000001</v>
      </c>
      <c r="L43" s="3">
        <v>0</v>
      </c>
      <c r="M43" s="13">
        <v>1329.1010000000001</v>
      </c>
      <c r="N43" s="3">
        <v>0</v>
      </c>
      <c r="O43" s="13">
        <v>1207.3910000000001</v>
      </c>
      <c r="P43" s="3">
        <v>0</v>
      </c>
      <c r="Q43" s="13">
        <v>1343.3679999999999</v>
      </c>
      <c r="R43" s="3">
        <v>0</v>
      </c>
      <c r="S43" s="13">
        <v>1438.566</v>
      </c>
      <c r="T43" s="3">
        <v>0</v>
      </c>
      <c r="U43" s="13">
        <v>1369.6849999999999</v>
      </c>
      <c r="V43" s="3">
        <v>0</v>
      </c>
      <c r="W43" s="13">
        <v>1385.021</v>
      </c>
      <c r="X43" s="3">
        <v>0</v>
      </c>
      <c r="Y43" s="13">
        <v>1362.3019999999999</v>
      </c>
      <c r="Z43" s="3">
        <v>0</v>
      </c>
      <c r="AA43" s="13">
        <v>1387.0930000000001</v>
      </c>
      <c r="AB43" s="3">
        <v>0</v>
      </c>
      <c r="AC43" s="13">
        <v>1041.154</v>
      </c>
      <c r="AD43" s="3">
        <v>0</v>
      </c>
      <c r="AE43" s="13">
        <v>1380.395</v>
      </c>
      <c r="AF43" s="3">
        <v>0</v>
      </c>
      <c r="AG43" s="13">
        <v>1692.9870000000001</v>
      </c>
      <c r="AH43" s="3">
        <v>0</v>
      </c>
      <c r="AI43" s="13">
        <v>1722.328</v>
      </c>
      <c r="AJ43" s="3">
        <v>0</v>
      </c>
      <c r="AK43" s="13">
        <v>1763.0039999999999</v>
      </c>
      <c r="AM43" s="13">
        <v>1690</v>
      </c>
      <c r="AN43" s="13"/>
      <c r="AO43" s="13"/>
      <c r="AP43" s="13"/>
      <c r="AQ43" s="13"/>
      <c r="AR43" s="13"/>
      <c r="AS43" s="13"/>
    </row>
    <row r="44" spans="2:45" x14ac:dyDescent="0.25">
      <c r="B44" s="36" t="s">
        <v>306</v>
      </c>
      <c r="C44" s="36" t="s">
        <v>261</v>
      </c>
      <c r="E44" s="1">
        <v>0</v>
      </c>
      <c r="F44" s="3">
        <v>0</v>
      </c>
      <c r="G44" s="1">
        <v>0</v>
      </c>
      <c r="H44" s="3">
        <v>0</v>
      </c>
      <c r="I44" s="1">
        <v>0</v>
      </c>
      <c r="J44" s="3">
        <v>0</v>
      </c>
      <c r="K44" s="1">
        <v>0</v>
      </c>
      <c r="L44" s="3">
        <v>0</v>
      </c>
      <c r="M44" s="1">
        <v>0</v>
      </c>
      <c r="N44" s="3">
        <v>0</v>
      </c>
      <c r="O44" s="1">
        <v>0</v>
      </c>
      <c r="P44" s="3">
        <v>0</v>
      </c>
      <c r="Q44" s="1">
        <v>0</v>
      </c>
      <c r="R44" s="3">
        <v>0</v>
      </c>
      <c r="S44" s="1">
        <v>0</v>
      </c>
      <c r="T44" s="3">
        <v>0</v>
      </c>
      <c r="U44" s="1">
        <v>74.867000000000004</v>
      </c>
      <c r="V44" s="3">
        <v>0</v>
      </c>
      <c r="W44" s="1">
        <v>74.87</v>
      </c>
      <c r="X44" s="3">
        <v>0</v>
      </c>
      <c r="Y44" s="1">
        <v>71.320999999999998</v>
      </c>
      <c r="Z44" s="3">
        <v>0</v>
      </c>
      <c r="AA44" s="1">
        <v>71.828000000000003</v>
      </c>
      <c r="AB44" s="3">
        <v>0</v>
      </c>
      <c r="AC44" s="1">
        <v>69.89</v>
      </c>
      <c r="AD44" s="3">
        <v>0</v>
      </c>
      <c r="AE44" s="1">
        <v>70.495000000000005</v>
      </c>
      <c r="AF44" s="3">
        <v>0</v>
      </c>
      <c r="AG44" s="1">
        <v>77.766000000000005</v>
      </c>
      <c r="AH44" s="3">
        <v>0</v>
      </c>
      <c r="AI44" s="1">
        <v>79.296999999999997</v>
      </c>
      <c r="AJ44" s="3">
        <v>0</v>
      </c>
      <c r="AK44" s="1">
        <v>84.055999999999997</v>
      </c>
      <c r="AM44" s="1">
        <v>81</v>
      </c>
      <c r="AN44" s="1"/>
      <c r="AO44" s="1"/>
      <c r="AP44" s="1"/>
      <c r="AQ44" s="1"/>
      <c r="AR44" s="1"/>
      <c r="AS44" s="1"/>
    </row>
    <row r="45" spans="2:45" x14ac:dyDescent="0.25">
      <c r="B45" s="37" t="s">
        <v>307</v>
      </c>
      <c r="C45" s="37" t="s">
        <v>136</v>
      </c>
      <c r="D45" s="20"/>
      <c r="E45" s="16">
        <v>14131.795</v>
      </c>
      <c r="F45" s="3">
        <v>0</v>
      </c>
      <c r="G45" s="16">
        <v>14520.021000000001</v>
      </c>
      <c r="H45" s="3">
        <v>0</v>
      </c>
      <c r="I45" s="16">
        <v>15674.197</v>
      </c>
      <c r="J45" s="3">
        <v>0</v>
      </c>
      <c r="K45" s="16">
        <v>17200.445</v>
      </c>
      <c r="L45" s="3">
        <v>0</v>
      </c>
      <c r="M45" s="16">
        <v>18267.828000000001</v>
      </c>
      <c r="N45" s="3">
        <v>0</v>
      </c>
      <c r="O45" s="16">
        <v>16454.316999999999</v>
      </c>
      <c r="P45" s="3">
        <v>0</v>
      </c>
      <c r="Q45" s="16">
        <v>17349.939999999999</v>
      </c>
      <c r="R45" s="3">
        <v>0</v>
      </c>
      <c r="S45" s="16">
        <v>17364.866000000002</v>
      </c>
      <c r="T45" s="3">
        <v>0</v>
      </c>
      <c r="U45" s="16">
        <v>18122.763999999999</v>
      </c>
      <c r="V45" s="3">
        <v>0</v>
      </c>
      <c r="W45" s="16">
        <v>17918.063999999998</v>
      </c>
      <c r="X45" s="3">
        <v>0</v>
      </c>
      <c r="Y45" s="16">
        <v>17477.017</v>
      </c>
      <c r="Z45" s="3">
        <v>0</v>
      </c>
      <c r="AA45" s="16">
        <v>17944.416000000001</v>
      </c>
      <c r="AB45" s="3">
        <v>0</v>
      </c>
      <c r="AC45" s="16">
        <v>18481.960999999999</v>
      </c>
      <c r="AD45" s="3">
        <v>0</v>
      </c>
      <c r="AE45" s="16">
        <v>18742.664000000001</v>
      </c>
      <c r="AF45" s="3">
        <v>0</v>
      </c>
      <c r="AG45" s="16">
        <v>20104.871999999999</v>
      </c>
      <c r="AH45" s="3">
        <v>0</v>
      </c>
      <c r="AI45" s="16">
        <v>19507.847000000002</v>
      </c>
      <c r="AJ45" s="3">
        <v>0</v>
      </c>
      <c r="AK45" s="16">
        <v>21464.992999999999</v>
      </c>
      <c r="AM45" s="16">
        <v>20649</v>
      </c>
      <c r="AN45" s="17"/>
      <c r="AO45" s="16"/>
      <c r="AP45" s="17"/>
      <c r="AQ45" s="16"/>
      <c r="AR45" s="17"/>
      <c r="AS45" s="16"/>
    </row>
    <row r="46" spans="2:45" x14ac:dyDescent="0.25">
      <c r="B46" s="36" t="s">
        <v>308</v>
      </c>
      <c r="C46" s="36" t="s">
        <v>137</v>
      </c>
      <c r="D46" s="20"/>
      <c r="E46" s="3">
        <v>8064.152</v>
      </c>
      <c r="F46" s="3">
        <v>0</v>
      </c>
      <c r="G46" s="3">
        <v>8652.1039999999994</v>
      </c>
      <c r="H46" s="3">
        <v>0</v>
      </c>
      <c r="I46" s="3">
        <v>8009.0550000000003</v>
      </c>
      <c r="J46" s="3">
        <v>0</v>
      </c>
      <c r="K46" s="3">
        <v>9072.8870000000006</v>
      </c>
      <c r="L46" s="3">
        <v>0</v>
      </c>
      <c r="M46" s="3">
        <v>9450.11</v>
      </c>
      <c r="N46" s="3">
        <v>0</v>
      </c>
      <c r="O46" s="3">
        <v>8182.3389999999999</v>
      </c>
      <c r="P46" s="3">
        <v>0</v>
      </c>
      <c r="Q46" s="3">
        <v>8580.6229999999996</v>
      </c>
      <c r="R46" s="3">
        <v>0</v>
      </c>
      <c r="S46" s="3">
        <v>8588.6759999999995</v>
      </c>
      <c r="T46" s="3">
        <v>0</v>
      </c>
      <c r="U46" s="3">
        <v>8702.08</v>
      </c>
      <c r="V46" s="3">
        <v>0</v>
      </c>
      <c r="W46" s="3">
        <v>8547.5519999999997</v>
      </c>
      <c r="X46" s="3">
        <v>0</v>
      </c>
      <c r="Y46" s="3">
        <v>8139.4610000000002</v>
      </c>
      <c r="Z46" s="3">
        <v>0</v>
      </c>
      <c r="AA46" s="3">
        <v>8292.3320000000003</v>
      </c>
      <c r="AB46" s="3">
        <v>0</v>
      </c>
      <c r="AC46" s="3">
        <v>8069.7669999999998</v>
      </c>
      <c r="AD46" s="3">
        <v>0</v>
      </c>
      <c r="AE46" s="3">
        <v>8238.7049999999999</v>
      </c>
      <c r="AF46" s="3">
        <v>0</v>
      </c>
      <c r="AG46" s="3">
        <v>9051.4470000000001</v>
      </c>
      <c r="AH46" s="3">
        <v>0</v>
      </c>
      <c r="AI46" s="3">
        <v>8523.6149999999998</v>
      </c>
      <c r="AJ46" s="3">
        <v>0</v>
      </c>
      <c r="AK46" s="3">
        <v>9344.3690000000006</v>
      </c>
      <c r="AM46" s="3">
        <v>8832</v>
      </c>
      <c r="AN46" s="20"/>
      <c r="AP46" s="20"/>
      <c r="AR46" s="20"/>
    </row>
    <row r="47" spans="2:45" x14ac:dyDescent="0.25">
      <c r="B47" s="37" t="s">
        <v>309</v>
      </c>
      <c r="C47" s="37" t="s">
        <v>138</v>
      </c>
      <c r="D47" s="20"/>
      <c r="E47" s="24">
        <v>533.98900000000003</v>
      </c>
      <c r="F47" s="3">
        <v>0</v>
      </c>
      <c r="G47" s="24">
        <v>593.39400000000001</v>
      </c>
      <c r="H47" s="3">
        <v>0</v>
      </c>
      <c r="I47" s="24">
        <v>1083.039</v>
      </c>
      <c r="J47" s="3">
        <v>0</v>
      </c>
      <c r="K47" s="24">
        <v>1378.0609999999999</v>
      </c>
      <c r="L47" s="3">
        <v>0</v>
      </c>
      <c r="M47" s="24">
        <v>1351.5920000000001</v>
      </c>
      <c r="N47" s="3">
        <v>0</v>
      </c>
      <c r="O47" s="24">
        <v>1115.0509999999999</v>
      </c>
      <c r="P47" s="3">
        <v>0</v>
      </c>
      <c r="Q47" s="24">
        <v>1211.472</v>
      </c>
      <c r="R47" s="3">
        <v>0</v>
      </c>
      <c r="S47" s="24">
        <v>1176.037</v>
      </c>
      <c r="T47" s="3">
        <v>0</v>
      </c>
      <c r="U47" s="24">
        <v>1126.723</v>
      </c>
      <c r="V47" s="3">
        <v>0</v>
      </c>
      <c r="W47" s="24">
        <v>1058.8510000000001</v>
      </c>
      <c r="X47" s="3">
        <v>0</v>
      </c>
      <c r="Y47" s="24">
        <v>974.13300000000004</v>
      </c>
      <c r="Z47" s="3">
        <v>0</v>
      </c>
      <c r="AA47" s="24">
        <v>1028.577</v>
      </c>
      <c r="AB47" s="3">
        <v>0</v>
      </c>
      <c r="AC47" s="24">
        <v>973.37800000000004</v>
      </c>
      <c r="AD47" s="3">
        <v>0</v>
      </c>
      <c r="AE47" s="24">
        <v>1093.8320000000001</v>
      </c>
      <c r="AF47" s="3">
        <v>0</v>
      </c>
      <c r="AG47" s="24">
        <v>1495.6469999999999</v>
      </c>
      <c r="AH47" s="3">
        <v>0</v>
      </c>
      <c r="AI47" s="24">
        <v>1511.1279999999999</v>
      </c>
      <c r="AJ47" s="3">
        <v>0</v>
      </c>
      <c r="AK47" s="24">
        <v>1525.1469999999999</v>
      </c>
      <c r="AM47" s="24">
        <v>1788</v>
      </c>
      <c r="AN47" s="17"/>
      <c r="AO47" s="24"/>
      <c r="AP47" s="17"/>
      <c r="AQ47" s="24"/>
      <c r="AR47" s="17"/>
      <c r="AS47" s="24"/>
    </row>
    <row r="48" spans="2:45" x14ac:dyDescent="0.25">
      <c r="B48" s="25"/>
      <c r="C48" s="25"/>
      <c r="E48" s="10">
        <v>0</v>
      </c>
      <c r="F48" s="3">
        <v>0</v>
      </c>
      <c r="G48" s="10">
        <v>0</v>
      </c>
      <c r="H48" s="3">
        <v>0</v>
      </c>
      <c r="I48" s="10">
        <v>0</v>
      </c>
      <c r="J48" s="3">
        <v>0</v>
      </c>
      <c r="K48" s="10">
        <v>0</v>
      </c>
      <c r="L48" s="3">
        <v>0</v>
      </c>
      <c r="M48" s="10">
        <v>0</v>
      </c>
      <c r="N48" s="3">
        <v>0</v>
      </c>
      <c r="O48" s="10">
        <v>0</v>
      </c>
      <c r="P48" s="3">
        <v>0</v>
      </c>
      <c r="Q48" s="10">
        <v>0</v>
      </c>
      <c r="R48" s="3">
        <v>0</v>
      </c>
      <c r="S48" s="10">
        <v>0</v>
      </c>
      <c r="T48" s="3">
        <v>0</v>
      </c>
      <c r="U48" s="10">
        <v>0</v>
      </c>
      <c r="V48" s="3">
        <v>0</v>
      </c>
      <c r="W48" s="10">
        <v>0</v>
      </c>
      <c r="X48" s="3">
        <v>0</v>
      </c>
      <c r="Y48" s="10">
        <v>0</v>
      </c>
      <c r="Z48" s="3">
        <v>0</v>
      </c>
      <c r="AA48" s="10">
        <v>0</v>
      </c>
      <c r="AB48" s="3">
        <v>0</v>
      </c>
      <c r="AC48" s="10">
        <v>0</v>
      </c>
      <c r="AD48" s="3">
        <v>0</v>
      </c>
      <c r="AE48" s="10">
        <v>0</v>
      </c>
      <c r="AF48" s="3">
        <v>0</v>
      </c>
      <c r="AG48" s="10">
        <v>0</v>
      </c>
      <c r="AH48" s="3">
        <v>0</v>
      </c>
      <c r="AI48" s="10">
        <v>0</v>
      </c>
      <c r="AJ48" s="3">
        <v>0</v>
      </c>
      <c r="AK48" s="10">
        <v>0</v>
      </c>
      <c r="AM48" s="10"/>
      <c r="AN48" s="10"/>
      <c r="AO48" s="10"/>
      <c r="AP48" s="10"/>
      <c r="AQ48" s="10"/>
      <c r="AR48" s="10"/>
      <c r="AS48" s="10"/>
    </row>
    <row r="49" spans="2:45" x14ac:dyDescent="0.25">
      <c r="B49" s="30" t="s">
        <v>55</v>
      </c>
      <c r="C49" s="30" t="s">
        <v>139</v>
      </c>
      <c r="E49" s="24">
        <f>(SUM(E41,E43:E47))</f>
        <v>27326.364000000001</v>
      </c>
      <c r="F49" s="3">
        <v>0</v>
      </c>
      <c r="G49" s="24">
        <f>(SUM(G41,G43:G47))</f>
        <v>28439.656000000003</v>
      </c>
      <c r="H49" s="3">
        <v>0</v>
      </c>
      <c r="I49" s="24">
        <f t="shared" ref="I49:AL49" si="32">(SUM(I41,I43:I47))</f>
        <v>30131.331000000002</v>
      </c>
      <c r="J49" s="3">
        <v>0</v>
      </c>
      <c r="K49" s="24">
        <f t="shared" ref="K49:AL49" si="33">(SUM(K41,K43:K47))</f>
        <v>32817.457999999999</v>
      </c>
      <c r="L49" s="3">
        <v>0</v>
      </c>
      <c r="M49" s="24">
        <f t="shared" ref="M49:AL49" si="34">(SUM(M41,M43:M47))</f>
        <v>33736.917000000001</v>
      </c>
      <c r="N49" s="3">
        <v>0</v>
      </c>
      <c r="O49" s="24">
        <f t="shared" ref="O49:AL49" si="35">(SUM(O41,O43:O47))</f>
        <v>29936.731</v>
      </c>
      <c r="P49" s="3">
        <v>0</v>
      </c>
      <c r="Q49" s="24">
        <f t="shared" ref="Q49:AL49" si="36">(SUM(Q41,Q43:Q47))</f>
        <v>31811.210999999999</v>
      </c>
      <c r="R49" s="3">
        <v>0</v>
      </c>
      <c r="S49" s="24">
        <f t="shared" ref="S49:AL49" si="37">(SUM(S41,S43:S47))</f>
        <v>31344.649000000001</v>
      </c>
      <c r="T49" s="3">
        <v>0</v>
      </c>
      <c r="U49" s="24">
        <f t="shared" ref="U49:AL49" si="38">(SUM(U41,U43:U47))</f>
        <v>31995.064999999995</v>
      </c>
      <c r="V49" s="3">
        <v>0</v>
      </c>
      <c r="W49" s="24">
        <f t="shared" ref="W49:AL49" si="39">(SUM(W41,W43:W47))</f>
        <v>31616.551999999996</v>
      </c>
      <c r="X49" s="3">
        <v>0</v>
      </c>
      <c r="Y49" s="24">
        <f t="shared" ref="Y49:AL49" si="40">(SUM(Y41,Y43:Y47))</f>
        <v>30569.359</v>
      </c>
      <c r="Z49" s="3">
        <v>0</v>
      </c>
      <c r="AA49" s="24">
        <f t="shared" ref="AA49:AL49" si="41">(SUM(AA41,AA43:AA47))</f>
        <v>31375.141000000007</v>
      </c>
      <c r="AB49" s="3">
        <v>0</v>
      </c>
      <c r="AC49" s="24">
        <f t="shared" ref="AC49:AL49" si="42">(SUM(AC41,AC43:AC47))</f>
        <v>31283.955999999998</v>
      </c>
      <c r="AD49" s="3">
        <v>0</v>
      </c>
      <c r="AE49" s="24">
        <f t="shared" ref="AE49:AL49" si="43">(SUM(AE41,AE43:AE47))</f>
        <v>32531.946</v>
      </c>
      <c r="AF49" s="3">
        <v>0</v>
      </c>
      <c r="AG49" s="24">
        <f t="shared" ref="AG49:AL49" si="44">(SUM(AG41,AG43:AG47))</f>
        <v>35496.554999999993</v>
      </c>
      <c r="AH49" s="3">
        <v>0</v>
      </c>
      <c r="AI49" s="24">
        <f t="shared" ref="AI49:AL49" si="45">(SUM(AI41,AI43:AI47))</f>
        <v>33977.074000000001</v>
      </c>
      <c r="AJ49" s="3">
        <v>0</v>
      </c>
      <c r="AK49" s="24">
        <f t="shared" ref="AK49:AL49" si="46">(SUM(AK41,AK43:AK47))</f>
        <v>37347.852999999996</v>
      </c>
      <c r="AL49" s="3">
        <v>0</v>
      </c>
      <c r="AM49" s="24">
        <f>SUM(AM41,AM43:AM47)</f>
        <v>36077</v>
      </c>
      <c r="AN49" s="13"/>
      <c r="AO49" s="24">
        <f>SUM(AO41,AO43:AO47)</f>
        <v>0</v>
      </c>
      <c r="AP49" s="13"/>
      <c r="AQ49" s="24">
        <f>SUM(AQ41,AQ43:AQ47)</f>
        <v>0</v>
      </c>
      <c r="AR49" s="13"/>
      <c r="AS49" s="24">
        <f>SUM(AS41,AS43:AS47)</f>
        <v>0</v>
      </c>
    </row>
    <row r="50" spans="2:45" x14ac:dyDescent="0.25">
      <c r="B50" s="4"/>
      <c r="C50" s="4"/>
      <c r="D50" s="3"/>
      <c r="E50" s="3">
        <f>(SUM(E41,E43:E47)-E49)/1000</f>
        <v>0</v>
      </c>
      <c r="F50" s="3">
        <v>0</v>
      </c>
      <c r="G50" s="3">
        <f>(SUM(G41,G43:G47)-G49)</f>
        <v>0</v>
      </c>
      <c r="H50" s="3">
        <v>0</v>
      </c>
      <c r="I50" s="3">
        <f t="shared" ref="I50" si="47">(SUM(I41,I43:I47)-I49)</f>
        <v>0</v>
      </c>
      <c r="J50" s="3">
        <v>0</v>
      </c>
      <c r="K50" s="3">
        <f t="shared" ref="K50" si="48">(SUM(K41,K43:K47)-K49)</f>
        <v>0</v>
      </c>
      <c r="L50" s="3">
        <v>0</v>
      </c>
      <c r="M50" s="3">
        <f t="shared" ref="M50" si="49">(SUM(M41,M43:M47)-M49)</f>
        <v>0</v>
      </c>
      <c r="N50" s="3">
        <v>0</v>
      </c>
      <c r="O50" s="3">
        <f t="shared" ref="O50" si="50">(SUM(O41,O43:O47)-O49)</f>
        <v>0</v>
      </c>
      <c r="P50" s="3">
        <v>0</v>
      </c>
      <c r="Q50" s="3">
        <f t="shared" ref="Q50" si="51">(SUM(Q41,Q43:Q47)-Q49)</f>
        <v>0</v>
      </c>
      <c r="R50" s="3">
        <v>0</v>
      </c>
      <c r="S50" s="3">
        <f t="shared" ref="S50" si="52">(SUM(S41,S43:S47)-S49)</f>
        <v>0</v>
      </c>
      <c r="T50" s="3">
        <v>0</v>
      </c>
      <c r="U50" s="3">
        <f t="shared" ref="U50" si="53">(SUM(U41,U43:U47)-U49)</f>
        <v>0</v>
      </c>
      <c r="V50" s="3">
        <v>0</v>
      </c>
      <c r="W50" s="3">
        <f t="shared" ref="W50" si="54">(SUM(W41,W43:W47)-W49)</f>
        <v>0</v>
      </c>
      <c r="X50" s="3">
        <v>0</v>
      </c>
      <c r="Y50" s="3">
        <f t="shared" ref="Y50" si="55">(SUM(Y41,Y43:Y47)-Y49)</f>
        <v>0</v>
      </c>
      <c r="Z50" s="3">
        <v>0</v>
      </c>
      <c r="AA50" s="3">
        <f t="shared" ref="AA50" si="56">(SUM(AA41,AA43:AA47)-AA49)</f>
        <v>0</v>
      </c>
      <c r="AB50" s="3">
        <v>0</v>
      </c>
      <c r="AC50" s="3">
        <f t="shared" ref="AC50" si="57">(SUM(AC41,AC43:AC47)-AC49)</f>
        <v>0</v>
      </c>
      <c r="AD50" s="3">
        <v>0</v>
      </c>
      <c r="AE50" s="3">
        <f t="shared" ref="AE50" si="58">(SUM(AE41,AE43:AE47)-AE49)</f>
        <v>0</v>
      </c>
      <c r="AF50" s="3">
        <v>0</v>
      </c>
      <c r="AG50" s="3">
        <f t="shared" ref="AG50" si="59">(SUM(AG41,AG43:AG47)-AG49)</f>
        <v>0</v>
      </c>
      <c r="AH50" s="3">
        <v>0</v>
      </c>
      <c r="AI50" s="3">
        <f t="shared" ref="AI50" si="60">(SUM(AI41,AI43:AI47)-AI49)</f>
        <v>0</v>
      </c>
      <c r="AJ50" s="3">
        <v>0</v>
      </c>
      <c r="AK50" s="3">
        <f t="shared" ref="AK50" si="61">(SUM(AK41,AK43:AK47)-AK49)</f>
        <v>0</v>
      </c>
      <c r="AL50" s="3">
        <v>0</v>
      </c>
    </row>
    <row r="51" spans="2:45" x14ac:dyDescent="0.25">
      <c r="B51" s="9"/>
      <c r="C51" s="9"/>
      <c r="E51" s="16">
        <v>0</v>
      </c>
      <c r="F51" s="3">
        <v>0</v>
      </c>
      <c r="G51" s="16">
        <v>0</v>
      </c>
      <c r="H51" s="3">
        <v>0</v>
      </c>
      <c r="I51" s="16">
        <v>0</v>
      </c>
      <c r="J51" s="3">
        <v>0</v>
      </c>
      <c r="K51" s="16">
        <v>0</v>
      </c>
      <c r="L51" s="3">
        <v>0</v>
      </c>
      <c r="M51" s="16">
        <v>0</v>
      </c>
      <c r="N51" s="3">
        <v>0</v>
      </c>
      <c r="O51" s="16">
        <v>0</v>
      </c>
      <c r="P51" s="3">
        <v>0</v>
      </c>
      <c r="Q51" s="16">
        <v>0</v>
      </c>
      <c r="R51" s="3">
        <v>0</v>
      </c>
      <c r="S51" s="16">
        <v>0</v>
      </c>
      <c r="T51" s="3">
        <v>0</v>
      </c>
      <c r="U51" s="16">
        <v>0</v>
      </c>
      <c r="V51" s="3">
        <v>0</v>
      </c>
      <c r="W51" s="16">
        <v>0</v>
      </c>
      <c r="X51" s="3">
        <v>0</v>
      </c>
      <c r="Y51" s="16">
        <v>0</v>
      </c>
      <c r="Z51" s="3">
        <v>0</v>
      </c>
      <c r="AA51" s="16">
        <v>0</v>
      </c>
      <c r="AB51" s="3">
        <v>0</v>
      </c>
      <c r="AC51" s="16">
        <v>0</v>
      </c>
      <c r="AD51" s="3">
        <v>0</v>
      </c>
      <c r="AE51" s="16">
        <v>0</v>
      </c>
      <c r="AF51" s="3">
        <v>0</v>
      </c>
      <c r="AG51" s="16">
        <v>0</v>
      </c>
      <c r="AH51" s="3">
        <v>0</v>
      </c>
      <c r="AI51" s="16">
        <v>0</v>
      </c>
      <c r="AJ51" s="3">
        <v>0</v>
      </c>
      <c r="AK51" s="16">
        <v>0</v>
      </c>
      <c r="AL51" s="3">
        <v>0</v>
      </c>
      <c r="AM51" s="16"/>
      <c r="AN51" s="16"/>
      <c r="AO51" s="16"/>
      <c r="AP51" s="16"/>
      <c r="AQ51" s="16"/>
      <c r="AR51" s="16"/>
      <c r="AS51" s="16"/>
    </row>
    <row r="52" spans="2:45" x14ac:dyDescent="0.25">
      <c r="E52" s="1">
        <v>0</v>
      </c>
      <c r="F52" s="3">
        <v>0</v>
      </c>
      <c r="G52" s="1">
        <v>0</v>
      </c>
      <c r="H52" s="3">
        <v>0</v>
      </c>
      <c r="I52" s="1">
        <v>0</v>
      </c>
      <c r="J52" s="3">
        <v>0</v>
      </c>
      <c r="K52" s="1">
        <v>0</v>
      </c>
      <c r="L52" s="3">
        <v>0</v>
      </c>
      <c r="M52" s="1">
        <v>0</v>
      </c>
      <c r="N52" s="3">
        <v>0</v>
      </c>
      <c r="O52" s="1">
        <v>0</v>
      </c>
      <c r="P52" s="3">
        <v>0</v>
      </c>
      <c r="Q52" s="1">
        <v>0</v>
      </c>
      <c r="R52" s="3">
        <v>0</v>
      </c>
      <c r="S52" s="1">
        <v>0</v>
      </c>
      <c r="T52" s="3">
        <v>0</v>
      </c>
      <c r="U52" s="1">
        <v>0</v>
      </c>
      <c r="V52" s="3">
        <v>0</v>
      </c>
      <c r="W52" s="1">
        <v>0</v>
      </c>
      <c r="X52" s="3">
        <v>0</v>
      </c>
      <c r="Y52" s="1">
        <v>0</v>
      </c>
      <c r="Z52" s="3">
        <v>0</v>
      </c>
      <c r="AA52" s="1">
        <v>0</v>
      </c>
      <c r="AB52" s="3">
        <v>0</v>
      </c>
      <c r="AC52" s="1">
        <v>0</v>
      </c>
      <c r="AD52" s="3">
        <v>0</v>
      </c>
      <c r="AE52" s="1">
        <v>0</v>
      </c>
      <c r="AF52" s="3">
        <v>0</v>
      </c>
      <c r="AG52" s="1">
        <v>0</v>
      </c>
      <c r="AH52" s="3">
        <v>0</v>
      </c>
      <c r="AI52" s="1">
        <v>0</v>
      </c>
      <c r="AJ52" s="3">
        <v>0</v>
      </c>
      <c r="AK52" s="1">
        <v>0</v>
      </c>
      <c r="AL52" s="3">
        <v>0</v>
      </c>
      <c r="AM52" s="1"/>
      <c r="AN52" s="1"/>
      <c r="AO52" s="1"/>
      <c r="AP52" s="1"/>
      <c r="AQ52" s="1"/>
      <c r="AR52" s="1"/>
      <c r="AS52" s="1"/>
    </row>
    <row r="53" spans="2:45" ht="15.75" thickBot="1" x14ac:dyDescent="0.3">
      <c r="B53" s="9" t="s">
        <v>13</v>
      </c>
      <c r="C53" s="9" t="s">
        <v>140</v>
      </c>
      <c r="E53" s="42">
        <f>(SUM(E25,E49))</f>
        <v>35452.037000000004</v>
      </c>
      <c r="F53" s="3">
        <v>0</v>
      </c>
      <c r="G53" s="42">
        <f>(SUM(G25,G49))</f>
        <v>36695.494000000006</v>
      </c>
      <c r="H53" s="3">
        <v>0</v>
      </c>
      <c r="I53" s="42">
        <f t="shared" ref="I53:AL53" si="62">(SUM(I25,I49))</f>
        <v>38837.234000000004</v>
      </c>
      <c r="J53" s="3">
        <v>0</v>
      </c>
      <c r="K53" s="42">
        <f t="shared" ref="K53:AL53" si="63">(SUM(K25,K49))</f>
        <v>44044.84</v>
      </c>
      <c r="L53" s="3">
        <v>0</v>
      </c>
      <c r="M53" s="42">
        <f t="shared" ref="M53:AL53" si="64">(SUM(M25,M49))</f>
        <v>44640.437000000005</v>
      </c>
      <c r="N53" s="3">
        <v>0</v>
      </c>
      <c r="O53" s="42">
        <f t="shared" ref="O53:AL53" si="65">(SUM(O25,O49))</f>
        <v>39202.035000000003</v>
      </c>
      <c r="P53" s="3">
        <v>0</v>
      </c>
      <c r="Q53" s="42">
        <f t="shared" ref="Q53:AL53" si="66">(SUM(Q25,Q49))</f>
        <v>42895</v>
      </c>
      <c r="R53" s="3">
        <v>0</v>
      </c>
      <c r="S53" s="42">
        <f t="shared" ref="S53:AL53" si="67">(SUM(S25,S49))</f>
        <v>42465.849000000002</v>
      </c>
      <c r="T53" s="3">
        <v>0</v>
      </c>
      <c r="U53" s="42">
        <f t="shared" ref="U53:AL53" si="68">(SUM(U25,U49))</f>
        <v>42533.208999999995</v>
      </c>
      <c r="V53" s="3">
        <v>0</v>
      </c>
      <c r="W53" s="42">
        <f t="shared" ref="W53:AL53" si="69">(SUM(W25,W49))</f>
        <v>41460.966</v>
      </c>
      <c r="X53" s="3">
        <v>0</v>
      </c>
      <c r="Y53" s="42">
        <f t="shared" ref="Y53:AL53" si="70">(SUM(Y25,Y49))</f>
        <v>39899.292999999998</v>
      </c>
      <c r="Z53" s="3">
        <v>0</v>
      </c>
      <c r="AA53" s="42">
        <f t="shared" ref="AA53:AL53" si="71">(SUM(AA25,AA49))</f>
        <v>42134.066000000006</v>
      </c>
      <c r="AB53" s="3">
        <v>0</v>
      </c>
      <c r="AC53" s="42">
        <f t="shared" ref="AC53:AL53" si="72">(SUM(AC25,AC49))</f>
        <v>43119.486999999994</v>
      </c>
      <c r="AD53" s="3">
        <v>0</v>
      </c>
      <c r="AE53" s="42">
        <f t="shared" ref="AE53:AL53" si="73">(SUM(AE25,AE49))</f>
        <v>43416.438000000002</v>
      </c>
      <c r="AF53" s="3">
        <v>0</v>
      </c>
      <c r="AG53" s="42">
        <f t="shared" ref="AG53:AL53" si="74">(SUM(AG25,AG49))</f>
        <v>48246.32699999999</v>
      </c>
      <c r="AH53" s="3">
        <v>0</v>
      </c>
      <c r="AI53" s="42">
        <f t="shared" ref="AI53:AL53" si="75">(SUM(AI25,AI49))</f>
        <v>47862.849000000002</v>
      </c>
      <c r="AJ53" s="3">
        <v>0</v>
      </c>
      <c r="AK53" s="42">
        <f t="shared" ref="AK53:AL53" si="76">(SUM(AK25,AK49))</f>
        <v>51329.75</v>
      </c>
      <c r="AL53" s="3">
        <v>0</v>
      </c>
      <c r="AM53" s="42">
        <f>SUM(AM25,AM49)</f>
        <v>48634</v>
      </c>
      <c r="AN53" s="13"/>
      <c r="AO53" s="42">
        <f>SUM(AO25,AO49)</f>
        <v>0</v>
      </c>
      <c r="AP53" s="13"/>
      <c r="AQ53" s="42">
        <f>SUM(AQ25,AQ49)</f>
        <v>0</v>
      </c>
      <c r="AR53" s="13"/>
      <c r="AS53" s="42">
        <f>SUM(AS25,AS49)</f>
        <v>0</v>
      </c>
    </row>
    <row r="54" spans="2:45" ht="15.75" thickTop="1" x14ac:dyDescent="0.25">
      <c r="E54" s="1"/>
      <c r="F54" s="1"/>
      <c r="G54" s="1"/>
      <c r="H54" s="1"/>
      <c r="I54" s="1"/>
      <c r="J54" s="1"/>
      <c r="K54" s="1"/>
      <c r="L54" s="1"/>
      <c r="M54" s="1"/>
      <c r="N54" s="1"/>
      <c r="O54" s="1"/>
      <c r="P54" s="1"/>
      <c r="Q54" s="1"/>
      <c r="R54" s="1"/>
      <c r="S54" s="1"/>
      <c r="T54" s="1"/>
      <c r="U54" s="1"/>
      <c r="W54" s="1"/>
      <c r="X54" s="1"/>
      <c r="Y54" s="1"/>
      <c r="Z54" s="1"/>
      <c r="AA54" s="1"/>
      <c r="AB54" s="1"/>
      <c r="AC54" s="1"/>
      <c r="AE54" s="1"/>
      <c r="AF54" s="1"/>
      <c r="AG54" s="1"/>
      <c r="AH54" s="1"/>
      <c r="AI54" s="1"/>
      <c r="AJ54" s="1"/>
      <c r="AK54" s="1"/>
      <c r="AM54" s="1"/>
      <c r="AN54" s="1"/>
      <c r="AO54" s="1"/>
      <c r="AP54" s="1"/>
      <c r="AQ54" s="1"/>
      <c r="AR54" s="1"/>
      <c r="AS54" s="1"/>
    </row>
    <row r="55" spans="2:45" ht="15.75" thickBot="1" x14ac:dyDescent="0.3">
      <c r="B55" s="9"/>
      <c r="C55" s="9"/>
      <c r="D55" s="43"/>
      <c r="E55" s="69">
        <v>2020</v>
      </c>
      <c r="F55" s="70"/>
      <c r="G55" s="137">
        <v>2021</v>
      </c>
      <c r="H55" s="137"/>
      <c r="I55" s="137"/>
      <c r="J55" s="137"/>
      <c r="K55" s="137"/>
      <c r="L55" s="137"/>
      <c r="M55" s="137"/>
      <c r="N55" s="70"/>
      <c r="O55" s="137">
        <v>2022</v>
      </c>
      <c r="P55" s="137"/>
      <c r="Q55" s="137"/>
      <c r="R55" s="137"/>
      <c r="S55" s="137"/>
      <c r="T55" s="137"/>
      <c r="U55" s="137"/>
      <c r="W55" s="137">
        <v>2023</v>
      </c>
      <c r="X55" s="137"/>
      <c r="Y55" s="137"/>
      <c r="Z55" s="137"/>
      <c r="AA55" s="137"/>
      <c r="AB55" s="137"/>
      <c r="AC55" s="137"/>
      <c r="AE55" s="137">
        <v>2024</v>
      </c>
      <c r="AF55" s="137"/>
      <c r="AG55" s="137"/>
      <c r="AH55" s="137"/>
      <c r="AI55" s="137"/>
      <c r="AJ55" s="137"/>
      <c r="AK55" s="137"/>
      <c r="AM55" s="137">
        <v>2025</v>
      </c>
      <c r="AN55" s="137"/>
      <c r="AO55" s="137"/>
      <c r="AP55" s="137"/>
      <c r="AQ55" s="137"/>
      <c r="AR55" s="137"/>
      <c r="AS55" s="137"/>
    </row>
    <row r="56" spans="2:45" ht="15.75" thickBot="1" x14ac:dyDescent="0.3">
      <c r="B56" s="11" t="s">
        <v>48</v>
      </c>
      <c r="C56" s="11" t="s">
        <v>141</v>
      </c>
      <c r="D56" s="43"/>
      <c r="E56" s="64">
        <v>44196</v>
      </c>
      <c r="F56" s="70"/>
      <c r="G56" s="64">
        <v>44286</v>
      </c>
      <c r="H56" s="70"/>
      <c r="I56" s="64">
        <v>44377</v>
      </c>
      <c r="J56" s="70"/>
      <c r="K56" s="97">
        <v>44469</v>
      </c>
      <c r="L56" s="70"/>
      <c r="M56" s="64">
        <v>44561</v>
      </c>
      <c r="N56" s="70"/>
      <c r="O56" s="64">
        <v>44651</v>
      </c>
      <c r="P56" s="70"/>
      <c r="Q56" s="64">
        <v>44742</v>
      </c>
      <c r="R56" s="70"/>
      <c r="S56" s="64">
        <v>44834</v>
      </c>
      <c r="T56" s="70"/>
      <c r="U56" s="64">
        <v>44926</v>
      </c>
      <c r="W56" s="64">
        <f>W$6</f>
        <v>45016</v>
      </c>
      <c r="X56" s="70"/>
      <c r="Y56" s="64">
        <f>Y$6</f>
        <v>45107</v>
      </c>
      <c r="Z56" s="70"/>
      <c r="AA56" s="64">
        <f>AA$6</f>
        <v>45199</v>
      </c>
      <c r="AB56" s="70"/>
      <c r="AC56" s="64">
        <f>AC$6</f>
        <v>45291</v>
      </c>
      <c r="AE56" s="64">
        <f>AE$6</f>
        <v>45382</v>
      </c>
      <c r="AF56" s="70"/>
      <c r="AG56" s="64">
        <f>AG$6</f>
        <v>45473</v>
      </c>
      <c r="AH56" s="70"/>
      <c r="AI56" s="64">
        <f>AI$6</f>
        <v>45565</v>
      </c>
      <c r="AJ56" s="70"/>
      <c r="AK56" s="64">
        <f>AK$6</f>
        <v>45657</v>
      </c>
      <c r="AM56" s="64">
        <f>AM$6</f>
        <v>45747</v>
      </c>
      <c r="AN56" s="70"/>
      <c r="AO56" s="64">
        <f>AO$6</f>
        <v>45838</v>
      </c>
      <c r="AP56" s="70"/>
      <c r="AQ56" s="64">
        <f>AQ$6</f>
        <v>45930</v>
      </c>
      <c r="AR56" s="70"/>
      <c r="AS56" s="64">
        <f>AS$6</f>
        <v>46022</v>
      </c>
    </row>
    <row r="57" spans="2:45" x14ac:dyDescent="0.25">
      <c r="B57" s="9"/>
      <c r="C57" s="9"/>
      <c r="D57" s="1"/>
      <c r="E57" s="14"/>
      <c r="F57" s="10"/>
      <c r="G57" s="14"/>
      <c r="H57" s="14"/>
      <c r="I57" s="14"/>
      <c r="J57" s="14"/>
      <c r="K57" s="14"/>
      <c r="L57" s="14"/>
      <c r="M57" s="14"/>
      <c r="N57" s="10"/>
      <c r="O57" s="14"/>
      <c r="P57" s="14"/>
      <c r="Q57" s="14"/>
      <c r="R57" s="14"/>
      <c r="S57" s="14"/>
      <c r="T57" s="14"/>
      <c r="U57" s="14"/>
      <c r="W57" s="14"/>
      <c r="X57" s="14"/>
      <c r="Y57" s="14"/>
      <c r="Z57" s="14"/>
      <c r="AA57" s="14"/>
      <c r="AB57" s="14"/>
      <c r="AC57" s="14"/>
      <c r="AE57" s="14"/>
      <c r="AF57" s="14"/>
      <c r="AG57" s="14"/>
      <c r="AH57" s="14"/>
      <c r="AI57" s="14"/>
      <c r="AJ57" s="14"/>
      <c r="AK57" s="14"/>
      <c r="AM57" s="14"/>
      <c r="AN57" s="14"/>
      <c r="AO57" s="14"/>
      <c r="AP57" s="14"/>
      <c r="AQ57" s="14"/>
      <c r="AR57" s="14"/>
      <c r="AS57" s="14"/>
    </row>
    <row r="58" spans="2:45" x14ac:dyDescent="0.25">
      <c r="B58" s="7" t="s">
        <v>1</v>
      </c>
      <c r="C58" s="7" t="s">
        <v>142</v>
      </c>
      <c r="D58" s="1"/>
      <c r="E58" s="1"/>
      <c r="F58" s="1"/>
      <c r="G58" s="1"/>
      <c r="H58" s="1"/>
      <c r="I58" s="1"/>
      <c r="J58" s="1"/>
      <c r="K58" s="1"/>
      <c r="L58" s="1"/>
      <c r="M58" s="1"/>
      <c r="N58" s="1"/>
      <c r="O58" s="1"/>
      <c r="P58" s="1"/>
      <c r="Q58" s="1"/>
      <c r="R58" s="1"/>
      <c r="S58" s="1"/>
      <c r="T58" s="1"/>
      <c r="U58" s="1"/>
      <c r="W58" s="1"/>
      <c r="X58" s="1"/>
      <c r="Y58" s="1"/>
      <c r="Z58" s="1"/>
      <c r="AA58" s="1"/>
      <c r="AB58" s="1"/>
      <c r="AC58" s="1"/>
      <c r="AE58" s="1"/>
      <c r="AF58" s="1"/>
      <c r="AG58" s="1"/>
      <c r="AH58" s="1"/>
      <c r="AI58" s="1"/>
      <c r="AJ58" s="1"/>
      <c r="AK58" s="1"/>
      <c r="AM58" s="1"/>
      <c r="AN58" s="1"/>
      <c r="AO58" s="1"/>
      <c r="AP58" s="1"/>
      <c r="AQ58" s="1"/>
      <c r="AR58" s="1"/>
      <c r="AS58" s="1"/>
    </row>
    <row r="59" spans="2:45" x14ac:dyDescent="0.25">
      <c r="B59" s="15" t="s">
        <v>14</v>
      </c>
      <c r="C59" s="15" t="s">
        <v>143</v>
      </c>
      <c r="D59" s="21"/>
      <c r="E59" s="16">
        <v>223.24700000000001</v>
      </c>
      <c r="F59" s="3">
        <v>0</v>
      </c>
      <c r="G59" s="16">
        <v>289.73599999999999</v>
      </c>
      <c r="H59" s="3">
        <v>0</v>
      </c>
      <c r="I59" s="16">
        <v>238.69</v>
      </c>
      <c r="J59" s="3">
        <v>0</v>
      </c>
      <c r="K59" s="16">
        <v>280.31200000000001</v>
      </c>
      <c r="L59" s="3">
        <v>0</v>
      </c>
      <c r="M59" s="16">
        <v>262.38299999999998</v>
      </c>
      <c r="N59" s="3">
        <v>0</v>
      </c>
      <c r="O59" s="16">
        <v>255.25299999999999</v>
      </c>
      <c r="P59" s="3">
        <v>0</v>
      </c>
      <c r="Q59" s="16">
        <v>246.70699999999999</v>
      </c>
      <c r="R59" s="3">
        <v>0</v>
      </c>
      <c r="S59" s="16">
        <v>293.30799999999999</v>
      </c>
      <c r="T59" s="3">
        <v>0</v>
      </c>
      <c r="U59" s="16">
        <v>262.34800000000001</v>
      </c>
      <c r="V59" s="3">
        <v>0</v>
      </c>
      <c r="W59" s="16">
        <v>299.51600000000002</v>
      </c>
      <c r="X59" s="3">
        <v>0</v>
      </c>
      <c r="Y59" s="16">
        <v>303.79500000000002</v>
      </c>
      <c r="Z59" s="3">
        <v>0</v>
      </c>
      <c r="AA59" s="16">
        <v>346.16199999999998</v>
      </c>
      <c r="AB59" s="3">
        <v>0</v>
      </c>
      <c r="AC59" s="16">
        <v>271.983</v>
      </c>
      <c r="AD59" s="3">
        <v>0</v>
      </c>
      <c r="AE59" s="16">
        <v>389.66500000000002</v>
      </c>
      <c r="AF59" s="3">
        <v>0</v>
      </c>
      <c r="AG59" s="16">
        <v>1629.933</v>
      </c>
      <c r="AH59" s="3">
        <v>0</v>
      </c>
      <c r="AI59" s="16">
        <v>456.72500000000002</v>
      </c>
      <c r="AJ59" s="3">
        <v>0</v>
      </c>
      <c r="AK59" s="16">
        <v>347.245</v>
      </c>
      <c r="AM59" s="16">
        <v>1338</v>
      </c>
      <c r="AN59" s="18"/>
      <c r="AO59" s="16"/>
      <c r="AP59" s="18"/>
      <c r="AQ59" s="16"/>
      <c r="AR59" s="18"/>
      <c r="AS59" s="16"/>
    </row>
    <row r="60" spans="2:45" x14ac:dyDescent="0.25">
      <c r="B60" s="19" t="s">
        <v>4</v>
      </c>
      <c r="C60" s="19" t="s">
        <v>120</v>
      </c>
      <c r="D60" s="21"/>
      <c r="E60" s="3">
        <v>36.680999999999997</v>
      </c>
      <c r="F60" s="3">
        <v>0</v>
      </c>
      <c r="G60" s="3">
        <v>47.765999999999998</v>
      </c>
      <c r="H60" s="3">
        <v>0</v>
      </c>
      <c r="I60" s="3">
        <v>78.456000000000003</v>
      </c>
      <c r="J60" s="3">
        <v>0</v>
      </c>
      <c r="K60" s="3">
        <v>146.232</v>
      </c>
      <c r="L60" s="3">
        <v>0</v>
      </c>
      <c r="M60" s="3">
        <v>198.00899999999999</v>
      </c>
      <c r="N60" s="3">
        <v>0</v>
      </c>
      <c r="O60" s="3">
        <v>214.583</v>
      </c>
      <c r="P60" s="3">
        <v>0</v>
      </c>
      <c r="Q60" s="3">
        <v>230.08</v>
      </c>
      <c r="R60" s="3">
        <v>0</v>
      </c>
      <c r="S60" s="3">
        <v>270.79399999999998</v>
      </c>
      <c r="T60" s="3">
        <v>0</v>
      </c>
      <c r="U60" s="3">
        <v>271.64699999999999</v>
      </c>
      <c r="V60" s="3">
        <v>0</v>
      </c>
      <c r="W60" s="3">
        <v>266.00299999999999</v>
      </c>
      <c r="X60" s="3">
        <v>0</v>
      </c>
      <c r="Y60" s="3">
        <v>259.625</v>
      </c>
      <c r="Z60" s="3">
        <v>0</v>
      </c>
      <c r="AA60" s="3">
        <v>269.07600000000002</v>
      </c>
      <c r="AB60" s="3">
        <v>0</v>
      </c>
      <c r="AC60" s="3">
        <v>238.82599999999999</v>
      </c>
      <c r="AD60" s="3">
        <v>0</v>
      </c>
      <c r="AE60" s="3">
        <v>226.73</v>
      </c>
      <c r="AF60" s="3">
        <v>0</v>
      </c>
      <c r="AG60" s="3">
        <v>234.64400000000001</v>
      </c>
      <c r="AH60" s="3">
        <v>0</v>
      </c>
      <c r="AI60" s="3">
        <v>194.78899999999999</v>
      </c>
      <c r="AJ60" s="3">
        <v>0</v>
      </c>
      <c r="AK60" s="3">
        <v>248.113</v>
      </c>
      <c r="AM60" s="3">
        <v>272</v>
      </c>
      <c r="AN60" s="21"/>
      <c r="AP60" s="21"/>
      <c r="AR60" s="21"/>
    </row>
    <row r="61" spans="2:45" x14ac:dyDescent="0.25">
      <c r="B61" s="15" t="s">
        <v>291</v>
      </c>
      <c r="C61" s="15" t="s">
        <v>144</v>
      </c>
      <c r="D61" s="3"/>
      <c r="E61" s="16">
        <v>105.383</v>
      </c>
      <c r="F61" s="3">
        <v>0</v>
      </c>
      <c r="G61" s="16">
        <v>130.21799999999999</v>
      </c>
      <c r="H61" s="3">
        <v>0</v>
      </c>
      <c r="I61" s="16">
        <v>182.44900000000001</v>
      </c>
      <c r="J61" s="3">
        <v>0</v>
      </c>
      <c r="K61" s="16">
        <v>217.53</v>
      </c>
      <c r="L61" s="3">
        <v>0</v>
      </c>
      <c r="M61" s="16">
        <v>201.065</v>
      </c>
      <c r="N61" s="3">
        <v>0</v>
      </c>
      <c r="O61" s="16">
        <v>175.49299999999999</v>
      </c>
      <c r="P61" s="3">
        <v>0</v>
      </c>
      <c r="Q61" s="16">
        <v>232.56299999999999</v>
      </c>
      <c r="R61" s="3">
        <v>0</v>
      </c>
      <c r="S61" s="16">
        <v>240.101</v>
      </c>
      <c r="T61" s="3">
        <v>0</v>
      </c>
      <c r="U61" s="16">
        <v>165.88300000000001</v>
      </c>
      <c r="V61" s="3">
        <v>0</v>
      </c>
      <c r="W61" s="16">
        <v>167.78200000000001</v>
      </c>
      <c r="X61" s="3">
        <v>0</v>
      </c>
      <c r="Y61" s="16">
        <v>148.755</v>
      </c>
      <c r="Z61" s="3">
        <v>0</v>
      </c>
      <c r="AA61" s="16">
        <v>158.33099999999999</v>
      </c>
      <c r="AB61" s="3">
        <v>0</v>
      </c>
      <c r="AC61" s="16">
        <v>144.01300000000001</v>
      </c>
      <c r="AD61" s="3">
        <v>0</v>
      </c>
      <c r="AE61" s="16">
        <v>180.82400000000001</v>
      </c>
      <c r="AF61" s="3">
        <v>0</v>
      </c>
      <c r="AG61" s="16">
        <v>346.78500000000003</v>
      </c>
      <c r="AH61" s="3">
        <v>0</v>
      </c>
      <c r="AI61" s="16">
        <v>369.88499999999999</v>
      </c>
      <c r="AJ61" s="3">
        <v>0</v>
      </c>
      <c r="AK61" s="16">
        <v>333.44600000000003</v>
      </c>
      <c r="AM61" s="16">
        <v>434</v>
      </c>
      <c r="AN61" s="16"/>
      <c r="AO61" s="16"/>
      <c r="AP61" s="16"/>
      <c r="AQ61" s="16"/>
      <c r="AR61" s="16"/>
      <c r="AS61" s="16"/>
    </row>
    <row r="62" spans="2:45" x14ac:dyDescent="0.25">
      <c r="B62" s="19" t="s">
        <v>15</v>
      </c>
      <c r="C62" s="19" t="s">
        <v>145</v>
      </c>
      <c r="D62" s="3"/>
      <c r="E62" s="3">
        <v>1032.027</v>
      </c>
      <c r="F62" s="3">
        <v>0</v>
      </c>
      <c r="G62" s="3">
        <v>1034.384</v>
      </c>
      <c r="H62" s="3">
        <v>0</v>
      </c>
      <c r="I62" s="3">
        <v>1018.678</v>
      </c>
      <c r="J62" s="3">
        <v>0</v>
      </c>
      <c r="K62" s="3">
        <v>1428.32</v>
      </c>
      <c r="L62" s="3">
        <v>0</v>
      </c>
      <c r="M62" s="3">
        <v>1547.971</v>
      </c>
      <c r="N62" s="3">
        <v>0</v>
      </c>
      <c r="O62" s="3">
        <v>1435.9949999999999</v>
      </c>
      <c r="P62" s="3">
        <v>0</v>
      </c>
      <c r="Q62" s="3">
        <v>1494.1179999999999</v>
      </c>
      <c r="R62" s="3">
        <v>0</v>
      </c>
      <c r="S62" s="3">
        <v>1718.3109999999999</v>
      </c>
      <c r="T62" s="3">
        <v>0</v>
      </c>
      <c r="U62" s="3">
        <v>1880.761</v>
      </c>
      <c r="V62" s="3">
        <v>0</v>
      </c>
      <c r="W62" s="3">
        <v>1875.42</v>
      </c>
      <c r="X62" s="3">
        <v>0</v>
      </c>
      <c r="Y62" s="3">
        <v>1466.7080000000001</v>
      </c>
      <c r="Z62" s="3">
        <v>0</v>
      </c>
      <c r="AA62" s="3">
        <v>1467.9190000000001</v>
      </c>
      <c r="AB62" s="3">
        <v>0</v>
      </c>
      <c r="AC62" s="3">
        <v>1559.78</v>
      </c>
      <c r="AD62" s="3">
        <v>0</v>
      </c>
      <c r="AE62" s="3">
        <v>1269.135</v>
      </c>
      <c r="AF62" s="3">
        <v>0</v>
      </c>
      <c r="AG62" s="3">
        <v>1256.759</v>
      </c>
      <c r="AH62" s="3">
        <v>0</v>
      </c>
      <c r="AI62" s="3">
        <v>1442.819</v>
      </c>
      <c r="AJ62" s="3">
        <v>0</v>
      </c>
      <c r="AK62" s="3">
        <v>1565.9459999999999</v>
      </c>
      <c r="AM62" s="3">
        <v>1282</v>
      </c>
    </row>
    <row r="63" spans="2:45" x14ac:dyDescent="0.25">
      <c r="B63" s="15" t="s">
        <v>278</v>
      </c>
      <c r="C63" s="15" t="s">
        <v>146</v>
      </c>
      <c r="D63" s="21"/>
      <c r="E63" s="16">
        <v>2670.866</v>
      </c>
      <c r="F63" s="3">
        <v>0</v>
      </c>
      <c r="G63" s="16">
        <v>2433.7399999999998</v>
      </c>
      <c r="H63" s="3">
        <v>0</v>
      </c>
      <c r="I63" s="16">
        <v>2718.7919999999999</v>
      </c>
      <c r="J63" s="3">
        <v>0</v>
      </c>
      <c r="K63" s="16">
        <v>3108.2979999999998</v>
      </c>
      <c r="L63" s="3">
        <v>0</v>
      </c>
      <c r="M63" s="16">
        <v>3914.3009999999999</v>
      </c>
      <c r="N63" s="3">
        <v>0</v>
      </c>
      <c r="O63" s="16">
        <v>3584.68</v>
      </c>
      <c r="P63" s="3">
        <v>0</v>
      </c>
      <c r="Q63" s="16">
        <v>4142.7039999999997</v>
      </c>
      <c r="R63" s="3">
        <v>0</v>
      </c>
      <c r="S63" s="16">
        <v>4231.7070000000003</v>
      </c>
      <c r="T63" s="3">
        <v>0</v>
      </c>
      <c r="U63" s="16">
        <v>4275.7070000000003</v>
      </c>
      <c r="V63" s="3">
        <v>0</v>
      </c>
      <c r="W63" s="16">
        <v>3640.3780000000002</v>
      </c>
      <c r="X63" s="3">
        <v>0</v>
      </c>
      <c r="Y63" s="16">
        <v>3305.9409999999998</v>
      </c>
      <c r="Z63" s="3">
        <v>0</v>
      </c>
      <c r="AA63" s="16">
        <v>3426.2350000000001</v>
      </c>
      <c r="AB63" s="3">
        <v>0</v>
      </c>
      <c r="AC63" s="16">
        <v>3899.0309999999999</v>
      </c>
      <c r="AD63" s="3">
        <v>0</v>
      </c>
      <c r="AE63" s="16">
        <v>3334.2020000000002</v>
      </c>
      <c r="AF63" s="3">
        <v>0</v>
      </c>
      <c r="AG63" s="16">
        <v>3659.86</v>
      </c>
      <c r="AH63" s="3">
        <v>0</v>
      </c>
      <c r="AI63" s="16">
        <v>3259.1320000000001</v>
      </c>
      <c r="AJ63" s="3">
        <v>0</v>
      </c>
      <c r="AK63" s="16">
        <v>4521.5010000000002</v>
      </c>
      <c r="AM63" s="16">
        <v>3661</v>
      </c>
      <c r="AN63" s="18"/>
      <c r="AO63" s="16"/>
      <c r="AP63" s="18"/>
      <c r="AQ63" s="16"/>
      <c r="AR63" s="18"/>
      <c r="AS63" s="16"/>
    </row>
    <row r="64" spans="2:45" x14ac:dyDescent="0.25">
      <c r="B64" s="19" t="s">
        <v>16</v>
      </c>
      <c r="C64" s="19" t="s">
        <v>147</v>
      </c>
      <c r="D64" s="21"/>
      <c r="E64" s="3">
        <v>548.30799999999999</v>
      </c>
      <c r="F64" s="3">
        <v>0</v>
      </c>
      <c r="G64" s="3">
        <v>415.00900000000001</v>
      </c>
      <c r="H64" s="3">
        <v>0</v>
      </c>
      <c r="I64" s="3">
        <v>473.178</v>
      </c>
      <c r="J64" s="3">
        <v>0</v>
      </c>
      <c r="K64" s="3">
        <v>615.96900000000005</v>
      </c>
      <c r="L64" s="3">
        <v>0</v>
      </c>
      <c r="M64" s="3">
        <v>628.596</v>
      </c>
      <c r="N64" s="3">
        <v>0</v>
      </c>
      <c r="O64" s="3">
        <v>423.25799999999998</v>
      </c>
      <c r="P64" s="3">
        <v>0</v>
      </c>
      <c r="Q64" s="3">
        <v>505.637</v>
      </c>
      <c r="R64" s="3">
        <v>0</v>
      </c>
      <c r="S64" s="3">
        <v>607.62800000000004</v>
      </c>
      <c r="T64" s="3">
        <v>0</v>
      </c>
      <c r="U64" s="3">
        <v>598.86099999999999</v>
      </c>
      <c r="V64" s="3">
        <v>0</v>
      </c>
      <c r="W64" s="3">
        <v>534.63499999999999</v>
      </c>
      <c r="X64" s="3">
        <v>0</v>
      </c>
      <c r="Y64" s="3">
        <v>567.26300000000003</v>
      </c>
      <c r="Z64" s="3">
        <v>0</v>
      </c>
      <c r="AA64" s="3">
        <v>703.47799999999995</v>
      </c>
      <c r="AB64" s="3">
        <v>0</v>
      </c>
      <c r="AC64" s="3">
        <v>721.93399999999997</v>
      </c>
      <c r="AD64" s="3">
        <v>0</v>
      </c>
      <c r="AE64" s="3">
        <v>522.03599999999994</v>
      </c>
      <c r="AF64" s="3">
        <v>0</v>
      </c>
      <c r="AG64" s="3">
        <v>601.21799999999996</v>
      </c>
      <c r="AH64" s="3">
        <v>0</v>
      </c>
      <c r="AI64" s="3">
        <v>691.39300000000003</v>
      </c>
      <c r="AJ64" s="3">
        <v>0</v>
      </c>
      <c r="AK64" s="3">
        <v>719.90499999999997</v>
      </c>
      <c r="AM64" s="3">
        <v>569</v>
      </c>
      <c r="AN64" s="21"/>
      <c r="AP64" s="21"/>
      <c r="AR64" s="21"/>
    </row>
    <row r="65" spans="2:45" x14ac:dyDescent="0.25">
      <c r="B65" s="15" t="s">
        <v>50</v>
      </c>
      <c r="C65" s="15" t="s">
        <v>148</v>
      </c>
      <c r="D65" s="21"/>
      <c r="E65" s="16">
        <v>50.658000000000001</v>
      </c>
      <c r="F65" s="3">
        <v>0</v>
      </c>
      <c r="G65" s="16">
        <v>34.167000000000002</v>
      </c>
      <c r="H65" s="3">
        <v>0</v>
      </c>
      <c r="I65" s="16">
        <v>112.114</v>
      </c>
      <c r="J65" s="3">
        <v>0</v>
      </c>
      <c r="K65" s="16">
        <v>168.59200000000001</v>
      </c>
      <c r="L65" s="3">
        <v>0</v>
      </c>
      <c r="M65" s="16">
        <v>43.65</v>
      </c>
      <c r="N65" s="3">
        <v>0</v>
      </c>
      <c r="O65" s="16">
        <v>14.11</v>
      </c>
      <c r="P65" s="3">
        <v>0</v>
      </c>
      <c r="Q65" s="16">
        <v>12.638</v>
      </c>
      <c r="R65" s="3">
        <v>0</v>
      </c>
      <c r="S65" s="16">
        <v>109.185</v>
      </c>
      <c r="T65" s="3">
        <v>0</v>
      </c>
      <c r="U65" s="16">
        <v>32.841999999999999</v>
      </c>
      <c r="V65" s="3">
        <v>0</v>
      </c>
      <c r="W65" s="16">
        <v>47.881</v>
      </c>
      <c r="X65" s="3">
        <v>0</v>
      </c>
      <c r="Y65" s="16">
        <v>60.054000000000002</v>
      </c>
      <c r="Z65" s="3">
        <v>0</v>
      </c>
      <c r="AA65" s="16">
        <v>108.869</v>
      </c>
      <c r="AB65" s="3">
        <v>0</v>
      </c>
      <c r="AC65" s="16">
        <v>34.29</v>
      </c>
      <c r="AD65" s="3">
        <v>0</v>
      </c>
      <c r="AE65" s="16">
        <v>30.678999999999998</v>
      </c>
      <c r="AF65" s="3">
        <v>0</v>
      </c>
      <c r="AG65" s="16">
        <v>24.181999999999999</v>
      </c>
      <c r="AH65" s="3">
        <v>0</v>
      </c>
      <c r="AI65" s="16">
        <v>119.92700000000001</v>
      </c>
      <c r="AJ65" s="3">
        <v>0</v>
      </c>
      <c r="AK65" s="16">
        <v>74.367999999999995</v>
      </c>
      <c r="AM65" s="16">
        <v>204</v>
      </c>
      <c r="AN65" s="18"/>
      <c r="AO65" s="16"/>
      <c r="AP65" s="18"/>
      <c r="AQ65" s="16"/>
      <c r="AR65" s="16"/>
      <c r="AS65" s="16"/>
    </row>
    <row r="66" spans="2:45" x14ac:dyDescent="0.25">
      <c r="B66" s="19" t="s">
        <v>17</v>
      </c>
      <c r="C66" s="19" t="s">
        <v>149</v>
      </c>
      <c r="D66" s="21"/>
      <c r="E66" s="3">
        <v>260.84199999999998</v>
      </c>
      <c r="F66" s="3">
        <v>0</v>
      </c>
      <c r="G66" s="3">
        <v>275.43099999999998</v>
      </c>
      <c r="H66" s="3">
        <v>0</v>
      </c>
      <c r="I66" s="3">
        <v>298.93700000000001</v>
      </c>
      <c r="J66" s="3">
        <v>0</v>
      </c>
      <c r="K66" s="3">
        <v>331.27600000000001</v>
      </c>
      <c r="L66" s="3">
        <v>0</v>
      </c>
      <c r="M66" s="3">
        <v>304.959</v>
      </c>
      <c r="N66" s="3">
        <v>0</v>
      </c>
      <c r="O66" s="3">
        <v>299.69900000000001</v>
      </c>
      <c r="P66" s="3">
        <v>0</v>
      </c>
      <c r="Q66" s="3">
        <v>352.56900000000002</v>
      </c>
      <c r="R66" s="3">
        <v>0</v>
      </c>
      <c r="S66" s="3">
        <v>378.12299999999999</v>
      </c>
      <c r="T66" s="3">
        <v>0</v>
      </c>
      <c r="U66" s="3">
        <v>320.54599999999999</v>
      </c>
      <c r="V66" s="3">
        <v>0</v>
      </c>
      <c r="W66" s="3">
        <v>287.44400000000002</v>
      </c>
      <c r="X66" s="3">
        <v>0</v>
      </c>
      <c r="Y66" s="3">
        <v>384.06799999999998</v>
      </c>
      <c r="Z66" s="3">
        <v>0</v>
      </c>
      <c r="AA66" s="3">
        <v>395.59800000000001</v>
      </c>
      <c r="AB66" s="3">
        <v>0</v>
      </c>
      <c r="AC66" s="3">
        <v>387.20100000000002</v>
      </c>
      <c r="AD66" s="3">
        <v>0</v>
      </c>
      <c r="AE66" s="3">
        <v>314.755</v>
      </c>
      <c r="AF66" s="3">
        <v>0</v>
      </c>
      <c r="AG66" s="3">
        <v>385.78100000000001</v>
      </c>
      <c r="AH66" s="3">
        <v>0</v>
      </c>
      <c r="AI66" s="3">
        <v>412.892</v>
      </c>
      <c r="AJ66" s="3">
        <v>0</v>
      </c>
      <c r="AK66" s="3">
        <v>346.24799999999999</v>
      </c>
      <c r="AM66" s="3">
        <v>357</v>
      </c>
      <c r="AN66" s="21"/>
      <c r="AP66" s="21"/>
      <c r="AR66" s="21"/>
    </row>
    <row r="67" spans="2:45" x14ac:dyDescent="0.25">
      <c r="B67" s="15" t="s">
        <v>18</v>
      </c>
      <c r="C67" s="15" t="s">
        <v>150</v>
      </c>
      <c r="D67" s="44"/>
      <c r="E67" s="16">
        <v>50.279000000000003</v>
      </c>
      <c r="F67" s="3">
        <v>0</v>
      </c>
      <c r="G67" s="16">
        <v>64.555000000000007</v>
      </c>
      <c r="H67" s="3">
        <v>0</v>
      </c>
      <c r="I67" s="16">
        <v>75.837000000000003</v>
      </c>
      <c r="J67" s="3">
        <v>0</v>
      </c>
      <c r="K67" s="16">
        <v>104.48399999999999</v>
      </c>
      <c r="L67" s="3">
        <v>0</v>
      </c>
      <c r="M67" s="16">
        <v>39.722000000000001</v>
      </c>
      <c r="N67" s="3">
        <v>0</v>
      </c>
      <c r="O67" s="16">
        <v>40.088999999999999</v>
      </c>
      <c r="P67" s="3">
        <v>0</v>
      </c>
      <c r="Q67" s="16">
        <v>36.555</v>
      </c>
      <c r="R67" s="3">
        <v>0</v>
      </c>
      <c r="S67" s="16">
        <v>46.558</v>
      </c>
      <c r="T67" s="3">
        <v>0</v>
      </c>
      <c r="U67" s="16">
        <v>58.292000000000002</v>
      </c>
      <c r="V67" s="3">
        <v>0</v>
      </c>
      <c r="W67" s="16">
        <v>47.395000000000003</v>
      </c>
      <c r="X67" s="3">
        <v>0</v>
      </c>
      <c r="Y67" s="16">
        <v>48.189</v>
      </c>
      <c r="Z67" s="3">
        <v>0</v>
      </c>
      <c r="AA67" s="16">
        <v>44.509</v>
      </c>
      <c r="AB67" s="3">
        <v>0</v>
      </c>
      <c r="AC67" s="16">
        <v>97.632000000000005</v>
      </c>
      <c r="AD67" s="3">
        <v>0</v>
      </c>
      <c r="AE67" s="16">
        <v>48.543999999999997</v>
      </c>
      <c r="AF67" s="3">
        <v>0</v>
      </c>
      <c r="AG67" s="16">
        <v>57.494</v>
      </c>
      <c r="AH67" s="3">
        <v>0</v>
      </c>
      <c r="AI67" s="16">
        <v>73.695999999999998</v>
      </c>
      <c r="AJ67" s="3">
        <v>0</v>
      </c>
      <c r="AK67" s="16">
        <v>69.888000000000005</v>
      </c>
      <c r="AM67" s="16">
        <v>70</v>
      </c>
      <c r="AN67" s="23"/>
      <c r="AO67" s="16"/>
      <c r="AP67" s="23"/>
      <c r="AQ67" s="16"/>
      <c r="AR67" s="23"/>
      <c r="AS67" s="16"/>
    </row>
    <row r="68" spans="2:45" x14ac:dyDescent="0.25">
      <c r="B68" s="19" t="s">
        <v>19</v>
      </c>
      <c r="C68" s="19" t="s">
        <v>151</v>
      </c>
      <c r="D68" s="21"/>
      <c r="E68" s="3">
        <v>87.305000000000007</v>
      </c>
      <c r="F68" s="3">
        <v>0</v>
      </c>
      <c r="G68" s="3">
        <v>87.03</v>
      </c>
      <c r="H68" s="3">
        <v>0</v>
      </c>
      <c r="I68" s="3">
        <v>86.790999999999997</v>
      </c>
      <c r="J68" s="3">
        <v>0</v>
      </c>
      <c r="K68" s="3">
        <v>1.738</v>
      </c>
      <c r="L68" s="3">
        <v>0</v>
      </c>
      <c r="M68" s="3">
        <v>847.25699999999995</v>
      </c>
      <c r="N68" s="3">
        <v>0</v>
      </c>
      <c r="O68" s="3">
        <v>309.43900000000002</v>
      </c>
      <c r="P68" s="3">
        <v>0</v>
      </c>
      <c r="Q68" s="3">
        <v>309.45299999999997</v>
      </c>
      <c r="R68" s="3">
        <v>0</v>
      </c>
      <c r="S68" s="3">
        <v>1.0940000000000001</v>
      </c>
      <c r="T68" s="3">
        <v>0</v>
      </c>
      <c r="U68" s="3">
        <v>221.185</v>
      </c>
      <c r="V68" s="3">
        <v>0</v>
      </c>
      <c r="W68" s="3">
        <v>1.8009999999999999</v>
      </c>
      <c r="X68" s="3">
        <v>0</v>
      </c>
      <c r="Y68" s="3">
        <v>1.6579999999999999</v>
      </c>
      <c r="Z68" s="3">
        <v>0</v>
      </c>
      <c r="AA68" s="3">
        <v>1.661</v>
      </c>
      <c r="AB68" s="3">
        <v>0</v>
      </c>
      <c r="AC68" s="3">
        <v>559.04</v>
      </c>
      <c r="AD68" s="3">
        <v>0</v>
      </c>
      <c r="AE68" s="3">
        <v>70.733000000000004</v>
      </c>
      <c r="AF68" s="3">
        <v>0</v>
      </c>
      <c r="AG68" s="3">
        <v>70.918000000000006</v>
      </c>
      <c r="AH68" s="3">
        <v>0</v>
      </c>
      <c r="AI68" s="3">
        <v>1.403</v>
      </c>
      <c r="AJ68" s="3">
        <v>0</v>
      </c>
      <c r="AK68" s="3">
        <v>214.803</v>
      </c>
      <c r="AM68" s="3">
        <v>7</v>
      </c>
      <c r="AN68" s="21"/>
      <c r="AP68" s="21"/>
      <c r="AR68" s="21"/>
    </row>
    <row r="69" spans="2:45" x14ac:dyDescent="0.25">
      <c r="B69" s="15" t="s">
        <v>273</v>
      </c>
      <c r="C69" s="15" t="s">
        <v>152</v>
      </c>
      <c r="D69" s="21"/>
      <c r="E69" s="16">
        <v>41.033999999999999</v>
      </c>
      <c r="F69" s="3">
        <v>0</v>
      </c>
      <c r="G69" s="16">
        <v>45.578000000000003</v>
      </c>
      <c r="H69" s="3">
        <v>0</v>
      </c>
      <c r="I69" s="16">
        <v>47.896999999999998</v>
      </c>
      <c r="J69" s="3">
        <v>0</v>
      </c>
      <c r="K69" s="16">
        <v>49.1</v>
      </c>
      <c r="L69" s="3">
        <v>0</v>
      </c>
      <c r="M69" s="16">
        <v>50.344000000000001</v>
      </c>
      <c r="N69" s="3">
        <v>0</v>
      </c>
      <c r="O69" s="16">
        <v>53.33</v>
      </c>
      <c r="P69" s="3">
        <v>0</v>
      </c>
      <c r="Q69" s="16">
        <v>54.790999999999997</v>
      </c>
      <c r="R69" s="3">
        <v>0</v>
      </c>
      <c r="S69" s="16">
        <v>55.213000000000001</v>
      </c>
      <c r="T69" s="3">
        <v>0</v>
      </c>
      <c r="U69" s="16">
        <v>54.932000000000002</v>
      </c>
      <c r="V69" s="3">
        <v>0</v>
      </c>
      <c r="W69" s="16">
        <v>54.540999999999997</v>
      </c>
      <c r="X69" s="3">
        <v>0</v>
      </c>
      <c r="Y69" s="16">
        <v>54.543999999999997</v>
      </c>
      <c r="Z69" s="3">
        <v>0</v>
      </c>
      <c r="AA69" s="16">
        <v>54.15</v>
      </c>
      <c r="AB69" s="3">
        <v>0</v>
      </c>
      <c r="AC69" s="16">
        <v>53.947000000000003</v>
      </c>
      <c r="AD69" s="3">
        <v>0</v>
      </c>
      <c r="AE69" s="16">
        <v>52.62</v>
      </c>
      <c r="AF69" s="3">
        <v>0</v>
      </c>
      <c r="AG69" s="16">
        <v>52.524999999999999</v>
      </c>
      <c r="AH69" s="3">
        <v>0</v>
      </c>
      <c r="AI69" s="16">
        <v>53.38</v>
      </c>
      <c r="AJ69" s="3">
        <v>0</v>
      </c>
      <c r="AK69" s="16">
        <v>55.009</v>
      </c>
      <c r="AM69" s="16">
        <v>56</v>
      </c>
      <c r="AN69" s="18"/>
      <c r="AO69" s="16"/>
      <c r="AP69" s="18"/>
      <c r="AQ69" s="16"/>
      <c r="AR69" s="18"/>
      <c r="AS69" s="16"/>
    </row>
    <row r="70" spans="2:45" x14ac:dyDescent="0.25">
      <c r="B70" s="19" t="s">
        <v>54</v>
      </c>
      <c r="C70" s="19"/>
      <c r="D70" s="21"/>
      <c r="E70" s="3">
        <v>0</v>
      </c>
      <c r="F70" s="3">
        <v>0</v>
      </c>
      <c r="G70" s="3">
        <v>0</v>
      </c>
      <c r="H70" s="3">
        <v>0</v>
      </c>
      <c r="I70" s="3">
        <v>0</v>
      </c>
      <c r="J70" s="3">
        <v>0</v>
      </c>
      <c r="K70" s="3">
        <v>0</v>
      </c>
      <c r="L70" s="3">
        <v>0</v>
      </c>
      <c r="M70" s="3">
        <v>0</v>
      </c>
      <c r="N70" s="3">
        <v>0</v>
      </c>
      <c r="O70" s="3">
        <v>0</v>
      </c>
      <c r="P70" s="3">
        <v>0</v>
      </c>
      <c r="Q70" s="3">
        <v>0</v>
      </c>
      <c r="R70" s="3">
        <v>0</v>
      </c>
      <c r="S70" s="3">
        <v>0</v>
      </c>
      <c r="T70" s="3">
        <v>0</v>
      </c>
      <c r="U70" s="3">
        <v>0</v>
      </c>
      <c r="V70" s="3">
        <v>0</v>
      </c>
      <c r="W70" s="3">
        <v>0</v>
      </c>
      <c r="X70" s="3">
        <v>0</v>
      </c>
      <c r="Y70" s="3">
        <v>0</v>
      </c>
      <c r="Z70" s="3">
        <v>0</v>
      </c>
      <c r="AA70" s="3">
        <v>0</v>
      </c>
      <c r="AB70" s="3">
        <v>0</v>
      </c>
      <c r="AC70" s="3">
        <v>95.337999999999994</v>
      </c>
      <c r="AD70" s="3">
        <v>0</v>
      </c>
      <c r="AE70" s="3">
        <v>0</v>
      </c>
      <c r="AF70" s="3">
        <v>0</v>
      </c>
      <c r="AG70" s="3">
        <v>185.12200000000001</v>
      </c>
      <c r="AH70" s="3">
        <v>0</v>
      </c>
      <c r="AI70" s="3">
        <v>164.84800000000001</v>
      </c>
      <c r="AJ70" s="3">
        <v>0</v>
      </c>
      <c r="AK70" s="3">
        <v>157.47300000000001</v>
      </c>
      <c r="AM70" s="3">
        <v>87</v>
      </c>
      <c r="AN70" s="21"/>
      <c r="AP70" s="21"/>
      <c r="AR70" s="21"/>
    </row>
    <row r="71" spans="2:45" x14ac:dyDescent="0.25">
      <c r="B71" s="30" t="s">
        <v>20</v>
      </c>
      <c r="C71" s="30" t="s">
        <v>153</v>
      </c>
      <c r="E71" s="24">
        <v>287.959</v>
      </c>
      <c r="F71" s="3">
        <v>0</v>
      </c>
      <c r="G71" s="24">
        <v>292.88400000000001</v>
      </c>
      <c r="H71" s="3">
        <v>0</v>
      </c>
      <c r="I71" s="24">
        <v>324.69099999999997</v>
      </c>
      <c r="J71" s="3">
        <v>0</v>
      </c>
      <c r="K71" s="24">
        <v>358.35399999999998</v>
      </c>
      <c r="L71" s="3">
        <v>0</v>
      </c>
      <c r="M71" s="24">
        <v>764.19100000000003</v>
      </c>
      <c r="N71" s="3">
        <v>0</v>
      </c>
      <c r="O71" s="24">
        <v>605.26</v>
      </c>
      <c r="P71" s="3">
        <v>0</v>
      </c>
      <c r="Q71" s="24">
        <v>487.22199999999998</v>
      </c>
      <c r="R71" s="3">
        <v>0</v>
      </c>
      <c r="S71" s="24">
        <v>449.40499999999997</v>
      </c>
      <c r="T71" s="3">
        <v>0</v>
      </c>
      <c r="U71" s="24">
        <v>507.49200000000002</v>
      </c>
      <c r="V71" s="3">
        <v>0</v>
      </c>
      <c r="W71" s="24">
        <v>481.75400000000002</v>
      </c>
      <c r="X71" s="3">
        <v>0</v>
      </c>
      <c r="Y71" s="24">
        <v>238.63300000000001</v>
      </c>
      <c r="Z71" s="3">
        <v>0</v>
      </c>
      <c r="AA71" s="24">
        <v>301.00400000000002</v>
      </c>
      <c r="AB71" s="3">
        <v>0</v>
      </c>
      <c r="AC71" s="24">
        <v>236.31800000000001</v>
      </c>
      <c r="AD71" s="3">
        <v>0</v>
      </c>
      <c r="AE71" s="24">
        <v>194.39400000000001</v>
      </c>
      <c r="AF71" s="3">
        <v>0</v>
      </c>
      <c r="AG71" s="24">
        <v>251.017</v>
      </c>
      <c r="AH71" s="3">
        <v>0</v>
      </c>
      <c r="AI71" s="24">
        <v>238.33099999999999</v>
      </c>
      <c r="AJ71" s="3">
        <v>0</v>
      </c>
      <c r="AK71" s="24">
        <v>338.91899999999998</v>
      </c>
      <c r="AM71" s="24">
        <v>209</v>
      </c>
      <c r="AN71" s="13"/>
      <c r="AO71" s="24"/>
      <c r="AP71" s="13"/>
      <c r="AQ71" s="24"/>
      <c r="AR71" s="13"/>
      <c r="AS71" s="24"/>
    </row>
    <row r="72" spans="2:45" x14ac:dyDescent="0.25">
      <c r="D72" s="3"/>
      <c r="E72" s="3">
        <v>0</v>
      </c>
      <c r="F72" s="3">
        <v>0</v>
      </c>
      <c r="G72" s="3">
        <v>0</v>
      </c>
      <c r="H72" s="3">
        <v>0</v>
      </c>
      <c r="I72" s="3">
        <v>0</v>
      </c>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3">
        <v>0</v>
      </c>
      <c r="AB72" s="3">
        <v>0</v>
      </c>
      <c r="AC72" s="3">
        <v>0</v>
      </c>
      <c r="AD72" s="3">
        <v>0</v>
      </c>
      <c r="AE72" s="3">
        <v>0</v>
      </c>
      <c r="AF72" s="3">
        <v>0</v>
      </c>
      <c r="AG72" s="3">
        <v>0</v>
      </c>
      <c r="AH72" s="3">
        <v>0</v>
      </c>
      <c r="AI72" s="3">
        <v>0</v>
      </c>
      <c r="AJ72" s="3">
        <v>0</v>
      </c>
      <c r="AK72" s="3">
        <v>0</v>
      </c>
    </row>
    <row r="73" spans="2:45" x14ac:dyDescent="0.25">
      <c r="B73" s="30"/>
      <c r="C73" s="30"/>
      <c r="E73" s="24">
        <f>(SUM(E59:E71))</f>
        <v>5394.5889999999999</v>
      </c>
      <c r="F73" s="3">
        <v>0</v>
      </c>
      <c r="G73" s="24">
        <f t="shared" ref="G73:AL73" si="77">(SUM(G59:G71))</f>
        <v>5150.4980000000005</v>
      </c>
      <c r="H73" s="3">
        <v>0</v>
      </c>
      <c r="I73" s="24">
        <f t="shared" ref="I73:AL73" si="78">(SUM(I59:I71))</f>
        <v>5656.51</v>
      </c>
      <c r="J73" s="3">
        <v>0</v>
      </c>
      <c r="K73" s="24">
        <f t="shared" ref="K73:AL73" si="79">(SUM(K59:K71))</f>
        <v>6810.2049999999999</v>
      </c>
      <c r="L73" s="3">
        <v>0</v>
      </c>
      <c r="M73" s="24">
        <f t="shared" ref="M73:AL73" si="80">(SUM(M59:M71))</f>
        <v>8802.4479999999985</v>
      </c>
      <c r="N73" s="3">
        <v>0</v>
      </c>
      <c r="O73" s="24">
        <f t="shared" ref="O73:AL73" si="81">(SUM(O59:O71))</f>
        <v>7411.1889999999985</v>
      </c>
      <c r="P73" s="3">
        <v>0</v>
      </c>
      <c r="Q73" s="24">
        <f t="shared" ref="Q73:AL73" si="82">(SUM(Q59:Q71))</f>
        <v>8105.0369999999994</v>
      </c>
      <c r="R73" s="3">
        <v>0</v>
      </c>
      <c r="S73" s="24">
        <f t="shared" ref="S73:AL73" si="83">(SUM(S59:S71))</f>
        <v>8401.4269999999997</v>
      </c>
      <c r="T73" s="3">
        <v>0</v>
      </c>
      <c r="U73" s="24">
        <f t="shared" ref="U73:AL73" si="84">(SUM(U59:U71))</f>
        <v>8650.496000000001</v>
      </c>
      <c r="V73" s="3">
        <v>0</v>
      </c>
      <c r="W73" s="24">
        <f t="shared" ref="W73:AL73" si="85">(SUM(W59:W71))</f>
        <v>7704.550000000002</v>
      </c>
      <c r="X73" s="3">
        <v>0</v>
      </c>
      <c r="Y73" s="24">
        <f t="shared" ref="Y73:AL73" si="86">(SUM(Y59:Y71))</f>
        <v>6839.2330000000011</v>
      </c>
      <c r="Z73" s="3">
        <v>0</v>
      </c>
      <c r="AA73" s="24">
        <f t="shared" ref="AA73:AL73" si="87">(SUM(AA59:AA71))</f>
        <v>7276.9919999999993</v>
      </c>
      <c r="AB73" s="3">
        <v>0</v>
      </c>
      <c r="AC73" s="24">
        <f t="shared" ref="AC73:AL73" si="88">(SUM(AC59:AC71))</f>
        <v>8299.3329999999987</v>
      </c>
      <c r="AD73" s="3">
        <v>0</v>
      </c>
      <c r="AE73" s="24">
        <f t="shared" ref="AE73:AL73" si="89">(SUM(AE59:AE71))</f>
        <v>6634.3170000000009</v>
      </c>
      <c r="AF73" s="3">
        <v>0</v>
      </c>
      <c r="AG73" s="24">
        <f t="shared" ref="AG73:AL73" si="90">(SUM(AG59:AG71))</f>
        <v>8756.2379999999976</v>
      </c>
      <c r="AH73" s="3">
        <v>0</v>
      </c>
      <c r="AI73" s="24">
        <f t="shared" ref="AI73:AL73" si="91">(SUM(AI59:AI71))</f>
        <v>7479.22</v>
      </c>
      <c r="AJ73" s="3">
        <v>0</v>
      </c>
      <c r="AK73" s="24">
        <f t="shared" ref="AK73:AL73" si="92">(SUM(AK59:AK71))</f>
        <v>8992.8639999999996</v>
      </c>
      <c r="AL73" s="3">
        <v>0</v>
      </c>
      <c r="AM73" s="24">
        <f>SUM(AM59:AM71)</f>
        <v>8546</v>
      </c>
      <c r="AN73" s="13"/>
      <c r="AO73" s="24">
        <f>SUM(AO59:AO71)</f>
        <v>0</v>
      </c>
      <c r="AP73" s="13"/>
      <c r="AQ73" s="24">
        <f>SUM(AQ59:AQ71)</f>
        <v>0</v>
      </c>
      <c r="AR73" s="13"/>
      <c r="AS73" s="24">
        <f>SUM(AS59:AS71)</f>
        <v>0</v>
      </c>
    </row>
    <row r="74" spans="2:45" x14ac:dyDescent="0.25">
      <c r="D74" s="3"/>
      <c r="E74" s="3">
        <v>0</v>
      </c>
      <c r="F74" s="3">
        <v>0</v>
      </c>
      <c r="G74" s="3">
        <v>0</v>
      </c>
      <c r="H74" s="3">
        <v>0</v>
      </c>
      <c r="I74" s="3">
        <v>0</v>
      </c>
      <c r="J74" s="3">
        <v>0</v>
      </c>
      <c r="K74" s="3">
        <v>0</v>
      </c>
      <c r="L74" s="3">
        <v>0</v>
      </c>
      <c r="M74" s="3">
        <v>0</v>
      </c>
      <c r="N74" s="3">
        <v>0</v>
      </c>
      <c r="O74" s="3">
        <v>0</v>
      </c>
      <c r="P74" s="3">
        <v>0</v>
      </c>
      <c r="Q74" s="3">
        <v>0</v>
      </c>
      <c r="R74" s="3">
        <v>0</v>
      </c>
      <c r="S74" s="3">
        <v>0</v>
      </c>
      <c r="T74" s="3">
        <v>0</v>
      </c>
      <c r="U74" s="3">
        <v>0</v>
      </c>
      <c r="V74" s="3">
        <v>0</v>
      </c>
      <c r="W74" s="3">
        <v>0</v>
      </c>
      <c r="X74" s="3">
        <v>0</v>
      </c>
      <c r="Y74" s="3">
        <v>0</v>
      </c>
      <c r="Z74" s="3">
        <v>0</v>
      </c>
      <c r="AA74" s="3">
        <v>0</v>
      </c>
      <c r="AB74" s="3">
        <v>0</v>
      </c>
      <c r="AC74" s="3">
        <v>0</v>
      </c>
      <c r="AD74" s="3">
        <v>0</v>
      </c>
      <c r="AE74" s="3">
        <v>0</v>
      </c>
      <c r="AF74" s="3">
        <v>0</v>
      </c>
      <c r="AG74" s="3">
        <v>0</v>
      </c>
      <c r="AH74" s="3">
        <v>0</v>
      </c>
      <c r="AI74" s="3">
        <v>0</v>
      </c>
      <c r="AJ74" s="3">
        <v>0</v>
      </c>
      <c r="AK74" s="3">
        <v>0</v>
      </c>
    </row>
    <row r="75" spans="2:45" ht="24.75" x14ac:dyDescent="0.25">
      <c r="B75" s="30" t="s">
        <v>21</v>
      </c>
      <c r="C75" s="30" t="s">
        <v>154</v>
      </c>
      <c r="D75" s="20"/>
      <c r="E75" s="24">
        <v>1.6759999999999999</v>
      </c>
      <c r="F75" s="3">
        <v>0</v>
      </c>
      <c r="G75" s="24">
        <v>1.76</v>
      </c>
      <c r="H75" s="3">
        <v>0</v>
      </c>
      <c r="I75" s="24">
        <v>1.276</v>
      </c>
      <c r="J75" s="3">
        <v>0</v>
      </c>
      <c r="K75" s="24">
        <v>12.394</v>
      </c>
      <c r="L75" s="3">
        <v>0</v>
      </c>
      <c r="M75" s="24">
        <v>12.4</v>
      </c>
      <c r="N75" s="3">
        <v>0</v>
      </c>
      <c r="O75" s="24">
        <v>11.037000000000001</v>
      </c>
      <c r="P75" s="3">
        <v>0</v>
      </c>
      <c r="Q75" s="24">
        <v>0</v>
      </c>
      <c r="R75" s="3">
        <v>0</v>
      </c>
      <c r="S75" s="24">
        <v>0</v>
      </c>
      <c r="T75" s="3">
        <v>0</v>
      </c>
      <c r="U75" s="24">
        <v>0</v>
      </c>
      <c r="V75" s="3">
        <v>0</v>
      </c>
      <c r="W75" s="24">
        <v>0</v>
      </c>
      <c r="X75" s="3">
        <v>0</v>
      </c>
      <c r="Y75" s="24">
        <v>0</v>
      </c>
      <c r="Z75" s="3">
        <v>0</v>
      </c>
      <c r="AA75" s="24">
        <v>0</v>
      </c>
      <c r="AB75" s="3">
        <v>0</v>
      </c>
      <c r="AC75" s="24">
        <v>0</v>
      </c>
      <c r="AD75" s="3">
        <v>0</v>
      </c>
      <c r="AE75" s="24">
        <v>0</v>
      </c>
      <c r="AF75" s="3">
        <v>0</v>
      </c>
      <c r="AG75" s="24">
        <v>0</v>
      </c>
      <c r="AH75" s="3">
        <v>0</v>
      </c>
      <c r="AI75" s="24">
        <v>251.48500000000001</v>
      </c>
      <c r="AJ75" s="3">
        <v>0</v>
      </c>
      <c r="AK75" s="24">
        <v>479.31099999999998</v>
      </c>
      <c r="AM75" s="24">
        <v>345</v>
      </c>
      <c r="AN75" s="17"/>
      <c r="AO75" s="24">
        <v>0</v>
      </c>
      <c r="AP75" s="17"/>
      <c r="AQ75" s="24"/>
      <c r="AR75" s="17"/>
      <c r="AS75" s="24"/>
    </row>
    <row r="76" spans="2:45" x14ac:dyDescent="0.25">
      <c r="B76" s="25"/>
      <c r="C76" s="25"/>
      <c r="D76" s="20"/>
      <c r="E76" s="3">
        <v>0</v>
      </c>
      <c r="F76" s="3">
        <v>0</v>
      </c>
      <c r="G76" s="3">
        <v>0</v>
      </c>
      <c r="H76" s="3">
        <v>0</v>
      </c>
      <c r="I76" s="3">
        <v>0</v>
      </c>
      <c r="J76" s="3">
        <v>0</v>
      </c>
      <c r="K76" s="3">
        <v>0</v>
      </c>
      <c r="L76" s="3">
        <v>0</v>
      </c>
      <c r="M76" s="3">
        <v>0</v>
      </c>
      <c r="N76" s="3">
        <v>0</v>
      </c>
      <c r="O76" s="3">
        <v>0</v>
      </c>
      <c r="P76" s="3">
        <v>0</v>
      </c>
      <c r="Q76" s="3">
        <v>0</v>
      </c>
      <c r="R76" s="3">
        <v>0</v>
      </c>
      <c r="S76" s="3">
        <v>0</v>
      </c>
      <c r="T76" s="3">
        <v>0</v>
      </c>
      <c r="U76" s="3">
        <v>0</v>
      </c>
      <c r="V76" s="3">
        <v>0</v>
      </c>
      <c r="W76" s="3">
        <v>0</v>
      </c>
      <c r="X76" s="3">
        <v>0</v>
      </c>
      <c r="Y76" s="3">
        <v>0</v>
      </c>
      <c r="Z76" s="3">
        <v>0</v>
      </c>
      <c r="AA76" s="3">
        <v>0</v>
      </c>
      <c r="AB76" s="3">
        <v>0</v>
      </c>
      <c r="AC76" s="3">
        <v>0</v>
      </c>
      <c r="AD76" s="3">
        <v>0</v>
      </c>
      <c r="AE76" s="3">
        <v>0</v>
      </c>
      <c r="AF76" s="3">
        <v>0</v>
      </c>
      <c r="AG76" s="3">
        <v>0</v>
      </c>
      <c r="AH76" s="3">
        <v>0</v>
      </c>
      <c r="AI76" s="3">
        <v>0</v>
      </c>
      <c r="AJ76" s="3">
        <v>0</v>
      </c>
      <c r="AK76" s="3">
        <v>0</v>
      </c>
      <c r="AN76" s="20"/>
      <c r="AP76" s="20"/>
      <c r="AR76" s="20"/>
    </row>
    <row r="77" spans="2:45" x14ac:dyDescent="0.25">
      <c r="B77" s="30" t="s">
        <v>52</v>
      </c>
      <c r="C77" s="30" t="s">
        <v>155</v>
      </c>
      <c r="D77" s="32"/>
      <c r="E77" s="34">
        <f>(SUM(E73,E75))</f>
        <v>5396.2650000000003</v>
      </c>
      <c r="F77" s="3">
        <v>0</v>
      </c>
      <c r="G77" s="34">
        <f t="shared" ref="G77:AL77" si="93">(SUM(G73,G75))</f>
        <v>5152.2580000000007</v>
      </c>
      <c r="H77" s="3">
        <v>0</v>
      </c>
      <c r="I77" s="34">
        <f t="shared" ref="I77:AL77" si="94">(SUM(I73,I75))</f>
        <v>5657.7860000000001</v>
      </c>
      <c r="J77" s="3">
        <v>0</v>
      </c>
      <c r="K77" s="34">
        <f t="shared" ref="K77:AL77" si="95">(SUM(K73,K75))</f>
        <v>6822.5990000000002</v>
      </c>
      <c r="L77" s="3">
        <v>0</v>
      </c>
      <c r="M77" s="34">
        <f t="shared" ref="M77:AL77" si="96">(SUM(M73,M75))</f>
        <v>8814.8479999999981</v>
      </c>
      <c r="N77" s="3">
        <v>0</v>
      </c>
      <c r="O77" s="34">
        <f t="shared" ref="O77:AL77" si="97">(SUM(O73,O75))</f>
        <v>7422.2259999999987</v>
      </c>
      <c r="P77" s="3">
        <v>0</v>
      </c>
      <c r="Q77" s="34">
        <f t="shared" ref="Q77:AL77" si="98">(SUM(Q73,Q75))</f>
        <v>8105.0369999999994</v>
      </c>
      <c r="R77" s="3">
        <v>0</v>
      </c>
      <c r="S77" s="34">
        <f t="shared" ref="S77:AL77" si="99">(SUM(S73,S75))</f>
        <v>8401.4269999999997</v>
      </c>
      <c r="T77" s="3">
        <v>0</v>
      </c>
      <c r="U77" s="34">
        <f t="shared" ref="U77:AL77" si="100">(SUM(U73,U75))</f>
        <v>8650.496000000001</v>
      </c>
      <c r="V77" s="3">
        <v>0</v>
      </c>
      <c r="W77" s="34">
        <f t="shared" ref="W77:AL77" si="101">(SUM(W73,W75))</f>
        <v>7704.550000000002</v>
      </c>
      <c r="X77" s="3">
        <v>0</v>
      </c>
      <c r="Y77" s="34">
        <f t="shared" ref="Y77:AL77" si="102">(SUM(Y73,Y75))</f>
        <v>6839.2330000000011</v>
      </c>
      <c r="Z77" s="3">
        <v>0</v>
      </c>
      <c r="AA77" s="34">
        <f t="shared" ref="AA77:AL77" si="103">(SUM(AA73,AA75))</f>
        <v>7276.9919999999993</v>
      </c>
      <c r="AB77" s="3">
        <v>0</v>
      </c>
      <c r="AC77" s="34">
        <f t="shared" ref="AC77:AL77" si="104">(SUM(AC73,AC75))</f>
        <v>8299.3329999999987</v>
      </c>
      <c r="AD77" s="3">
        <v>0</v>
      </c>
      <c r="AE77" s="34">
        <f t="shared" ref="AE77:AL77" si="105">(SUM(AE73,AE75))</f>
        <v>6634.3170000000009</v>
      </c>
      <c r="AF77" s="3">
        <v>0</v>
      </c>
      <c r="AG77" s="34">
        <f t="shared" ref="AG77:AL77" si="106">(SUM(AG73,AG75))</f>
        <v>8756.2379999999976</v>
      </c>
      <c r="AH77" s="3">
        <v>0</v>
      </c>
      <c r="AI77" s="34">
        <f t="shared" ref="AI77:AL77" si="107">(SUM(AI73,AI75))</f>
        <v>7730.7049999999999</v>
      </c>
      <c r="AJ77" s="3">
        <v>0</v>
      </c>
      <c r="AK77" s="34">
        <f t="shared" ref="AK77:AL77" si="108">(SUM(AK73,AK75))</f>
        <v>9472.1749999999993</v>
      </c>
      <c r="AL77" s="3">
        <v>0</v>
      </c>
      <c r="AM77" s="34">
        <f>SUM(AM73,AM75)</f>
        <v>8891</v>
      </c>
      <c r="AN77" s="33"/>
      <c r="AO77" s="34">
        <f>SUM(AO73,AO75)</f>
        <v>0</v>
      </c>
      <c r="AP77" s="33"/>
      <c r="AQ77" s="34">
        <f>SUM(AQ73,AQ75)</f>
        <v>0</v>
      </c>
      <c r="AR77" s="33"/>
      <c r="AS77" s="34">
        <f>SUM(AS73,AS75)</f>
        <v>0</v>
      </c>
    </row>
    <row r="78" spans="2:45" x14ac:dyDescent="0.25">
      <c r="B78" s="25"/>
      <c r="C78" s="25"/>
      <c r="D78" s="3"/>
      <c r="E78" s="3">
        <v>0</v>
      </c>
      <c r="F78" s="3">
        <v>0</v>
      </c>
      <c r="G78" s="3">
        <v>0</v>
      </c>
      <c r="H78" s="3">
        <v>0</v>
      </c>
      <c r="I78" s="3">
        <v>0</v>
      </c>
      <c r="J78" s="3">
        <v>0</v>
      </c>
      <c r="K78" s="3">
        <v>0</v>
      </c>
      <c r="L78" s="3">
        <v>0</v>
      </c>
      <c r="M78" s="3">
        <v>0</v>
      </c>
      <c r="N78" s="3">
        <v>0</v>
      </c>
      <c r="O78" s="3">
        <v>0</v>
      </c>
      <c r="P78" s="3">
        <v>0</v>
      </c>
      <c r="Q78" s="3">
        <v>0</v>
      </c>
      <c r="R78" s="3">
        <v>0</v>
      </c>
      <c r="S78" s="3">
        <v>0</v>
      </c>
      <c r="T78" s="3">
        <v>0</v>
      </c>
      <c r="U78" s="3">
        <v>0</v>
      </c>
      <c r="V78" s="3">
        <v>0</v>
      </c>
      <c r="W78" s="3">
        <v>0</v>
      </c>
      <c r="X78" s="3">
        <v>0</v>
      </c>
      <c r="Y78" s="3">
        <v>0</v>
      </c>
      <c r="Z78" s="3">
        <v>0</v>
      </c>
      <c r="AA78" s="3">
        <v>0</v>
      </c>
      <c r="AB78" s="3">
        <v>0</v>
      </c>
      <c r="AC78" s="3">
        <v>0</v>
      </c>
      <c r="AD78" s="3">
        <v>0</v>
      </c>
      <c r="AE78" s="3">
        <v>0</v>
      </c>
      <c r="AF78" s="3">
        <v>0</v>
      </c>
      <c r="AG78" s="3">
        <v>0</v>
      </c>
      <c r="AH78" s="3">
        <v>0</v>
      </c>
      <c r="AI78" s="3">
        <v>0</v>
      </c>
      <c r="AJ78" s="3">
        <v>0</v>
      </c>
      <c r="AK78" s="3">
        <v>0</v>
      </c>
    </row>
    <row r="79" spans="2:45" x14ac:dyDescent="0.25">
      <c r="B79" s="9" t="s">
        <v>10</v>
      </c>
      <c r="C79" s="9" t="s">
        <v>156</v>
      </c>
      <c r="D79" s="1"/>
      <c r="E79" s="13">
        <v>0</v>
      </c>
      <c r="F79" s="3">
        <v>0</v>
      </c>
      <c r="G79" s="13">
        <v>0</v>
      </c>
      <c r="H79" s="3">
        <v>0</v>
      </c>
      <c r="I79" s="13">
        <v>0</v>
      </c>
      <c r="J79" s="3">
        <v>0</v>
      </c>
      <c r="K79" s="13">
        <v>0</v>
      </c>
      <c r="L79" s="3">
        <v>0</v>
      </c>
      <c r="M79" s="13">
        <v>0</v>
      </c>
      <c r="N79" s="3">
        <v>0</v>
      </c>
      <c r="O79" s="13">
        <v>0</v>
      </c>
      <c r="P79" s="3">
        <v>0</v>
      </c>
      <c r="Q79" s="13">
        <v>0</v>
      </c>
      <c r="R79" s="3">
        <v>0</v>
      </c>
      <c r="S79" s="13">
        <v>0</v>
      </c>
      <c r="T79" s="3">
        <v>0</v>
      </c>
      <c r="U79" s="13">
        <v>0</v>
      </c>
      <c r="V79" s="3">
        <v>0</v>
      </c>
      <c r="W79" s="13">
        <v>0</v>
      </c>
      <c r="X79" s="3">
        <v>0</v>
      </c>
      <c r="Y79" s="13">
        <v>0</v>
      </c>
      <c r="Z79" s="3">
        <v>0</v>
      </c>
      <c r="AA79" s="13">
        <v>0</v>
      </c>
      <c r="AB79" s="3">
        <v>0</v>
      </c>
      <c r="AC79" s="13">
        <v>0</v>
      </c>
      <c r="AD79" s="3">
        <v>0</v>
      </c>
      <c r="AE79" s="13">
        <v>0</v>
      </c>
      <c r="AF79" s="3">
        <v>0</v>
      </c>
      <c r="AG79" s="13">
        <v>0</v>
      </c>
      <c r="AH79" s="3">
        <v>0</v>
      </c>
      <c r="AI79" s="13">
        <v>0</v>
      </c>
      <c r="AJ79" s="3">
        <v>0</v>
      </c>
      <c r="AK79" s="13">
        <v>0</v>
      </c>
      <c r="AM79" s="13"/>
      <c r="AN79" s="13"/>
      <c r="AO79" s="13"/>
      <c r="AP79" s="13"/>
      <c r="AQ79" s="13"/>
      <c r="AR79" s="13"/>
      <c r="AS79" s="13"/>
    </row>
    <row r="80" spans="2:45" x14ac:dyDescent="0.25">
      <c r="B80" s="19" t="s">
        <v>310</v>
      </c>
      <c r="C80" s="19" t="s">
        <v>143</v>
      </c>
      <c r="D80" s="21"/>
      <c r="E80" s="3">
        <v>11375.659</v>
      </c>
      <c r="F80" s="3">
        <v>0</v>
      </c>
      <c r="G80" s="3">
        <v>12493.231</v>
      </c>
      <c r="H80" s="3">
        <v>0</v>
      </c>
      <c r="I80" s="3">
        <v>11505.644</v>
      </c>
      <c r="J80" s="3">
        <v>0</v>
      </c>
      <c r="K80" s="3">
        <v>12944.347</v>
      </c>
      <c r="L80" s="3">
        <v>0</v>
      </c>
      <c r="M80" s="3">
        <v>12132.252</v>
      </c>
      <c r="N80" s="3">
        <v>0</v>
      </c>
      <c r="O80" s="3">
        <v>10814.672</v>
      </c>
      <c r="P80" s="3">
        <v>0</v>
      </c>
      <c r="Q80" s="3">
        <v>12111.444</v>
      </c>
      <c r="R80" s="3">
        <v>0</v>
      </c>
      <c r="S80" s="3">
        <v>11472.668</v>
      </c>
      <c r="T80" s="3">
        <v>0</v>
      </c>
      <c r="U80" s="3">
        <v>10911.239</v>
      </c>
      <c r="V80" s="3">
        <v>0</v>
      </c>
      <c r="W80" s="3">
        <v>11375.886</v>
      </c>
      <c r="X80" s="3">
        <v>0</v>
      </c>
      <c r="Y80" s="3">
        <v>10883.87</v>
      </c>
      <c r="Z80" s="3">
        <v>0</v>
      </c>
      <c r="AA80" s="3">
        <v>11711.662</v>
      </c>
      <c r="AB80" s="3">
        <v>0</v>
      </c>
      <c r="AC80" s="3">
        <v>11875.376</v>
      </c>
      <c r="AD80" s="3">
        <v>0</v>
      </c>
      <c r="AE80" s="3">
        <v>12983.849</v>
      </c>
      <c r="AF80" s="3">
        <v>0</v>
      </c>
      <c r="AG80" s="3">
        <v>13141.093000000001</v>
      </c>
      <c r="AH80" s="3">
        <v>0</v>
      </c>
      <c r="AI80" s="3">
        <v>13464.165000000001</v>
      </c>
      <c r="AJ80" s="3">
        <v>0</v>
      </c>
      <c r="AK80" s="3">
        <v>14159.049000000001</v>
      </c>
      <c r="AM80" s="3">
        <v>13618</v>
      </c>
      <c r="AN80" s="21"/>
      <c r="AP80" s="21"/>
      <c r="AR80" s="21"/>
    </row>
    <row r="81" spans="2:45" x14ac:dyDescent="0.25">
      <c r="B81" s="15" t="s">
        <v>4</v>
      </c>
      <c r="C81" s="15" t="s">
        <v>120</v>
      </c>
      <c r="D81" s="21"/>
      <c r="E81" s="16">
        <v>719.87599999999998</v>
      </c>
      <c r="F81" s="3">
        <v>0</v>
      </c>
      <c r="G81" s="16">
        <v>406.99</v>
      </c>
      <c r="H81" s="3">
        <v>0</v>
      </c>
      <c r="I81" s="16">
        <v>338.16699999999997</v>
      </c>
      <c r="J81" s="3">
        <v>0</v>
      </c>
      <c r="K81" s="16">
        <v>550.31200000000001</v>
      </c>
      <c r="L81" s="3">
        <v>0</v>
      </c>
      <c r="M81" s="16">
        <v>415.22899999999998</v>
      </c>
      <c r="N81" s="3">
        <v>0</v>
      </c>
      <c r="O81" s="16">
        <v>391.72399999999999</v>
      </c>
      <c r="P81" s="3">
        <v>0</v>
      </c>
      <c r="Q81" s="16">
        <v>577.31100000000004</v>
      </c>
      <c r="R81" s="3">
        <v>0</v>
      </c>
      <c r="S81" s="16">
        <v>617.14200000000005</v>
      </c>
      <c r="T81" s="3">
        <v>0</v>
      </c>
      <c r="U81" s="16">
        <v>603.18200000000002</v>
      </c>
      <c r="V81" s="3">
        <v>0</v>
      </c>
      <c r="W81" s="16">
        <v>577.774</v>
      </c>
      <c r="X81" s="3">
        <v>0</v>
      </c>
      <c r="Y81" s="16">
        <v>444.56099999999998</v>
      </c>
      <c r="Z81" s="3">
        <v>0</v>
      </c>
      <c r="AA81" s="16">
        <v>543.77499999999998</v>
      </c>
      <c r="AB81" s="3">
        <v>0</v>
      </c>
      <c r="AC81" s="16">
        <v>547.34199999999998</v>
      </c>
      <c r="AD81" s="3">
        <v>0</v>
      </c>
      <c r="AE81" s="16">
        <v>564.43899999999996</v>
      </c>
      <c r="AF81" s="3">
        <v>0</v>
      </c>
      <c r="AG81" s="16">
        <v>610.96400000000006</v>
      </c>
      <c r="AH81" s="3">
        <v>0</v>
      </c>
      <c r="AI81" s="16">
        <v>461.78</v>
      </c>
      <c r="AJ81" s="3">
        <v>0</v>
      </c>
      <c r="AK81" s="16">
        <v>503.25099999999998</v>
      </c>
      <c r="AM81" s="16">
        <v>444</v>
      </c>
      <c r="AN81" s="18"/>
      <c r="AO81" s="16"/>
      <c r="AP81" s="18"/>
      <c r="AQ81" s="16"/>
      <c r="AR81" s="18"/>
      <c r="AS81" s="16"/>
    </row>
    <row r="82" spans="2:45" x14ac:dyDescent="0.25">
      <c r="B82" s="19" t="s">
        <v>291</v>
      </c>
      <c r="C82" s="19" t="s">
        <v>144</v>
      </c>
      <c r="D82" s="3"/>
      <c r="E82" s="3">
        <v>448.81</v>
      </c>
      <c r="F82" s="3">
        <v>0</v>
      </c>
      <c r="G82" s="3">
        <v>485.80599999999998</v>
      </c>
      <c r="H82" s="3">
        <v>0</v>
      </c>
      <c r="I82" s="3">
        <v>892.47299999999996</v>
      </c>
      <c r="J82" s="3">
        <v>0</v>
      </c>
      <c r="K82" s="3">
        <v>1258.604</v>
      </c>
      <c r="L82" s="3">
        <v>0</v>
      </c>
      <c r="M82" s="3">
        <v>1166.82</v>
      </c>
      <c r="N82" s="3">
        <v>0</v>
      </c>
      <c r="O82" s="3">
        <v>981.26700000000005</v>
      </c>
      <c r="P82" s="3">
        <v>0</v>
      </c>
      <c r="Q82" s="3">
        <v>1053.8330000000001</v>
      </c>
      <c r="R82" s="3">
        <v>0</v>
      </c>
      <c r="S82" s="3">
        <v>1022.378</v>
      </c>
      <c r="T82" s="3">
        <v>0</v>
      </c>
      <c r="U82" s="3">
        <v>1034.8009999999999</v>
      </c>
      <c r="V82" s="3">
        <v>0</v>
      </c>
      <c r="W82" s="3">
        <v>962.18399999999997</v>
      </c>
      <c r="X82" s="3">
        <v>0</v>
      </c>
      <c r="Y82" s="3">
        <v>889.298</v>
      </c>
      <c r="Z82" s="3">
        <v>0</v>
      </c>
      <c r="AA82" s="3">
        <v>926.07100000000003</v>
      </c>
      <c r="AB82" s="3">
        <v>0</v>
      </c>
      <c r="AC82" s="3">
        <v>867.91099999999994</v>
      </c>
      <c r="AD82" s="3">
        <v>0</v>
      </c>
      <c r="AE82" s="3">
        <v>950.36300000000006</v>
      </c>
      <c r="AF82" s="3">
        <v>0</v>
      </c>
      <c r="AG82" s="3">
        <v>1227.4549999999999</v>
      </c>
      <c r="AH82" s="3">
        <v>0</v>
      </c>
      <c r="AI82" s="3">
        <v>1186.18</v>
      </c>
      <c r="AJ82" s="3">
        <v>0</v>
      </c>
      <c r="AK82" s="3">
        <v>1232.318</v>
      </c>
      <c r="AM82" s="3">
        <v>1396</v>
      </c>
    </row>
    <row r="83" spans="2:45" x14ac:dyDescent="0.25">
      <c r="B83" s="15" t="s">
        <v>311</v>
      </c>
      <c r="C83" s="15" t="s">
        <v>130</v>
      </c>
      <c r="D83" s="21"/>
      <c r="E83" s="16">
        <v>744.79200000000003</v>
      </c>
      <c r="F83" s="3">
        <v>0</v>
      </c>
      <c r="G83" s="16">
        <v>791.64400000000001</v>
      </c>
      <c r="H83" s="3">
        <v>0</v>
      </c>
      <c r="I83" s="16">
        <v>798.303</v>
      </c>
      <c r="J83" s="3">
        <v>0</v>
      </c>
      <c r="K83" s="16">
        <v>838.53</v>
      </c>
      <c r="L83" s="3">
        <v>0</v>
      </c>
      <c r="M83" s="16">
        <v>1365.2860000000001</v>
      </c>
      <c r="N83" s="3">
        <v>0</v>
      </c>
      <c r="O83" s="16">
        <v>1179.68</v>
      </c>
      <c r="P83" s="3">
        <v>0</v>
      </c>
      <c r="Q83" s="16">
        <v>1252.9190000000001</v>
      </c>
      <c r="R83" s="3">
        <v>0</v>
      </c>
      <c r="S83" s="16">
        <v>849.63900000000001</v>
      </c>
      <c r="T83" s="3">
        <v>0</v>
      </c>
      <c r="U83" s="16">
        <v>968.28</v>
      </c>
      <c r="V83" s="3">
        <v>0</v>
      </c>
      <c r="W83" s="16">
        <v>978.55100000000004</v>
      </c>
      <c r="X83" s="3">
        <v>0</v>
      </c>
      <c r="Y83" s="16">
        <v>1100.9290000000001</v>
      </c>
      <c r="Z83" s="3">
        <v>0</v>
      </c>
      <c r="AA83" s="16">
        <v>1226.8119999999999</v>
      </c>
      <c r="AB83" s="3">
        <v>0</v>
      </c>
      <c r="AC83" s="16">
        <v>1281.2059999999999</v>
      </c>
      <c r="AD83" s="3">
        <v>0</v>
      </c>
      <c r="AE83" s="16">
        <v>1283.1420000000001</v>
      </c>
      <c r="AF83" s="3">
        <v>0</v>
      </c>
      <c r="AG83" s="16">
        <v>1413.463</v>
      </c>
      <c r="AH83" s="3">
        <v>0</v>
      </c>
      <c r="AI83" s="16">
        <v>1460.453</v>
      </c>
      <c r="AJ83" s="3">
        <v>0</v>
      </c>
      <c r="AK83" s="16">
        <v>1611.21</v>
      </c>
      <c r="AM83" s="16">
        <v>1376</v>
      </c>
      <c r="AN83" s="18"/>
      <c r="AO83" s="16"/>
      <c r="AP83" s="18"/>
      <c r="AQ83" s="16"/>
      <c r="AR83" s="18"/>
      <c r="AS83" s="16"/>
    </row>
    <row r="84" spans="2:45" x14ac:dyDescent="0.25">
      <c r="B84" s="19" t="s">
        <v>11</v>
      </c>
      <c r="C84" s="19" t="s">
        <v>131</v>
      </c>
      <c r="D84" s="21"/>
      <c r="E84" s="3">
        <v>16.881</v>
      </c>
      <c r="F84" s="3">
        <v>0</v>
      </c>
      <c r="G84" s="3">
        <v>15.708</v>
      </c>
      <c r="H84" s="3">
        <v>0</v>
      </c>
      <c r="I84" s="3">
        <v>15.532999999999999</v>
      </c>
      <c r="J84" s="3">
        <v>0</v>
      </c>
      <c r="K84" s="3">
        <v>17.794</v>
      </c>
      <c r="L84" s="3">
        <v>0</v>
      </c>
      <c r="M84" s="3">
        <v>17.5</v>
      </c>
      <c r="N84" s="3">
        <v>0</v>
      </c>
      <c r="O84" s="3">
        <v>60.933</v>
      </c>
      <c r="P84" s="3">
        <v>0</v>
      </c>
      <c r="Q84" s="3">
        <v>45.4</v>
      </c>
      <c r="R84" s="3">
        <v>0</v>
      </c>
      <c r="S84" s="3">
        <v>47.027999999999999</v>
      </c>
      <c r="T84" s="3">
        <v>0</v>
      </c>
      <c r="U84" s="3">
        <v>56.905000000000001</v>
      </c>
      <c r="V84" s="3">
        <v>0</v>
      </c>
      <c r="W84" s="3">
        <v>34.335999999999999</v>
      </c>
      <c r="X84" s="3">
        <v>0</v>
      </c>
      <c r="Y84" s="3">
        <v>27.132999999999999</v>
      </c>
      <c r="Z84" s="3">
        <v>0</v>
      </c>
      <c r="AA84" s="3">
        <v>40.97</v>
      </c>
      <c r="AB84" s="3">
        <v>0</v>
      </c>
      <c r="AC84" s="3">
        <v>48.548000000000002</v>
      </c>
      <c r="AD84" s="3">
        <v>0</v>
      </c>
      <c r="AE84" s="3">
        <v>32.593000000000004</v>
      </c>
      <c r="AF84" s="3">
        <v>0</v>
      </c>
      <c r="AG84" s="3">
        <v>39.51</v>
      </c>
      <c r="AH84" s="3">
        <v>0</v>
      </c>
      <c r="AI84" s="3">
        <v>45.677</v>
      </c>
      <c r="AJ84" s="3">
        <v>0</v>
      </c>
      <c r="AK84" s="3">
        <v>52.816000000000003</v>
      </c>
      <c r="AM84" s="3">
        <v>36</v>
      </c>
      <c r="AN84" s="21"/>
      <c r="AP84" s="21"/>
      <c r="AR84" s="21"/>
    </row>
    <row r="85" spans="2:45" x14ac:dyDescent="0.25">
      <c r="B85" s="15" t="s">
        <v>312</v>
      </c>
      <c r="C85" s="15" t="s">
        <v>157</v>
      </c>
      <c r="D85" s="21"/>
      <c r="E85" s="16">
        <v>1169.8320000000001</v>
      </c>
      <c r="F85" s="3">
        <v>0</v>
      </c>
      <c r="G85" s="16">
        <v>1205.0920000000001</v>
      </c>
      <c r="H85" s="3">
        <v>0</v>
      </c>
      <c r="I85" s="16">
        <v>1274.924</v>
      </c>
      <c r="J85" s="3">
        <v>0</v>
      </c>
      <c r="K85" s="16">
        <v>1299.29</v>
      </c>
      <c r="L85" s="3">
        <v>0</v>
      </c>
      <c r="M85" s="16">
        <v>1291.827</v>
      </c>
      <c r="N85" s="3">
        <v>0</v>
      </c>
      <c r="O85" s="16">
        <v>1246.367</v>
      </c>
      <c r="P85" s="3">
        <v>0</v>
      </c>
      <c r="Q85" s="16">
        <v>1270.194</v>
      </c>
      <c r="R85" s="3">
        <v>0</v>
      </c>
      <c r="S85" s="16">
        <v>1257.932</v>
      </c>
      <c r="T85" s="3">
        <v>0</v>
      </c>
      <c r="U85" s="16">
        <v>1397.5350000000001</v>
      </c>
      <c r="V85" s="3">
        <v>0</v>
      </c>
      <c r="W85" s="16">
        <v>1364.952</v>
      </c>
      <c r="X85" s="3">
        <v>0</v>
      </c>
      <c r="Y85" s="16">
        <v>1327.3340000000001</v>
      </c>
      <c r="Z85" s="3">
        <v>0</v>
      </c>
      <c r="AA85" s="16">
        <v>1338.12</v>
      </c>
      <c r="AB85" s="3">
        <v>0</v>
      </c>
      <c r="AC85" s="16">
        <v>1246.835</v>
      </c>
      <c r="AD85" s="3">
        <v>0</v>
      </c>
      <c r="AE85" s="16">
        <v>1250.4970000000001</v>
      </c>
      <c r="AF85" s="3">
        <v>0</v>
      </c>
      <c r="AG85" s="16">
        <v>1264.662</v>
      </c>
      <c r="AH85" s="3">
        <v>0</v>
      </c>
      <c r="AI85" s="16">
        <v>1264.1579999999999</v>
      </c>
      <c r="AJ85" s="3">
        <v>0</v>
      </c>
      <c r="AK85" s="16">
        <v>1236.9939999999999</v>
      </c>
      <c r="AM85" s="16">
        <v>1263</v>
      </c>
      <c r="AN85" s="18"/>
      <c r="AO85" s="16"/>
      <c r="AP85" s="18"/>
      <c r="AQ85" s="16"/>
      <c r="AR85" s="18"/>
      <c r="AS85" s="16"/>
    </row>
    <row r="86" spans="2:45" x14ac:dyDescent="0.25">
      <c r="B86" s="19" t="s">
        <v>273</v>
      </c>
      <c r="C86" s="19" t="s">
        <v>152</v>
      </c>
      <c r="D86" s="21"/>
      <c r="E86" s="3">
        <v>584.12800000000004</v>
      </c>
      <c r="F86" s="3">
        <v>0</v>
      </c>
      <c r="G86" s="3">
        <v>630.84699999999998</v>
      </c>
      <c r="H86" s="3">
        <v>0</v>
      </c>
      <c r="I86" s="3">
        <v>665.73900000000003</v>
      </c>
      <c r="J86" s="3">
        <v>0</v>
      </c>
      <c r="K86" s="3">
        <v>660.98400000000004</v>
      </c>
      <c r="L86" s="3">
        <v>0</v>
      </c>
      <c r="M86" s="3">
        <v>661.86</v>
      </c>
      <c r="N86" s="3">
        <v>0</v>
      </c>
      <c r="O86" s="3">
        <v>692.39300000000003</v>
      </c>
      <c r="P86" s="3">
        <v>0</v>
      </c>
      <c r="Q86" s="3">
        <v>699.42200000000003</v>
      </c>
      <c r="R86" s="3">
        <v>0</v>
      </c>
      <c r="S86" s="3">
        <v>676.35</v>
      </c>
      <c r="T86" s="3">
        <v>0</v>
      </c>
      <c r="U86" s="3">
        <v>656.85799999999995</v>
      </c>
      <c r="V86" s="3">
        <v>0</v>
      </c>
      <c r="W86" s="3">
        <v>647.30999999999995</v>
      </c>
      <c r="X86" s="3">
        <v>0</v>
      </c>
      <c r="Y86" s="3">
        <v>602.83900000000006</v>
      </c>
      <c r="Z86" s="3">
        <v>0</v>
      </c>
      <c r="AA86" s="3">
        <v>588.36900000000003</v>
      </c>
      <c r="AB86" s="3">
        <v>0</v>
      </c>
      <c r="AC86" s="3">
        <v>589.4</v>
      </c>
      <c r="AD86" s="3">
        <v>0</v>
      </c>
      <c r="AE86" s="3">
        <v>572.84799999999996</v>
      </c>
      <c r="AF86" s="3">
        <v>0</v>
      </c>
      <c r="AG86" s="3">
        <v>574.20100000000002</v>
      </c>
      <c r="AH86" s="3">
        <v>0</v>
      </c>
      <c r="AI86" s="3">
        <v>572.05499999999995</v>
      </c>
      <c r="AJ86" s="3">
        <v>0</v>
      </c>
      <c r="AK86" s="3">
        <v>584.05399999999997</v>
      </c>
      <c r="AM86" s="3">
        <v>579</v>
      </c>
      <c r="AN86" s="21"/>
      <c r="AP86" s="21"/>
      <c r="AR86" s="21"/>
    </row>
    <row r="87" spans="2:45" x14ac:dyDescent="0.25">
      <c r="B87" s="15" t="s">
        <v>292</v>
      </c>
      <c r="C87" s="15" t="s">
        <v>158</v>
      </c>
      <c r="D87" s="1"/>
      <c r="E87" s="13">
        <v>364.80900000000003</v>
      </c>
      <c r="F87" s="3">
        <v>0</v>
      </c>
      <c r="G87" s="13">
        <v>439.17500000000001</v>
      </c>
      <c r="H87" s="3">
        <v>0</v>
      </c>
      <c r="I87" s="13">
        <v>351.83300000000003</v>
      </c>
      <c r="J87" s="3">
        <v>0</v>
      </c>
      <c r="K87" s="13">
        <v>425.14699999999999</v>
      </c>
      <c r="L87" s="3">
        <v>0</v>
      </c>
      <c r="M87" s="13">
        <v>399.178</v>
      </c>
      <c r="N87" s="3">
        <v>0</v>
      </c>
      <c r="O87" s="13">
        <v>341.59800000000001</v>
      </c>
      <c r="P87" s="3">
        <v>0</v>
      </c>
      <c r="Q87" s="13">
        <v>372.13299999999998</v>
      </c>
      <c r="R87" s="3">
        <v>0</v>
      </c>
      <c r="S87" s="13">
        <v>367.87299999999999</v>
      </c>
      <c r="T87" s="3">
        <v>0</v>
      </c>
      <c r="U87" s="13">
        <v>275.01100000000002</v>
      </c>
      <c r="V87" s="3">
        <v>0</v>
      </c>
      <c r="W87" s="13">
        <v>267.37900000000002</v>
      </c>
      <c r="X87" s="3">
        <v>0</v>
      </c>
      <c r="Y87" s="13">
        <v>259.45299999999997</v>
      </c>
      <c r="Z87" s="3">
        <v>0</v>
      </c>
      <c r="AA87" s="13">
        <v>264.09800000000001</v>
      </c>
      <c r="AB87" s="3">
        <v>0</v>
      </c>
      <c r="AC87" s="13">
        <v>265.71100000000001</v>
      </c>
      <c r="AD87" s="3">
        <v>0</v>
      </c>
      <c r="AE87" s="13">
        <v>265.61599999999999</v>
      </c>
      <c r="AF87" s="3">
        <v>0</v>
      </c>
      <c r="AG87" s="13">
        <v>298.959</v>
      </c>
      <c r="AH87" s="3">
        <v>0</v>
      </c>
      <c r="AI87" s="13">
        <v>233.95099999999999</v>
      </c>
      <c r="AJ87" s="3">
        <v>0</v>
      </c>
      <c r="AK87" s="13">
        <v>252.26</v>
      </c>
      <c r="AM87" s="13">
        <v>235</v>
      </c>
      <c r="AN87" s="13"/>
      <c r="AO87" s="13"/>
      <c r="AP87" s="13"/>
      <c r="AQ87" s="13"/>
      <c r="AR87" s="13"/>
      <c r="AS87" s="13"/>
    </row>
    <row r="88" spans="2:45" x14ac:dyDescent="0.25">
      <c r="B88" s="19" t="s">
        <v>65</v>
      </c>
      <c r="C88" s="19" t="s">
        <v>133</v>
      </c>
      <c r="D88" s="3"/>
      <c r="E88" s="3">
        <v>76.575999999999993</v>
      </c>
      <c r="F88" s="3">
        <v>0</v>
      </c>
      <c r="G88" s="3">
        <v>37.03</v>
      </c>
      <c r="H88" s="3">
        <v>0</v>
      </c>
      <c r="I88" s="3">
        <v>58.067999999999998</v>
      </c>
      <c r="J88" s="3">
        <v>0</v>
      </c>
      <c r="K88" s="3">
        <v>111.17100000000001</v>
      </c>
      <c r="L88" s="3">
        <v>0</v>
      </c>
      <c r="M88" s="3">
        <v>93.866</v>
      </c>
      <c r="N88" s="3">
        <v>0</v>
      </c>
      <c r="O88" s="3">
        <v>70.8</v>
      </c>
      <c r="P88" s="3">
        <v>0</v>
      </c>
      <c r="Q88" s="3">
        <v>129.619</v>
      </c>
      <c r="R88" s="3">
        <v>0</v>
      </c>
      <c r="S88" s="3">
        <v>132.58000000000001</v>
      </c>
      <c r="T88" s="3">
        <v>0</v>
      </c>
      <c r="U88" s="3">
        <v>114.417</v>
      </c>
      <c r="V88" s="3">
        <v>0</v>
      </c>
      <c r="W88" s="3">
        <v>82.146000000000001</v>
      </c>
      <c r="X88" s="3">
        <v>0</v>
      </c>
      <c r="Y88" s="3">
        <v>128.982</v>
      </c>
      <c r="Z88" s="3">
        <v>0</v>
      </c>
      <c r="AA88" s="3">
        <v>133.268</v>
      </c>
      <c r="AB88" s="3">
        <v>0</v>
      </c>
      <c r="AC88" s="3">
        <v>0</v>
      </c>
      <c r="AD88" s="3">
        <v>0</v>
      </c>
      <c r="AE88" s="3">
        <v>89.757999999999996</v>
      </c>
      <c r="AF88" s="3">
        <v>0</v>
      </c>
      <c r="AG88" s="3">
        <v>0</v>
      </c>
      <c r="AH88" s="3">
        <v>0</v>
      </c>
      <c r="AI88" s="3">
        <v>0</v>
      </c>
      <c r="AJ88" s="3">
        <v>0</v>
      </c>
      <c r="AK88" s="3">
        <v>0</v>
      </c>
    </row>
    <row r="89" spans="2:45" x14ac:dyDescent="0.25">
      <c r="B89" s="15" t="s">
        <v>67</v>
      </c>
      <c r="C89" s="15" t="s">
        <v>153</v>
      </c>
      <c r="D89" s="20"/>
      <c r="E89" s="24">
        <v>310.10300000000001</v>
      </c>
      <c r="F89" s="3">
        <v>0</v>
      </c>
      <c r="G89" s="24">
        <v>261.80500000000001</v>
      </c>
      <c r="H89" s="3">
        <v>0</v>
      </c>
      <c r="I89" s="24">
        <v>277.10000000000002</v>
      </c>
      <c r="J89" s="3">
        <v>0</v>
      </c>
      <c r="K89" s="24">
        <v>320.63499999999999</v>
      </c>
      <c r="L89" s="3">
        <v>0</v>
      </c>
      <c r="M89" s="24">
        <v>385.524</v>
      </c>
      <c r="N89" s="3">
        <v>0</v>
      </c>
      <c r="O89" s="24">
        <v>348.45299999999997</v>
      </c>
      <c r="P89" s="3">
        <v>0</v>
      </c>
      <c r="Q89" s="24">
        <v>358.745</v>
      </c>
      <c r="R89" s="3">
        <v>0</v>
      </c>
      <c r="S89" s="24">
        <v>381.589</v>
      </c>
      <c r="T89" s="3">
        <v>0</v>
      </c>
      <c r="U89" s="24">
        <v>458.91</v>
      </c>
      <c r="V89" s="3">
        <v>0</v>
      </c>
      <c r="W89" s="24">
        <v>434.03899999999999</v>
      </c>
      <c r="X89" s="3">
        <v>0</v>
      </c>
      <c r="Y89" s="24">
        <v>599.50099999999998</v>
      </c>
      <c r="Z89" s="3">
        <v>0</v>
      </c>
      <c r="AA89" s="24">
        <v>598.66099999999994</v>
      </c>
      <c r="AB89" s="3">
        <v>0</v>
      </c>
      <c r="AC89" s="24">
        <v>553.75400000000002</v>
      </c>
      <c r="AD89" s="3">
        <v>0</v>
      </c>
      <c r="AE89" s="24">
        <v>680.30100000000004</v>
      </c>
      <c r="AF89" s="3">
        <v>0</v>
      </c>
      <c r="AG89" s="24">
        <v>661.92</v>
      </c>
      <c r="AH89" s="3">
        <v>0</v>
      </c>
      <c r="AI89" s="24">
        <v>622.15700000000004</v>
      </c>
      <c r="AJ89" s="3">
        <v>0</v>
      </c>
      <c r="AK89" s="24">
        <v>614.30799999999999</v>
      </c>
      <c r="AM89" s="24">
        <v>604</v>
      </c>
      <c r="AN89" s="17"/>
      <c r="AO89" s="24"/>
      <c r="AP89" s="17"/>
      <c r="AQ89" s="24"/>
      <c r="AR89" s="17"/>
      <c r="AS89" s="24"/>
    </row>
    <row r="90" spans="2:45" x14ac:dyDescent="0.25">
      <c r="B90" s="19"/>
      <c r="C90" s="19"/>
      <c r="D90" s="1"/>
      <c r="E90" s="1">
        <v>0</v>
      </c>
      <c r="F90" s="3">
        <v>0</v>
      </c>
      <c r="G90" s="1">
        <v>0</v>
      </c>
      <c r="H90" s="3">
        <v>0</v>
      </c>
      <c r="I90" s="1">
        <v>0</v>
      </c>
      <c r="J90" s="3">
        <v>0</v>
      </c>
      <c r="K90" s="1">
        <v>0</v>
      </c>
      <c r="L90" s="3">
        <v>0</v>
      </c>
      <c r="M90" s="1">
        <v>0</v>
      </c>
      <c r="N90" s="3">
        <v>0</v>
      </c>
      <c r="O90" s="1">
        <v>0</v>
      </c>
      <c r="P90" s="3">
        <v>0</v>
      </c>
      <c r="Q90" s="1">
        <v>0</v>
      </c>
      <c r="R90" s="3">
        <v>0</v>
      </c>
      <c r="S90" s="1">
        <v>0</v>
      </c>
      <c r="T90" s="3">
        <v>0</v>
      </c>
      <c r="U90" s="1">
        <v>0</v>
      </c>
      <c r="V90" s="3">
        <v>0</v>
      </c>
      <c r="W90" s="1">
        <v>0</v>
      </c>
      <c r="X90" s="3">
        <v>0</v>
      </c>
      <c r="Y90" s="1">
        <v>0</v>
      </c>
      <c r="Z90" s="3">
        <v>0</v>
      </c>
      <c r="AA90" s="1">
        <v>0</v>
      </c>
      <c r="AB90" s="3">
        <v>0</v>
      </c>
      <c r="AC90" s="1">
        <v>0</v>
      </c>
      <c r="AD90" s="3">
        <v>0</v>
      </c>
      <c r="AE90" s="1">
        <v>0</v>
      </c>
      <c r="AF90" s="3">
        <v>0</v>
      </c>
      <c r="AG90" s="1">
        <v>0</v>
      </c>
      <c r="AH90" s="3">
        <v>0</v>
      </c>
      <c r="AI90" s="1">
        <v>0</v>
      </c>
      <c r="AJ90" s="3">
        <v>0</v>
      </c>
      <c r="AK90" s="1">
        <v>0</v>
      </c>
      <c r="AM90" s="1"/>
      <c r="AN90" s="1"/>
      <c r="AO90" s="1"/>
      <c r="AP90" s="1"/>
      <c r="AQ90" s="1"/>
      <c r="AR90" s="1"/>
      <c r="AS90" s="1"/>
    </row>
    <row r="91" spans="2:45" x14ac:dyDescent="0.25">
      <c r="B91" s="15"/>
      <c r="C91" s="15"/>
      <c r="D91" s="1"/>
      <c r="E91" s="24">
        <f>(SUM(E80:E89))/1000</f>
        <v>15.811465999999998</v>
      </c>
      <c r="F91" s="3">
        <v>0</v>
      </c>
      <c r="G91" s="24">
        <f>(SUM(G80:G89))/1000</f>
        <v>16.767328000000003</v>
      </c>
      <c r="H91" s="3">
        <v>0</v>
      </c>
      <c r="I91" s="24">
        <f>(SUM(I80:I89))/1000</f>
        <v>16.177783999999999</v>
      </c>
      <c r="J91" s="3">
        <v>0</v>
      </c>
      <c r="K91" s="24">
        <f>(SUM(K80:K89))/1000</f>
        <v>18.426814</v>
      </c>
      <c r="L91" s="3">
        <v>0</v>
      </c>
      <c r="M91" s="24">
        <f>(SUM(M80:M89))/1000</f>
        <v>17.929342000000005</v>
      </c>
      <c r="N91" s="3">
        <v>0</v>
      </c>
      <c r="O91" s="24">
        <f>(SUM(O80:O89))/1000</f>
        <v>16.127887000000001</v>
      </c>
      <c r="P91" s="3">
        <v>0</v>
      </c>
      <c r="Q91" s="24">
        <f>(SUM(Q80:Q89))</f>
        <v>17871.019999999997</v>
      </c>
      <c r="R91" s="3">
        <v>0</v>
      </c>
      <c r="S91" s="24">
        <f t="shared" ref="S91:AL91" si="109">(SUM(S80:S89))</f>
        <v>16825.179</v>
      </c>
      <c r="T91" s="3">
        <v>0</v>
      </c>
      <c r="U91" s="24">
        <f t="shared" ref="U91:AL91" si="110">(SUM(U80:U89))</f>
        <v>16477.138000000003</v>
      </c>
      <c r="V91" s="3">
        <v>0</v>
      </c>
      <c r="W91" s="24">
        <f t="shared" ref="W91:AL91" si="111">(SUM(W80:W89))</f>
        <v>16724.556999999997</v>
      </c>
      <c r="X91" s="3">
        <v>0</v>
      </c>
      <c r="Y91" s="24">
        <f t="shared" ref="Y91:AL91" si="112">(SUM(Y80:Y89))</f>
        <v>16263.900000000001</v>
      </c>
      <c r="Z91" s="3">
        <v>0</v>
      </c>
      <c r="AA91" s="24">
        <f t="shared" ref="AA91:AL91" si="113">(SUM(AA80:AA89))</f>
        <v>17371.806</v>
      </c>
      <c r="AB91" s="3">
        <v>0</v>
      </c>
      <c r="AC91" s="24">
        <f t="shared" ref="AC91:AL91" si="114">(SUM(AC80:AC89))</f>
        <v>17276.083000000002</v>
      </c>
      <c r="AD91" s="3">
        <v>0</v>
      </c>
      <c r="AE91" s="24">
        <f t="shared" ref="AE91:AL91" si="115">(SUM(AE80:AE89))</f>
        <v>18673.406000000003</v>
      </c>
      <c r="AF91" s="3">
        <v>0</v>
      </c>
      <c r="AG91" s="24">
        <f t="shared" ref="AG91:AL91" si="116">(SUM(AG80:AG89))</f>
        <v>19232.226999999999</v>
      </c>
      <c r="AH91" s="3">
        <v>0</v>
      </c>
      <c r="AI91" s="24">
        <f t="shared" ref="AI91:AL91" si="117">(SUM(AI80:AI89))</f>
        <v>19310.576000000001</v>
      </c>
      <c r="AJ91" s="3">
        <v>0</v>
      </c>
      <c r="AK91" s="24">
        <f t="shared" ref="AK91:AL91" si="118">(SUM(AK80:AK89))</f>
        <v>20246.259999999998</v>
      </c>
      <c r="AL91" s="3">
        <v>0</v>
      </c>
      <c r="AM91" s="24">
        <f>SUM(AM80:AM89)</f>
        <v>19551</v>
      </c>
      <c r="AN91" s="13"/>
      <c r="AO91" s="24">
        <f>SUM(AO80:AO89)</f>
        <v>0</v>
      </c>
      <c r="AP91" s="13"/>
      <c r="AQ91" s="24">
        <f>SUM(AQ80:AQ89)</f>
        <v>0</v>
      </c>
      <c r="AR91" s="13"/>
      <c r="AS91" s="24">
        <f>SUM(AS80:AS89)</f>
        <v>0</v>
      </c>
    </row>
    <row r="92" spans="2:45" x14ac:dyDescent="0.25">
      <c r="B92" s="19"/>
      <c r="C92" s="19"/>
      <c r="D92" s="1"/>
      <c r="E92" s="3">
        <v>0</v>
      </c>
      <c r="F92" s="3">
        <v>0</v>
      </c>
      <c r="G92" s="3">
        <v>0</v>
      </c>
      <c r="H92" s="3">
        <v>0</v>
      </c>
      <c r="I92" s="3">
        <v>0</v>
      </c>
      <c r="J92" s="3">
        <v>0</v>
      </c>
      <c r="K92" s="3">
        <v>0</v>
      </c>
      <c r="L92" s="3">
        <v>0</v>
      </c>
      <c r="M92" s="3">
        <v>0</v>
      </c>
      <c r="N92" s="3">
        <v>0</v>
      </c>
      <c r="O92" s="3">
        <v>0</v>
      </c>
      <c r="P92" s="3">
        <v>0</v>
      </c>
      <c r="Q92" s="3">
        <v>0</v>
      </c>
      <c r="R92" s="3">
        <v>0</v>
      </c>
      <c r="S92" s="3">
        <v>0</v>
      </c>
      <c r="T92" s="3">
        <v>0</v>
      </c>
      <c r="U92" s="3">
        <v>0</v>
      </c>
      <c r="V92" s="3">
        <v>0</v>
      </c>
      <c r="W92" s="3">
        <v>0</v>
      </c>
      <c r="X92" s="3">
        <v>0</v>
      </c>
      <c r="Y92" s="3">
        <v>0</v>
      </c>
      <c r="Z92" s="3">
        <v>0</v>
      </c>
      <c r="AA92" s="3">
        <v>0</v>
      </c>
      <c r="AB92" s="3">
        <v>0</v>
      </c>
      <c r="AC92" s="3">
        <v>0</v>
      </c>
      <c r="AD92" s="3">
        <v>0</v>
      </c>
      <c r="AE92" s="3">
        <v>0</v>
      </c>
      <c r="AF92" s="3">
        <v>0</v>
      </c>
      <c r="AG92" s="3">
        <v>0</v>
      </c>
      <c r="AH92" s="3">
        <v>0</v>
      </c>
      <c r="AI92" s="3">
        <v>0</v>
      </c>
      <c r="AJ92" s="3">
        <v>0</v>
      </c>
      <c r="AK92" s="3">
        <v>0</v>
      </c>
      <c r="AL92" s="3">
        <v>0</v>
      </c>
      <c r="AN92" s="1"/>
      <c r="AP92" s="1"/>
      <c r="AR92" s="1"/>
    </row>
    <row r="93" spans="2:45" x14ac:dyDescent="0.25">
      <c r="B93" s="9" t="s">
        <v>22</v>
      </c>
      <c r="C93" s="9" t="s">
        <v>159</v>
      </c>
      <c r="D93" s="1"/>
      <c r="E93" s="24">
        <f>(SUM(E77,E91))/1000</f>
        <v>5.4120764660000003</v>
      </c>
      <c r="F93" s="3">
        <v>0</v>
      </c>
      <c r="G93" s="24">
        <f>(SUM(G77,G91))/1000</f>
        <v>5.1690253280000009</v>
      </c>
      <c r="H93" s="3">
        <v>0</v>
      </c>
      <c r="I93" s="24">
        <f>(SUM(I77,I91))/1000</f>
        <v>5.6739637840000006</v>
      </c>
      <c r="J93" s="3">
        <v>0</v>
      </c>
      <c r="K93" s="24">
        <f>(SUM(K77,K91))/1000</f>
        <v>6.8410258140000009</v>
      </c>
      <c r="L93" s="3">
        <v>0</v>
      </c>
      <c r="M93" s="24">
        <f>(SUM(M77,M91))/1000</f>
        <v>8.8327773419999982</v>
      </c>
      <c r="N93" s="3">
        <v>0</v>
      </c>
      <c r="O93" s="24">
        <f>(SUM(O77,O91))/1000</f>
        <v>7.4383538869999981</v>
      </c>
      <c r="P93" s="3">
        <v>0</v>
      </c>
      <c r="Q93" s="24">
        <f>(SUM(Q77,Q91))</f>
        <v>25976.056999999997</v>
      </c>
      <c r="R93" s="3">
        <v>0</v>
      </c>
      <c r="S93" s="24">
        <f t="shared" ref="S93:AL93" si="119">(SUM(S77,S91))</f>
        <v>25226.606</v>
      </c>
      <c r="T93" s="3">
        <v>0</v>
      </c>
      <c r="U93" s="24">
        <f t="shared" ref="U93:AL93" si="120">(SUM(U77,U91))</f>
        <v>25127.634000000005</v>
      </c>
      <c r="V93" s="3">
        <v>0</v>
      </c>
      <c r="W93" s="24">
        <f t="shared" ref="W93:AL93" si="121">(SUM(W77,W91))</f>
        <v>24429.107</v>
      </c>
      <c r="X93" s="3">
        <v>0</v>
      </c>
      <c r="Y93" s="24">
        <f t="shared" ref="Y93:AL93" si="122">(SUM(Y77,Y91))</f>
        <v>23103.133000000002</v>
      </c>
      <c r="Z93" s="3">
        <v>0</v>
      </c>
      <c r="AA93" s="24">
        <f t="shared" ref="AA93:AL93" si="123">(SUM(AA77,AA91))</f>
        <v>24648.797999999999</v>
      </c>
      <c r="AB93" s="3">
        <v>0</v>
      </c>
      <c r="AC93" s="24">
        <f t="shared" ref="AC93:AL93" si="124">(SUM(AC77,AC91))</f>
        <v>25575.416000000001</v>
      </c>
      <c r="AD93" s="3">
        <v>0</v>
      </c>
      <c r="AE93" s="24">
        <f t="shared" ref="AE93:AL93" si="125">(SUM(AE77,AE91))</f>
        <v>25307.723000000005</v>
      </c>
      <c r="AF93" s="3">
        <v>0</v>
      </c>
      <c r="AG93" s="24">
        <f t="shared" ref="AG93:AL93" si="126">(SUM(AG77,AG91))</f>
        <v>27988.464999999997</v>
      </c>
      <c r="AH93" s="3">
        <v>0</v>
      </c>
      <c r="AI93" s="24">
        <f t="shared" ref="AI93:AL93" si="127">(SUM(AI77,AI91))</f>
        <v>27041.281000000003</v>
      </c>
      <c r="AJ93" s="3">
        <v>0</v>
      </c>
      <c r="AK93" s="24">
        <f t="shared" ref="AK93:AL93" si="128">(SUM(AK77,AK91))</f>
        <v>29718.434999999998</v>
      </c>
      <c r="AL93" s="3">
        <v>0</v>
      </c>
      <c r="AM93" s="24">
        <f>SUM(AM77,AM91)</f>
        <v>28442</v>
      </c>
      <c r="AN93" s="13"/>
      <c r="AO93" s="24">
        <f>SUM(AO77,AO91)</f>
        <v>0</v>
      </c>
      <c r="AP93" s="13"/>
      <c r="AQ93" s="24">
        <f>SUM(AQ77,AQ91)</f>
        <v>0</v>
      </c>
      <c r="AR93" s="13"/>
      <c r="AS93" s="24">
        <f>SUM(AS77,AS91)</f>
        <v>0</v>
      </c>
    </row>
    <row r="94" spans="2:45" x14ac:dyDescent="0.25">
      <c r="B94" s="4"/>
      <c r="C94" s="4"/>
      <c r="D94" s="1"/>
      <c r="E94" s="1">
        <v>0</v>
      </c>
      <c r="F94" s="3">
        <v>0</v>
      </c>
      <c r="G94" s="1">
        <v>0</v>
      </c>
      <c r="H94" s="3">
        <v>0</v>
      </c>
      <c r="I94" s="1">
        <v>0</v>
      </c>
      <c r="J94" s="3">
        <v>0</v>
      </c>
      <c r="K94" s="1">
        <v>0</v>
      </c>
      <c r="L94" s="3">
        <v>0</v>
      </c>
      <c r="M94" s="1">
        <v>0</v>
      </c>
      <c r="N94" s="3">
        <v>0</v>
      </c>
      <c r="O94" s="1">
        <v>0</v>
      </c>
      <c r="P94" s="3">
        <v>0</v>
      </c>
      <c r="Q94" s="1">
        <v>0</v>
      </c>
      <c r="R94" s="3">
        <v>0</v>
      </c>
      <c r="S94" s="1">
        <v>0</v>
      </c>
      <c r="T94" s="3">
        <v>0</v>
      </c>
      <c r="U94" s="1">
        <v>0</v>
      </c>
      <c r="V94" s="3">
        <v>0</v>
      </c>
      <c r="W94" s="1">
        <v>0</v>
      </c>
      <c r="X94" s="3">
        <v>0</v>
      </c>
      <c r="Y94" s="1">
        <v>0</v>
      </c>
      <c r="Z94" s="3">
        <v>0</v>
      </c>
      <c r="AA94" s="1">
        <v>0</v>
      </c>
      <c r="AB94" s="3">
        <v>0</v>
      </c>
      <c r="AC94" s="1">
        <v>0</v>
      </c>
      <c r="AD94" s="3">
        <v>0</v>
      </c>
      <c r="AE94" s="1">
        <v>0</v>
      </c>
      <c r="AF94" s="3">
        <v>0</v>
      </c>
      <c r="AG94" s="1">
        <v>0</v>
      </c>
      <c r="AH94" s="3">
        <v>0</v>
      </c>
      <c r="AI94" s="1">
        <v>0</v>
      </c>
      <c r="AJ94" s="3">
        <v>0</v>
      </c>
      <c r="AK94" s="1">
        <v>0</v>
      </c>
      <c r="AM94" s="1"/>
      <c r="AN94" s="1"/>
      <c r="AO94" s="1"/>
      <c r="AP94" s="1"/>
      <c r="AQ94" s="1"/>
      <c r="AR94" s="1"/>
      <c r="AS94" s="1"/>
    </row>
    <row r="95" spans="2:45" x14ac:dyDescent="0.25">
      <c r="B95" s="9" t="s">
        <v>23</v>
      </c>
      <c r="C95" s="9" t="s">
        <v>160</v>
      </c>
      <c r="D95" s="1"/>
      <c r="E95" s="13">
        <v>0</v>
      </c>
      <c r="F95" s="3">
        <v>0</v>
      </c>
      <c r="G95" s="13">
        <v>0</v>
      </c>
      <c r="H95" s="3">
        <v>0</v>
      </c>
      <c r="I95" s="13">
        <v>0</v>
      </c>
      <c r="J95" s="3">
        <v>0</v>
      </c>
      <c r="K95" s="13">
        <v>0</v>
      </c>
      <c r="L95" s="3">
        <v>0</v>
      </c>
      <c r="M95" s="13">
        <v>0</v>
      </c>
      <c r="N95" s="3">
        <v>0</v>
      </c>
      <c r="O95" s="13">
        <v>0</v>
      </c>
      <c r="P95" s="3">
        <v>0</v>
      </c>
      <c r="Q95" s="13">
        <v>0</v>
      </c>
      <c r="R95" s="3">
        <v>0</v>
      </c>
      <c r="S95" s="13">
        <v>0</v>
      </c>
      <c r="T95" s="3">
        <v>0</v>
      </c>
      <c r="U95" s="13">
        <v>0</v>
      </c>
      <c r="V95" s="3">
        <v>0</v>
      </c>
      <c r="W95" s="13">
        <v>0</v>
      </c>
      <c r="X95" s="3">
        <v>0</v>
      </c>
      <c r="Y95" s="13">
        <v>0</v>
      </c>
      <c r="Z95" s="3">
        <v>0</v>
      </c>
      <c r="AA95" s="13">
        <v>0</v>
      </c>
      <c r="AB95" s="3">
        <v>0</v>
      </c>
      <c r="AC95" s="13">
        <v>0</v>
      </c>
      <c r="AD95" s="3">
        <v>0</v>
      </c>
      <c r="AE95" s="13">
        <v>0</v>
      </c>
      <c r="AF95" s="3">
        <v>0</v>
      </c>
      <c r="AG95" s="13">
        <v>0</v>
      </c>
      <c r="AH95" s="3">
        <v>0</v>
      </c>
      <c r="AI95" s="13">
        <v>0</v>
      </c>
      <c r="AJ95" s="3">
        <v>0</v>
      </c>
      <c r="AK95" s="13">
        <v>0</v>
      </c>
      <c r="AM95" s="13"/>
      <c r="AN95" s="13"/>
      <c r="AO95" s="13"/>
      <c r="AP95" s="13"/>
      <c r="AQ95" s="13"/>
      <c r="AR95" s="13"/>
      <c r="AS95" s="13"/>
    </row>
    <row r="96" spans="2:45" x14ac:dyDescent="0.25">
      <c r="B96" s="19" t="s">
        <v>24</v>
      </c>
      <c r="C96" s="19" t="s">
        <v>161</v>
      </c>
      <c r="D96" s="1"/>
      <c r="E96" s="3">
        <v>7723.3530000000001</v>
      </c>
      <c r="F96" s="3">
        <v>0</v>
      </c>
      <c r="G96" s="3">
        <v>7723.3530000000001</v>
      </c>
      <c r="H96" s="3">
        <v>0</v>
      </c>
      <c r="I96" s="3">
        <v>7723.3530000000001</v>
      </c>
      <c r="J96" s="3">
        <v>0</v>
      </c>
      <c r="K96" s="3">
        <v>7723.3530000000001</v>
      </c>
      <c r="L96" s="3">
        <v>0</v>
      </c>
      <c r="M96" s="3">
        <v>7708.3530000000001</v>
      </c>
      <c r="N96" s="3">
        <v>0</v>
      </c>
      <c r="O96" s="3">
        <v>7708.3530000000001</v>
      </c>
      <c r="P96" s="3">
        <v>0</v>
      </c>
      <c r="Q96" s="3">
        <v>7708.3530000000001</v>
      </c>
      <c r="R96" s="3">
        <v>0</v>
      </c>
      <c r="S96" s="3">
        <v>7708.3530000000001</v>
      </c>
      <c r="T96" s="3">
        <v>0</v>
      </c>
      <c r="U96" s="3">
        <v>7708.3530000000001</v>
      </c>
      <c r="V96" s="3">
        <v>0</v>
      </c>
      <c r="W96" s="3">
        <v>7708.3530000000001</v>
      </c>
      <c r="X96" s="3">
        <v>0</v>
      </c>
      <c r="Y96" s="3">
        <v>7708.3530000000001</v>
      </c>
      <c r="Z96" s="3">
        <v>0</v>
      </c>
      <c r="AA96" s="3">
        <v>7708.3530000000001</v>
      </c>
      <c r="AB96" s="3">
        <v>0</v>
      </c>
      <c r="AC96" s="3">
        <v>7708.3530000000001</v>
      </c>
      <c r="AD96" s="3">
        <v>0</v>
      </c>
      <c r="AE96" s="3">
        <v>7708.3530000000001</v>
      </c>
      <c r="AF96" s="3">
        <v>0</v>
      </c>
      <c r="AG96" s="3">
        <v>7708.3530000000001</v>
      </c>
      <c r="AH96" s="3">
        <v>0</v>
      </c>
      <c r="AI96" s="3">
        <v>7708.3530000000001</v>
      </c>
      <c r="AJ96" s="3">
        <v>0</v>
      </c>
      <c r="AK96" s="3">
        <v>7708.3530000000001</v>
      </c>
      <c r="AM96" s="3">
        <v>7708</v>
      </c>
      <c r="AN96" s="1"/>
      <c r="AP96" s="1"/>
      <c r="AR96" s="1"/>
    </row>
    <row r="97" spans="2:45" x14ac:dyDescent="0.25">
      <c r="B97" s="15" t="s">
        <v>25</v>
      </c>
      <c r="C97" s="15" t="s">
        <v>162</v>
      </c>
      <c r="D97" s="1"/>
      <c r="E97" s="13">
        <v>3548.7829999999999</v>
      </c>
      <c r="F97" s="3">
        <v>0</v>
      </c>
      <c r="G97" s="13">
        <v>3212.3710000000001</v>
      </c>
      <c r="H97" s="3">
        <v>0</v>
      </c>
      <c r="I97" s="13">
        <v>3224.5709999999999</v>
      </c>
      <c r="J97" s="3">
        <v>0</v>
      </c>
      <c r="K97" s="13">
        <v>2923.654</v>
      </c>
      <c r="L97" s="3">
        <v>0</v>
      </c>
      <c r="M97" s="13">
        <v>3389.1729999999998</v>
      </c>
      <c r="N97" s="3">
        <v>0</v>
      </c>
      <c r="O97" s="13">
        <v>3401.8902916000002</v>
      </c>
      <c r="P97" s="3">
        <v>0</v>
      </c>
      <c r="Q97" s="13">
        <v>3418.9079999999999</v>
      </c>
      <c r="R97" s="3">
        <v>0</v>
      </c>
      <c r="S97" s="13">
        <v>3215.9549999999999</v>
      </c>
      <c r="T97" s="3">
        <v>0</v>
      </c>
      <c r="U97" s="13">
        <v>3947.5619999999999</v>
      </c>
      <c r="V97" s="3">
        <v>0</v>
      </c>
      <c r="W97" s="13">
        <v>3703.625</v>
      </c>
      <c r="X97" s="3">
        <v>0</v>
      </c>
      <c r="Y97" s="13">
        <v>3723.2330000000002</v>
      </c>
      <c r="Z97" s="3">
        <v>0</v>
      </c>
      <c r="AA97" s="13">
        <v>3290.721</v>
      </c>
      <c r="AB97" s="3">
        <v>0</v>
      </c>
      <c r="AC97" s="13">
        <v>5100.5360000000001</v>
      </c>
      <c r="AD97" s="3">
        <v>0</v>
      </c>
      <c r="AE97" s="13">
        <v>5100.5659999999998</v>
      </c>
      <c r="AF97" s="3">
        <v>0</v>
      </c>
      <c r="AG97" s="13">
        <v>5100.5659999999998</v>
      </c>
      <c r="AH97" s="3">
        <v>0</v>
      </c>
      <c r="AI97" s="13">
        <v>4699.0290000000005</v>
      </c>
      <c r="AJ97" s="3">
        <v>0</v>
      </c>
      <c r="AK97" s="13">
        <f>(856548+1640638+2886661)/1000</f>
        <v>5383.8469999999998</v>
      </c>
      <c r="AM97" s="13">
        <v>5048</v>
      </c>
      <c r="AN97" s="13"/>
      <c r="AO97" s="13"/>
      <c r="AP97" s="13"/>
      <c r="AQ97" s="13"/>
      <c r="AR97" s="13"/>
      <c r="AS97" s="13"/>
    </row>
    <row r="98" spans="2:45" x14ac:dyDescent="0.25">
      <c r="B98" s="19" t="s">
        <v>313</v>
      </c>
      <c r="C98" s="19" t="s">
        <v>245</v>
      </c>
      <c r="D98" s="1"/>
      <c r="E98" s="1">
        <v>0</v>
      </c>
      <c r="F98" s="3">
        <v>0</v>
      </c>
      <c r="G98" s="1">
        <v>175.02199999999999</v>
      </c>
      <c r="H98" s="3">
        <v>0</v>
      </c>
      <c r="I98" s="1">
        <v>2214.2629999999999</v>
      </c>
      <c r="J98" s="3">
        <v>0</v>
      </c>
      <c r="K98" s="1">
        <v>1730.356</v>
      </c>
      <c r="L98" s="3">
        <v>0</v>
      </c>
      <c r="M98" s="1">
        <v>0</v>
      </c>
      <c r="N98" s="3">
        <v>0</v>
      </c>
      <c r="O98" s="1">
        <v>-281.64729160000002</v>
      </c>
      <c r="P98" s="3">
        <v>0</v>
      </c>
      <c r="Q98" s="1">
        <v>46.643000000000001</v>
      </c>
      <c r="R98" s="3">
        <v>0</v>
      </c>
      <c r="S98" s="1">
        <v>536.75800000000004</v>
      </c>
      <c r="T98" s="3">
        <v>0</v>
      </c>
      <c r="U98" s="1">
        <v>0</v>
      </c>
      <c r="V98" s="3">
        <v>0</v>
      </c>
      <c r="W98" s="1">
        <v>90.289000000000001</v>
      </c>
      <c r="X98" s="3">
        <v>0</v>
      </c>
      <c r="Y98" s="1">
        <v>480.10300000000001</v>
      </c>
      <c r="Z98" s="3">
        <v>0</v>
      </c>
      <c r="AA98" s="1">
        <v>1202.001</v>
      </c>
      <c r="AB98" s="3">
        <v>0</v>
      </c>
      <c r="AC98" s="1">
        <v>0</v>
      </c>
      <c r="AD98" s="3">
        <v>0</v>
      </c>
      <c r="AE98" s="1">
        <v>42.024999999999999</v>
      </c>
      <c r="AF98" s="3">
        <v>0</v>
      </c>
      <c r="AG98" s="1">
        <v>515.36400000000003</v>
      </c>
      <c r="AH98" s="3">
        <v>0</v>
      </c>
      <c r="AI98" s="1">
        <v>1443.2260000000001</v>
      </c>
      <c r="AJ98" s="3">
        <v>0</v>
      </c>
      <c r="AK98" s="1">
        <v>0</v>
      </c>
      <c r="AM98" s="1">
        <v>-296</v>
      </c>
      <c r="AN98" s="1"/>
      <c r="AO98" s="1"/>
      <c r="AP98" s="1"/>
      <c r="AQ98" s="1"/>
      <c r="AR98" s="1"/>
      <c r="AS98" s="1"/>
    </row>
    <row r="99" spans="2:45" x14ac:dyDescent="0.25">
      <c r="B99" s="15" t="s">
        <v>26</v>
      </c>
      <c r="C99" s="15" t="s">
        <v>163</v>
      </c>
      <c r="D99" s="3"/>
      <c r="E99" s="24">
        <v>2246.239</v>
      </c>
      <c r="F99" s="3">
        <v>0</v>
      </c>
      <c r="G99" s="24">
        <v>2848.3040000000001</v>
      </c>
      <c r="H99" s="3">
        <v>0</v>
      </c>
      <c r="I99" s="24">
        <v>1815.884</v>
      </c>
      <c r="J99" s="3">
        <v>0</v>
      </c>
      <c r="K99" s="24">
        <v>4140.8530000000001</v>
      </c>
      <c r="L99" s="3">
        <v>0</v>
      </c>
      <c r="M99" s="24">
        <v>4490.9780000000001</v>
      </c>
      <c r="N99" s="3">
        <v>0</v>
      </c>
      <c r="O99" s="24">
        <v>2887.451</v>
      </c>
      <c r="P99" s="3">
        <v>0</v>
      </c>
      <c r="Q99" s="24">
        <v>3731.9050000000002</v>
      </c>
      <c r="R99" s="3">
        <v>0</v>
      </c>
      <c r="S99" s="24">
        <v>3703.3053</v>
      </c>
      <c r="T99" s="3">
        <v>0</v>
      </c>
      <c r="U99" s="24">
        <v>3727.3420000000001</v>
      </c>
      <c r="V99" s="3">
        <v>0</v>
      </c>
      <c r="W99" s="24">
        <v>3572.076</v>
      </c>
      <c r="X99" s="3">
        <v>0</v>
      </c>
      <c r="Y99" s="24">
        <v>3043.8679999999999</v>
      </c>
      <c r="Z99" s="3">
        <v>0</v>
      </c>
      <c r="AA99" s="24">
        <v>3325.768</v>
      </c>
      <c r="AB99" s="3">
        <v>0</v>
      </c>
      <c r="AC99" s="24">
        <v>2832.2779999999998</v>
      </c>
      <c r="AD99" s="3">
        <v>0</v>
      </c>
      <c r="AE99" s="24">
        <v>3330.154</v>
      </c>
      <c r="AF99" s="3">
        <v>0</v>
      </c>
      <c r="AG99" s="24">
        <v>4844.8389999999999</v>
      </c>
      <c r="AH99" s="3">
        <v>0</v>
      </c>
      <c r="AI99" s="24">
        <v>4852.5889999999999</v>
      </c>
      <c r="AJ99" s="3">
        <v>0</v>
      </c>
      <c r="AK99" s="24">
        <v>6204.3159999999998</v>
      </c>
      <c r="AM99" s="24">
        <v>5598</v>
      </c>
      <c r="AN99" s="16"/>
      <c r="AO99" s="24"/>
      <c r="AP99" s="16"/>
      <c r="AQ99" s="24"/>
      <c r="AR99" s="16"/>
      <c r="AS99" s="24"/>
    </row>
    <row r="100" spans="2:45" x14ac:dyDescent="0.25">
      <c r="B100" s="66"/>
      <c r="C100" s="66"/>
      <c r="D100" s="1"/>
      <c r="E100" s="68">
        <v>0</v>
      </c>
      <c r="F100" s="3">
        <v>0</v>
      </c>
      <c r="G100" s="68">
        <v>0</v>
      </c>
      <c r="H100" s="3">
        <v>0</v>
      </c>
      <c r="I100" s="68">
        <v>0</v>
      </c>
      <c r="J100" s="3">
        <v>0</v>
      </c>
      <c r="K100" s="68">
        <v>0</v>
      </c>
      <c r="L100" s="3">
        <v>0</v>
      </c>
      <c r="M100" s="68">
        <v>0</v>
      </c>
      <c r="N100" s="3">
        <v>0</v>
      </c>
      <c r="O100" s="68">
        <v>0</v>
      </c>
      <c r="P100" s="3">
        <v>0</v>
      </c>
      <c r="Q100" s="68">
        <v>0</v>
      </c>
      <c r="R100" s="3">
        <v>0</v>
      </c>
      <c r="S100" s="68">
        <v>0</v>
      </c>
      <c r="T100" s="3">
        <v>0</v>
      </c>
      <c r="U100" s="68">
        <v>0</v>
      </c>
      <c r="V100" s="3">
        <v>0</v>
      </c>
      <c r="W100" s="68">
        <v>0</v>
      </c>
      <c r="X100" s="3">
        <v>0</v>
      </c>
      <c r="Y100" s="68">
        <v>0</v>
      </c>
      <c r="Z100" s="3">
        <v>0</v>
      </c>
      <c r="AA100" s="68">
        <v>0</v>
      </c>
      <c r="AB100" s="3">
        <v>0</v>
      </c>
      <c r="AC100" s="68">
        <v>0</v>
      </c>
      <c r="AD100" s="3">
        <v>0</v>
      </c>
      <c r="AE100" s="68">
        <v>0</v>
      </c>
      <c r="AF100" s="3">
        <v>0</v>
      </c>
      <c r="AG100" s="68">
        <v>0</v>
      </c>
      <c r="AH100" s="3">
        <v>0</v>
      </c>
      <c r="AI100" s="68">
        <v>0</v>
      </c>
      <c r="AJ100" s="3">
        <v>0</v>
      </c>
      <c r="AK100" s="68">
        <v>0</v>
      </c>
      <c r="AM100" s="68"/>
      <c r="AN100" s="67"/>
      <c r="AO100" s="68"/>
      <c r="AP100" s="67"/>
      <c r="AQ100" s="68"/>
      <c r="AR100" s="67"/>
      <c r="AS100" s="68"/>
    </row>
    <row r="101" spans="2:45" ht="24.75" x14ac:dyDescent="0.25">
      <c r="B101" s="7" t="s">
        <v>27</v>
      </c>
      <c r="C101" s="7" t="s">
        <v>164</v>
      </c>
      <c r="D101" s="32"/>
      <c r="E101" s="26">
        <f>(SUM(E96:E99))/1000</f>
        <v>13.518375000000001</v>
      </c>
      <c r="F101" s="3">
        <v>0</v>
      </c>
      <c r="G101" s="26">
        <v>13959.05</v>
      </c>
      <c r="H101" s="3">
        <v>0</v>
      </c>
      <c r="I101" s="26">
        <f>(SUM(I96:I99))/1000</f>
        <v>14.978070999999998</v>
      </c>
      <c r="J101" s="3">
        <v>0</v>
      </c>
      <c r="K101" s="26">
        <f>(SUM(K96:K99))/1000</f>
        <v>16.518215999999999</v>
      </c>
      <c r="L101" s="3">
        <v>0</v>
      </c>
      <c r="M101" s="26">
        <f>(SUM(M96:M99))/1000</f>
        <v>15.588504</v>
      </c>
      <c r="N101" s="3">
        <v>0</v>
      </c>
      <c r="O101" s="26">
        <v>13716.047</v>
      </c>
      <c r="P101" s="3">
        <v>0</v>
      </c>
      <c r="Q101" s="26">
        <f>(SUM(Q96:Q99))</f>
        <v>14905.809000000001</v>
      </c>
      <c r="R101" s="3">
        <v>0</v>
      </c>
      <c r="S101" s="26">
        <f t="shared" ref="S101:AL101" si="129">(SUM(S96:S99))</f>
        <v>15164.371300000001</v>
      </c>
      <c r="T101" s="3">
        <v>0</v>
      </c>
      <c r="U101" s="26">
        <f t="shared" ref="U101:AL101" si="130">(SUM(U96:U99))</f>
        <v>15383.257000000001</v>
      </c>
      <c r="V101" s="3">
        <v>0</v>
      </c>
      <c r="W101" s="26">
        <f t="shared" ref="W101:AL101" si="131">(SUM(W96:W99))</f>
        <v>15074.343000000001</v>
      </c>
      <c r="X101" s="3">
        <v>0</v>
      </c>
      <c r="Y101" s="26">
        <f t="shared" ref="Y101:AL101" si="132">(SUM(Y96:Y99))</f>
        <v>14955.556999999999</v>
      </c>
      <c r="Z101" s="3">
        <v>0</v>
      </c>
      <c r="AA101" s="26">
        <f t="shared" ref="AA101:AL101" si="133">(SUM(AA96:AA99))</f>
        <v>15526.843000000001</v>
      </c>
      <c r="AB101" s="3">
        <v>0</v>
      </c>
      <c r="AC101" s="26">
        <f t="shared" ref="AC101:AL101" si="134">(SUM(AC96:AC99))</f>
        <v>15641.166999999999</v>
      </c>
      <c r="AD101" s="3">
        <v>0</v>
      </c>
      <c r="AE101" s="26">
        <f t="shared" ref="AE101:AL101" si="135">(SUM(AE96:AE99))</f>
        <v>16181.098</v>
      </c>
      <c r="AF101" s="3">
        <v>0</v>
      </c>
      <c r="AG101" s="26">
        <f t="shared" ref="AG101:AL101" si="136">(SUM(AG96:AG99))</f>
        <v>18169.121999999999</v>
      </c>
      <c r="AH101" s="3">
        <v>0</v>
      </c>
      <c r="AI101" s="26">
        <f t="shared" ref="AI101:AL101" si="137">(SUM(AI96:AI99))</f>
        <v>18703.197</v>
      </c>
      <c r="AJ101" s="3">
        <v>0</v>
      </c>
      <c r="AK101" s="26">
        <f t="shared" ref="AK101:AL101" si="138">(SUM(AK96:AK99))</f>
        <v>19296.516</v>
      </c>
      <c r="AL101" s="3">
        <v>0</v>
      </c>
      <c r="AM101" s="26">
        <f>SUM(AM96:AM99)</f>
        <v>18058</v>
      </c>
      <c r="AN101" s="32"/>
      <c r="AO101" s="26">
        <f>SUM(AO96:AO99)</f>
        <v>0</v>
      </c>
      <c r="AP101" s="32"/>
      <c r="AQ101" s="26">
        <f>SUM(AQ96:AQ99)</f>
        <v>0</v>
      </c>
      <c r="AR101" s="32"/>
      <c r="AS101" s="26">
        <f>SUM(AS96:AS99)</f>
        <v>0</v>
      </c>
    </row>
    <row r="102" spans="2:45" x14ac:dyDescent="0.25">
      <c r="B102" s="9"/>
      <c r="C102" s="9"/>
      <c r="D102" s="40"/>
      <c r="E102" s="38">
        <v>0</v>
      </c>
      <c r="F102" s="3">
        <v>0</v>
      </c>
      <c r="G102" s="38">
        <f>(SUM(G96:G99)-G101)/1000</f>
        <v>1.8189894035458565E-15</v>
      </c>
      <c r="H102" s="3">
        <v>0</v>
      </c>
      <c r="I102" s="38">
        <v>0</v>
      </c>
      <c r="J102" s="3">
        <v>0</v>
      </c>
      <c r="K102" s="38">
        <v>0</v>
      </c>
      <c r="L102" s="3">
        <v>0</v>
      </c>
      <c r="M102" s="38">
        <v>0</v>
      </c>
      <c r="N102" s="3">
        <v>0</v>
      </c>
      <c r="O102" s="38">
        <f>(SUM(O96:O99)-O101)/1000</f>
        <v>-1.8189894035458565E-15</v>
      </c>
      <c r="P102" s="3">
        <v>0</v>
      </c>
      <c r="Q102" s="38">
        <v>0</v>
      </c>
      <c r="R102" s="3">
        <v>0</v>
      </c>
      <c r="S102" s="38">
        <v>0</v>
      </c>
      <c r="T102" s="3">
        <v>0</v>
      </c>
      <c r="U102" s="38">
        <v>0</v>
      </c>
      <c r="V102" s="3">
        <v>0</v>
      </c>
      <c r="W102" s="38">
        <f>(SUM(W96:W99)-W101)/1000</f>
        <v>0</v>
      </c>
      <c r="X102" s="3">
        <v>0</v>
      </c>
      <c r="Y102" s="38">
        <v>0</v>
      </c>
      <c r="Z102" s="3">
        <v>0</v>
      </c>
      <c r="AA102" s="38">
        <v>0</v>
      </c>
      <c r="AB102" s="3">
        <v>0</v>
      </c>
      <c r="AC102" s="38">
        <v>0</v>
      </c>
      <c r="AD102" s="3">
        <v>0</v>
      </c>
      <c r="AE102" s="38">
        <f>(SUM(AE96:AE99)-AE101)/1000</f>
        <v>0</v>
      </c>
      <c r="AF102" s="3">
        <v>0</v>
      </c>
      <c r="AG102" s="38">
        <v>0</v>
      </c>
      <c r="AH102" s="3">
        <v>0</v>
      </c>
      <c r="AI102" s="38">
        <v>0</v>
      </c>
      <c r="AJ102" s="3">
        <v>0</v>
      </c>
      <c r="AK102" s="38">
        <v>0</v>
      </c>
      <c r="AM102" s="38">
        <f>SUM(AM96:AM99)-AM101</f>
        <v>0</v>
      </c>
      <c r="AN102" s="39"/>
      <c r="AO102" s="38"/>
      <c r="AP102" s="39"/>
      <c r="AQ102" s="38"/>
      <c r="AR102" s="39"/>
      <c r="AS102" s="38"/>
    </row>
    <row r="103" spans="2:45" x14ac:dyDescent="0.25">
      <c r="B103" s="7" t="s">
        <v>28</v>
      </c>
      <c r="C103" s="7" t="s">
        <v>165</v>
      </c>
      <c r="D103" s="1"/>
      <c r="E103" s="26">
        <v>725.93100000000004</v>
      </c>
      <c r="F103" s="3">
        <v>0</v>
      </c>
      <c r="G103" s="26">
        <v>816.85799999999995</v>
      </c>
      <c r="H103" s="3">
        <v>0</v>
      </c>
      <c r="I103" s="26">
        <v>2023.5930000000001</v>
      </c>
      <c r="J103" s="3">
        <v>0</v>
      </c>
      <c r="K103" s="26">
        <v>2277.2109999999998</v>
      </c>
      <c r="L103" s="3">
        <v>0</v>
      </c>
      <c r="M103" s="26">
        <v>2307.7429999999999</v>
      </c>
      <c r="N103" s="3">
        <v>0</v>
      </c>
      <c r="O103" s="26">
        <v>1935.875</v>
      </c>
      <c r="P103" s="3">
        <v>0</v>
      </c>
      <c r="Q103" s="26">
        <v>2013.134</v>
      </c>
      <c r="R103" s="3">
        <v>0</v>
      </c>
      <c r="S103" s="26">
        <v>2074.8719999999998</v>
      </c>
      <c r="T103" s="3">
        <v>0</v>
      </c>
      <c r="U103" s="26">
        <v>2022.318</v>
      </c>
      <c r="V103" s="3">
        <v>0</v>
      </c>
      <c r="W103" s="26">
        <v>1957.5160000000001</v>
      </c>
      <c r="X103" s="3">
        <v>0</v>
      </c>
      <c r="Y103" s="26">
        <v>1840.6030000000001</v>
      </c>
      <c r="Z103" s="3">
        <v>0</v>
      </c>
      <c r="AA103" s="26">
        <v>1958.425</v>
      </c>
      <c r="AB103" s="3">
        <v>0</v>
      </c>
      <c r="AC103" s="26">
        <v>1902.904</v>
      </c>
      <c r="AD103" s="3">
        <v>0</v>
      </c>
      <c r="AE103" s="26">
        <v>1927.617</v>
      </c>
      <c r="AF103" s="3">
        <v>0</v>
      </c>
      <c r="AG103" s="26">
        <v>2088.7399999999998</v>
      </c>
      <c r="AH103" s="3">
        <v>0</v>
      </c>
      <c r="AI103" s="26">
        <v>2118.3710000000001</v>
      </c>
      <c r="AJ103" s="3">
        <v>0</v>
      </c>
      <c r="AK103" s="26">
        <v>2314.799</v>
      </c>
      <c r="AM103" s="26">
        <v>2134</v>
      </c>
      <c r="AN103" s="40"/>
      <c r="AO103" s="26"/>
      <c r="AP103" s="40"/>
      <c r="AQ103" s="26"/>
      <c r="AR103" s="40"/>
      <c r="AS103" s="26"/>
    </row>
    <row r="104" spans="2:45" x14ac:dyDescent="0.25">
      <c r="B104" s="9"/>
      <c r="C104" s="9"/>
      <c r="D104" s="40"/>
      <c r="E104" s="38">
        <v>0</v>
      </c>
      <c r="F104" s="3">
        <v>0</v>
      </c>
      <c r="G104" s="38">
        <v>0</v>
      </c>
      <c r="H104" s="3">
        <v>0</v>
      </c>
      <c r="I104" s="38">
        <v>0</v>
      </c>
      <c r="J104" s="3">
        <v>0</v>
      </c>
      <c r="K104" s="38">
        <v>0</v>
      </c>
      <c r="L104" s="3">
        <v>0</v>
      </c>
      <c r="M104" s="38">
        <v>0</v>
      </c>
      <c r="N104" s="3">
        <v>0</v>
      </c>
      <c r="O104" s="38">
        <v>0</v>
      </c>
      <c r="P104" s="3">
        <v>0</v>
      </c>
      <c r="Q104" s="38">
        <v>0</v>
      </c>
      <c r="R104" s="3">
        <v>0</v>
      </c>
      <c r="S104" s="38">
        <v>0</v>
      </c>
      <c r="T104" s="3">
        <v>0</v>
      </c>
      <c r="U104" s="38">
        <v>0</v>
      </c>
      <c r="V104" s="3">
        <v>0</v>
      </c>
      <c r="W104" s="38">
        <v>0</v>
      </c>
      <c r="X104" s="3">
        <v>0</v>
      </c>
      <c r="Y104" s="38">
        <v>0</v>
      </c>
      <c r="Z104" s="3">
        <v>0</v>
      </c>
      <c r="AA104" s="38">
        <v>0</v>
      </c>
      <c r="AB104" s="3">
        <v>0</v>
      </c>
      <c r="AC104" s="38">
        <v>0</v>
      </c>
      <c r="AD104" s="3">
        <v>0</v>
      </c>
      <c r="AE104" s="38">
        <v>0</v>
      </c>
      <c r="AF104" s="3">
        <v>0</v>
      </c>
      <c r="AG104" s="38">
        <v>0</v>
      </c>
      <c r="AH104" s="3">
        <v>0</v>
      </c>
      <c r="AI104" s="38">
        <v>0</v>
      </c>
      <c r="AJ104" s="3">
        <v>0</v>
      </c>
      <c r="AK104" s="38">
        <v>0</v>
      </c>
      <c r="AM104" s="38"/>
      <c r="AN104" s="39"/>
      <c r="AO104" s="38"/>
      <c r="AP104" s="39"/>
      <c r="AQ104" s="38"/>
      <c r="AR104" s="39"/>
      <c r="AS104" s="38"/>
    </row>
    <row r="105" spans="2:45" x14ac:dyDescent="0.25">
      <c r="B105" s="7" t="s">
        <v>56</v>
      </c>
      <c r="C105" s="7" t="s">
        <v>166</v>
      </c>
      <c r="D105" s="3"/>
      <c r="E105" s="26">
        <f>(SUM(E101,E103))/1000</f>
        <v>0.73944937500000008</v>
      </c>
      <c r="F105" s="3">
        <v>0</v>
      </c>
      <c r="G105" s="26">
        <f>(SUM(G101,G103))/1000</f>
        <v>14.775907999999999</v>
      </c>
      <c r="H105" s="3">
        <v>0</v>
      </c>
      <c r="I105" s="26">
        <f>(SUM(I101,I103))/1000</f>
        <v>2.0385710710000002</v>
      </c>
      <c r="J105" s="3">
        <v>0</v>
      </c>
      <c r="K105" s="26">
        <f>(SUM(K101,K103))/1000</f>
        <v>2.2937292159999996</v>
      </c>
      <c r="L105" s="3">
        <v>0</v>
      </c>
      <c r="M105" s="26">
        <f>(SUM(M101,M103))/1000</f>
        <v>2.3233315039999995</v>
      </c>
      <c r="N105" s="3">
        <v>0</v>
      </c>
      <c r="O105" s="26">
        <f>(SUM(O101,O103))/1000</f>
        <v>15.651922000000001</v>
      </c>
      <c r="P105" s="3">
        <v>0</v>
      </c>
      <c r="Q105" s="26">
        <f>(SUM(Q101,Q103))</f>
        <v>16918.942999999999</v>
      </c>
      <c r="R105" s="3">
        <v>0</v>
      </c>
      <c r="S105" s="26">
        <f t="shared" ref="S105:AL105" si="139">(SUM(S101,S103))</f>
        <v>17239.243300000002</v>
      </c>
      <c r="T105" s="3">
        <v>0</v>
      </c>
      <c r="U105" s="26">
        <f t="shared" ref="U105:AL105" si="140">(SUM(U101,U103))</f>
        <v>17405.575000000001</v>
      </c>
      <c r="V105" s="3">
        <v>0</v>
      </c>
      <c r="W105" s="26">
        <f t="shared" ref="W105:AL105" si="141">(SUM(W101,W103))</f>
        <v>17031.859</v>
      </c>
      <c r="X105" s="3">
        <v>0</v>
      </c>
      <c r="Y105" s="26">
        <f t="shared" ref="Y105:AL105" si="142">(SUM(Y101,Y103))</f>
        <v>16796.16</v>
      </c>
      <c r="Z105" s="3">
        <v>0</v>
      </c>
      <c r="AA105" s="26">
        <f t="shared" ref="AA105:AL105" si="143">(SUM(AA101,AA103))</f>
        <v>17485.268</v>
      </c>
      <c r="AB105" s="3">
        <v>0</v>
      </c>
      <c r="AC105" s="26">
        <f t="shared" ref="AC105:AL105" si="144">(SUM(AC101,AC103))</f>
        <v>17544.071</v>
      </c>
      <c r="AD105" s="3">
        <v>0</v>
      </c>
      <c r="AE105" s="26">
        <f t="shared" ref="AE105:AL105" si="145">(SUM(AE101,AE103))</f>
        <v>18108.715</v>
      </c>
      <c r="AF105" s="3">
        <v>0</v>
      </c>
      <c r="AG105" s="26">
        <f t="shared" ref="AG105:AL105" si="146">(SUM(AG101,AG103))</f>
        <v>20257.862000000001</v>
      </c>
      <c r="AH105" s="3">
        <v>0</v>
      </c>
      <c r="AI105" s="26">
        <f t="shared" ref="AI105:AL105" si="147">(SUM(AI101,AI103))</f>
        <v>20821.567999999999</v>
      </c>
      <c r="AJ105" s="3">
        <v>0</v>
      </c>
      <c r="AK105" s="26">
        <f t="shared" ref="AK105:AL105" si="148">(SUM(AK101,AK103))</f>
        <v>21611.314999999999</v>
      </c>
      <c r="AL105" s="3">
        <v>0</v>
      </c>
      <c r="AM105" s="26">
        <f>SUM(AM101,AM103)</f>
        <v>20192</v>
      </c>
      <c r="AO105" s="26">
        <f>SUM(AO101,AO103)</f>
        <v>0</v>
      </c>
      <c r="AQ105" s="26">
        <f>SUM(AQ101,AQ103)</f>
        <v>0</v>
      </c>
      <c r="AS105" s="26">
        <f>SUM(AS101,AS103)</f>
        <v>0</v>
      </c>
    </row>
    <row r="106" spans="2:45" x14ac:dyDescent="0.25">
      <c r="B106" s="9"/>
      <c r="C106" s="9"/>
      <c r="D106" s="3"/>
      <c r="E106" s="16">
        <v>0</v>
      </c>
      <c r="F106" s="3">
        <v>0</v>
      </c>
      <c r="G106" s="16">
        <v>0</v>
      </c>
      <c r="H106" s="3">
        <v>0</v>
      </c>
      <c r="I106" s="16">
        <v>0</v>
      </c>
      <c r="J106" s="3">
        <v>0</v>
      </c>
      <c r="K106" s="16">
        <v>0</v>
      </c>
      <c r="L106" s="3">
        <v>0</v>
      </c>
      <c r="M106" s="16">
        <v>0</v>
      </c>
      <c r="N106" s="3">
        <v>0</v>
      </c>
      <c r="O106" s="16">
        <v>0</v>
      </c>
      <c r="P106" s="3">
        <v>0</v>
      </c>
      <c r="Q106" s="16">
        <v>0</v>
      </c>
      <c r="R106" s="3">
        <v>0</v>
      </c>
      <c r="S106" s="16">
        <v>0</v>
      </c>
      <c r="T106" s="3">
        <v>0</v>
      </c>
      <c r="U106" s="16">
        <v>0</v>
      </c>
      <c r="V106" s="3">
        <v>0</v>
      </c>
      <c r="W106" s="16">
        <v>0</v>
      </c>
      <c r="X106" s="3">
        <v>0</v>
      </c>
      <c r="Y106" s="16">
        <v>0</v>
      </c>
      <c r="Z106" s="3">
        <v>0</v>
      </c>
      <c r="AA106" s="16">
        <v>0</v>
      </c>
      <c r="AB106" s="3">
        <v>0</v>
      </c>
      <c r="AC106" s="16">
        <v>0</v>
      </c>
      <c r="AD106" s="3">
        <v>0</v>
      </c>
      <c r="AE106" s="16">
        <v>0</v>
      </c>
      <c r="AF106" s="3">
        <v>0</v>
      </c>
      <c r="AG106" s="16">
        <v>0</v>
      </c>
      <c r="AH106" s="3">
        <v>0</v>
      </c>
      <c r="AI106" s="16">
        <v>0</v>
      </c>
      <c r="AJ106" s="3">
        <v>0</v>
      </c>
      <c r="AK106" s="16">
        <v>0</v>
      </c>
      <c r="AL106" s="3">
        <v>0</v>
      </c>
      <c r="AM106" s="16"/>
      <c r="AN106" s="16"/>
      <c r="AO106" s="16"/>
      <c r="AP106" s="16"/>
      <c r="AQ106" s="16"/>
      <c r="AR106" s="16"/>
      <c r="AS106" s="16"/>
    </row>
    <row r="107" spans="2:45" x14ac:dyDescent="0.25">
      <c r="B107" s="4"/>
      <c r="C107" s="4"/>
      <c r="D107" s="3"/>
      <c r="E107" s="3">
        <v>0</v>
      </c>
      <c r="F107" s="3">
        <v>0</v>
      </c>
      <c r="G107" s="3">
        <v>0</v>
      </c>
      <c r="H107" s="3">
        <v>0</v>
      </c>
      <c r="I107" s="3">
        <v>0</v>
      </c>
      <c r="J107" s="3">
        <v>0</v>
      </c>
      <c r="K107" s="3">
        <v>0</v>
      </c>
      <c r="L107" s="3">
        <v>0</v>
      </c>
      <c r="M107" s="3">
        <v>0</v>
      </c>
      <c r="N107" s="3">
        <v>0</v>
      </c>
      <c r="O107" s="3">
        <v>0</v>
      </c>
      <c r="P107" s="3">
        <v>0</v>
      </c>
      <c r="Q107" s="3">
        <v>0</v>
      </c>
      <c r="R107" s="3">
        <v>0</v>
      </c>
      <c r="S107" s="3">
        <v>0</v>
      </c>
      <c r="T107" s="3">
        <v>0</v>
      </c>
      <c r="U107" s="3">
        <v>0</v>
      </c>
      <c r="V107" s="3">
        <v>0</v>
      </c>
      <c r="W107" s="3">
        <v>0</v>
      </c>
      <c r="X107" s="3">
        <v>0</v>
      </c>
      <c r="Y107" s="3">
        <v>0</v>
      </c>
      <c r="Z107" s="3">
        <v>0</v>
      </c>
      <c r="AA107" s="3">
        <v>0</v>
      </c>
      <c r="AB107" s="3">
        <v>0</v>
      </c>
      <c r="AC107" s="3">
        <v>0</v>
      </c>
      <c r="AD107" s="3">
        <v>0</v>
      </c>
      <c r="AE107" s="3">
        <v>0</v>
      </c>
      <c r="AF107" s="3">
        <v>0</v>
      </c>
      <c r="AG107" s="3">
        <v>0</v>
      </c>
      <c r="AH107" s="3">
        <v>0</v>
      </c>
      <c r="AI107" s="3">
        <v>0</v>
      </c>
      <c r="AJ107" s="3">
        <v>0</v>
      </c>
      <c r="AK107" s="3">
        <v>0</v>
      </c>
      <c r="AL107" s="3">
        <v>0</v>
      </c>
    </row>
    <row r="108" spans="2:45" ht="15.75" thickBot="1" x14ac:dyDescent="0.3">
      <c r="B108" s="9" t="s">
        <v>57</v>
      </c>
      <c r="C108" s="9" t="s">
        <v>167</v>
      </c>
      <c r="D108" s="1"/>
      <c r="E108" s="42">
        <f>(SUM(E93,E105))/1000</f>
        <v>6.1515258410000002E-3</v>
      </c>
      <c r="F108" s="3">
        <v>0</v>
      </c>
      <c r="G108" s="42">
        <f>(SUM(G93,G105))/1000</f>
        <v>1.9944933328E-2</v>
      </c>
      <c r="H108" s="3">
        <v>0</v>
      </c>
      <c r="I108" s="42">
        <f>(SUM(I93,I105))/1000</f>
        <v>7.7125348550000014E-3</v>
      </c>
      <c r="J108" s="3">
        <v>0</v>
      </c>
      <c r="K108" s="42">
        <f>(SUM(K93,K105))/1000</f>
        <v>9.1347550300000004E-3</v>
      </c>
      <c r="L108" s="3">
        <v>0</v>
      </c>
      <c r="M108" s="42">
        <f>(SUM(M93,M105))/1000</f>
        <v>1.1156108845999999E-2</v>
      </c>
      <c r="N108" s="3">
        <v>0</v>
      </c>
      <c r="O108" s="42">
        <f>(SUM(O93,O105))/1000</f>
        <v>2.3090275886999998E-2</v>
      </c>
      <c r="P108" s="3">
        <v>0</v>
      </c>
      <c r="Q108" s="42">
        <f>(SUM(Q93,Q105))</f>
        <v>42895</v>
      </c>
      <c r="R108" s="3">
        <v>0</v>
      </c>
      <c r="S108" s="42">
        <f t="shared" ref="S108:AL108" si="149">(SUM(S93,S105))</f>
        <v>42465.849300000002</v>
      </c>
      <c r="T108" s="3">
        <v>0</v>
      </c>
      <c r="U108" s="42">
        <f t="shared" ref="U108:AL108" si="150">(SUM(U93,U105))</f>
        <v>42533.209000000003</v>
      </c>
      <c r="V108" s="3">
        <v>0</v>
      </c>
      <c r="W108" s="42">
        <f t="shared" ref="W108:AL108" si="151">(SUM(W93,W105))</f>
        <v>41460.966</v>
      </c>
      <c r="X108" s="3">
        <v>0</v>
      </c>
      <c r="Y108" s="42">
        <f t="shared" ref="Y108:AL108" si="152">(SUM(Y93,Y105))</f>
        <v>39899.293000000005</v>
      </c>
      <c r="Z108" s="3">
        <v>0</v>
      </c>
      <c r="AA108" s="42">
        <f t="shared" ref="AA108:AL108" si="153">(SUM(AA93,AA105))</f>
        <v>42134.065999999999</v>
      </c>
      <c r="AB108" s="3">
        <v>0</v>
      </c>
      <c r="AC108" s="42">
        <f t="shared" ref="AC108:AL108" si="154">(SUM(AC93,AC105))</f>
        <v>43119.487000000001</v>
      </c>
      <c r="AD108" s="3">
        <v>0</v>
      </c>
      <c r="AE108" s="42">
        <f t="shared" ref="AE108:AL108" si="155">(SUM(AE93,AE105))</f>
        <v>43416.438000000009</v>
      </c>
      <c r="AF108" s="3">
        <v>0</v>
      </c>
      <c r="AG108" s="42">
        <f t="shared" ref="AG108:AL108" si="156">(SUM(AG93,AG105))</f>
        <v>48246.326999999997</v>
      </c>
      <c r="AH108" s="3">
        <v>0</v>
      </c>
      <c r="AI108" s="42">
        <f t="shared" ref="AI108:AL108" si="157">(SUM(AI93,AI105))</f>
        <v>47862.849000000002</v>
      </c>
      <c r="AJ108" s="3">
        <v>0</v>
      </c>
      <c r="AK108" s="42">
        <f t="shared" ref="AK108:AL108" si="158">(SUM(AK93,AK105))</f>
        <v>51329.75</v>
      </c>
      <c r="AL108" s="3">
        <v>0</v>
      </c>
      <c r="AM108" s="42">
        <f>SUM(AM93,AM105)</f>
        <v>48634</v>
      </c>
      <c r="AN108" s="13"/>
      <c r="AO108" s="42">
        <f>SUM(AO93,AO105)</f>
        <v>0</v>
      </c>
      <c r="AP108" s="13"/>
      <c r="AQ108" s="42">
        <f>SUM(AQ93,AQ105)</f>
        <v>0</v>
      </c>
      <c r="AR108" s="13"/>
      <c r="AS108" s="42">
        <f>SUM(AS93,AS105)</f>
        <v>0</v>
      </c>
    </row>
    <row r="109" spans="2:45" ht="15.75" thickTop="1" x14ac:dyDescent="0.25">
      <c r="I109" s="3"/>
      <c r="AG109" s="3">
        <f>AG108-AG53</f>
        <v>0</v>
      </c>
      <c r="AI109" s="128"/>
      <c r="AO109" s="3">
        <f>AO108-AO53</f>
        <v>0</v>
      </c>
      <c r="AQ109" s="128"/>
    </row>
  </sheetData>
  <dataConsolidate/>
  <mergeCells count="10">
    <mergeCell ref="G5:M5"/>
    <mergeCell ref="G55:M55"/>
    <mergeCell ref="O5:U5"/>
    <mergeCell ref="O55:U55"/>
    <mergeCell ref="AM5:AS5"/>
    <mergeCell ref="AM55:AS55"/>
    <mergeCell ref="AE5:AK5"/>
    <mergeCell ref="AE55:AK55"/>
    <mergeCell ref="W5:AC5"/>
    <mergeCell ref="W55:AC55"/>
  </mergeCells>
  <conditionalFormatting sqref="AM9:AM18 AO9:AO18 AQ9:AQ18 AS9:AS18 AR10:AR17">
    <cfRule type="cellIs" dxfId="388" priority="314" operator="equal">
      <formula>0</formula>
    </cfRule>
  </conditionalFormatting>
  <conditionalFormatting sqref="AM23">
    <cfRule type="cellIs" dxfId="387" priority="298" operator="equal">
      <formula>0</formula>
    </cfRule>
  </conditionalFormatting>
  <conditionalFormatting sqref="AM29:AM36">
    <cfRule type="cellIs" dxfId="386" priority="283" operator="equal">
      <formula>0</formula>
    </cfRule>
  </conditionalFormatting>
  <conditionalFormatting sqref="AM38:AM39">
    <cfRule type="cellIs" dxfId="385" priority="259" operator="equal">
      <formula>0</formula>
    </cfRule>
  </conditionalFormatting>
  <conditionalFormatting sqref="AM41:AM42">
    <cfRule type="cellIs" dxfId="384" priority="297" operator="equal">
      <formula>0</formula>
    </cfRule>
  </conditionalFormatting>
  <conditionalFormatting sqref="AM45:AM47">
    <cfRule type="cellIs" dxfId="383" priority="299" operator="equal">
      <formula>0</formula>
    </cfRule>
  </conditionalFormatting>
  <conditionalFormatting sqref="AM49">
    <cfRule type="cellIs" dxfId="382" priority="282" operator="equal">
      <formula>0</formula>
    </cfRule>
  </conditionalFormatting>
  <conditionalFormatting sqref="AM59:AM60 AQ59:AQ60 AS59:AS60 AM80:AM81 AQ80:AQ81 AS80:AS81">
    <cfRule type="cellIs" dxfId="381" priority="313" operator="equal">
      <formula>0</formula>
    </cfRule>
  </conditionalFormatting>
  <conditionalFormatting sqref="AM63:AM71">
    <cfRule type="cellIs" dxfId="380" priority="269" operator="equal">
      <formula>0</formula>
    </cfRule>
  </conditionalFormatting>
  <conditionalFormatting sqref="AM73">
    <cfRule type="cellIs" dxfId="379" priority="265" operator="equal">
      <formula>0</formula>
    </cfRule>
  </conditionalFormatting>
  <conditionalFormatting sqref="AM75">
    <cfRule type="cellIs" dxfId="378" priority="300" operator="equal">
      <formula>0</formula>
    </cfRule>
  </conditionalFormatting>
  <conditionalFormatting sqref="AM83:AM86">
    <cfRule type="cellIs" dxfId="377" priority="302" operator="equal">
      <formula>0</formula>
    </cfRule>
  </conditionalFormatting>
  <conditionalFormatting sqref="AM89:AM93">
    <cfRule type="cellIs" dxfId="376" priority="293" operator="equal">
      <formula>0</formula>
    </cfRule>
  </conditionalFormatting>
  <conditionalFormatting sqref="AM96">
    <cfRule type="cellIs" dxfId="375" priority="301" operator="equal">
      <formula>0</formula>
    </cfRule>
  </conditionalFormatting>
  <conditionalFormatting sqref="AM100:AM105">
    <cfRule type="cellIs" dxfId="374" priority="257" operator="equal">
      <formula>0</formula>
    </cfRule>
  </conditionalFormatting>
  <conditionalFormatting sqref="AO23">
    <cfRule type="cellIs" dxfId="373" priority="279" operator="equal">
      <formula>0</formula>
    </cfRule>
  </conditionalFormatting>
  <conditionalFormatting sqref="AO29:AO36">
    <cfRule type="cellIs" dxfId="372" priority="278" operator="equal">
      <formula>0</formula>
    </cfRule>
  </conditionalFormatting>
  <conditionalFormatting sqref="AO38:AO39">
    <cfRule type="cellIs" dxfId="371" priority="258" operator="equal">
      <formula>0</formula>
    </cfRule>
  </conditionalFormatting>
  <conditionalFormatting sqref="AO41:AO42">
    <cfRule type="cellIs" dxfId="370" priority="296" operator="equal">
      <formula>0</formula>
    </cfRule>
  </conditionalFormatting>
  <conditionalFormatting sqref="AO45:AO47">
    <cfRule type="cellIs" dxfId="369" priority="277" operator="equal">
      <formula>0</formula>
    </cfRule>
  </conditionalFormatting>
  <conditionalFormatting sqref="AO49">
    <cfRule type="cellIs" dxfId="368" priority="281" operator="equal">
      <formula>0</formula>
    </cfRule>
  </conditionalFormatting>
  <conditionalFormatting sqref="AO59:AO60">
    <cfRule type="cellIs" dxfId="367" priority="276" operator="equal">
      <formula>0</formula>
    </cfRule>
  </conditionalFormatting>
  <conditionalFormatting sqref="AO63:AO71">
    <cfRule type="cellIs" dxfId="366" priority="268" operator="equal">
      <formula>0</formula>
    </cfRule>
  </conditionalFormatting>
  <conditionalFormatting sqref="AO73">
    <cfRule type="cellIs" dxfId="365" priority="264" operator="equal">
      <formula>0</formula>
    </cfRule>
  </conditionalFormatting>
  <conditionalFormatting sqref="AO75">
    <cfRule type="cellIs" dxfId="364" priority="303" operator="equal">
      <formula>0</formula>
    </cfRule>
  </conditionalFormatting>
  <conditionalFormatting sqref="AO80:AO81">
    <cfRule type="cellIs" dxfId="363" priority="275" operator="equal">
      <formula>0</formula>
    </cfRule>
  </conditionalFormatting>
  <conditionalFormatting sqref="AO83:AO86">
    <cfRule type="cellIs" dxfId="362" priority="274" operator="equal">
      <formula>0</formula>
    </cfRule>
  </conditionalFormatting>
  <conditionalFormatting sqref="AO89:AO93">
    <cfRule type="cellIs" dxfId="361" priority="273" operator="equal">
      <formula>0</formula>
    </cfRule>
  </conditionalFormatting>
  <conditionalFormatting sqref="AO96">
    <cfRule type="cellIs" dxfId="360" priority="272" operator="equal">
      <formula>0</formula>
    </cfRule>
  </conditionalFormatting>
  <conditionalFormatting sqref="AO100:AO105">
    <cfRule type="cellIs" dxfId="359" priority="271" operator="equal">
      <formula>0</formula>
    </cfRule>
  </conditionalFormatting>
  <conditionalFormatting sqref="AQ23">
    <cfRule type="cellIs" dxfId="358" priority="262" operator="equal">
      <formula>0</formula>
    </cfRule>
  </conditionalFormatting>
  <conditionalFormatting sqref="AQ29:AQ36">
    <cfRule type="cellIs" dxfId="357" priority="284" operator="equal">
      <formula>0</formula>
    </cfRule>
  </conditionalFormatting>
  <conditionalFormatting sqref="AQ38:AQ39">
    <cfRule type="cellIs" dxfId="356" priority="260" operator="equal">
      <formula>0</formula>
    </cfRule>
  </conditionalFormatting>
  <conditionalFormatting sqref="AQ41:AQ42">
    <cfRule type="cellIs" dxfId="355" priority="295" operator="equal">
      <formula>0</formula>
    </cfRule>
  </conditionalFormatting>
  <conditionalFormatting sqref="AQ45:AQ47">
    <cfRule type="cellIs" dxfId="354" priority="304" operator="equal">
      <formula>0</formula>
    </cfRule>
  </conditionalFormatting>
  <conditionalFormatting sqref="AQ49">
    <cfRule type="cellIs" dxfId="353" priority="280" operator="equal">
      <formula>0</formula>
    </cfRule>
  </conditionalFormatting>
  <conditionalFormatting sqref="AQ63:AQ71">
    <cfRule type="cellIs" dxfId="352" priority="267" operator="equal">
      <formula>0</formula>
    </cfRule>
  </conditionalFormatting>
  <conditionalFormatting sqref="AQ73">
    <cfRule type="cellIs" dxfId="351" priority="263" operator="equal">
      <formula>0</formula>
    </cfRule>
  </conditionalFormatting>
  <conditionalFormatting sqref="AQ75">
    <cfRule type="cellIs" dxfId="350" priority="305" operator="equal">
      <formula>0</formula>
    </cfRule>
  </conditionalFormatting>
  <conditionalFormatting sqref="AQ83:AQ86">
    <cfRule type="cellIs" dxfId="349" priority="308" operator="equal">
      <formula>0</formula>
    </cfRule>
  </conditionalFormatting>
  <conditionalFormatting sqref="AQ89:AQ93">
    <cfRule type="cellIs" dxfId="348" priority="291" operator="equal">
      <formula>0</formula>
    </cfRule>
  </conditionalFormatting>
  <conditionalFormatting sqref="AQ96">
    <cfRule type="cellIs" dxfId="347" priority="306" operator="equal">
      <formula>0</formula>
    </cfRule>
  </conditionalFormatting>
  <conditionalFormatting sqref="AQ100:AQ105">
    <cfRule type="cellIs" dxfId="346" priority="287" operator="equal">
      <formula>0</formula>
    </cfRule>
  </conditionalFormatting>
  <conditionalFormatting sqref="AR65:AS65">
    <cfRule type="cellIs" dxfId="345" priority="307" operator="equal">
      <formula>0</formula>
    </cfRule>
  </conditionalFormatting>
  <conditionalFormatting sqref="AS23">
    <cfRule type="cellIs" dxfId="344" priority="309" operator="equal">
      <formula>0</formula>
    </cfRule>
  </conditionalFormatting>
  <conditionalFormatting sqref="AS29:AS36">
    <cfRule type="cellIs" dxfId="343" priority="285" operator="equal">
      <formula>0</formula>
    </cfRule>
  </conditionalFormatting>
  <conditionalFormatting sqref="AS38:AS39">
    <cfRule type="cellIs" dxfId="342" priority="261" operator="equal">
      <formula>0</formula>
    </cfRule>
  </conditionalFormatting>
  <conditionalFormatting sqref="AS41:AS42">
    <cfRule type="cellIs" dxfId="341" priority="294" operator="equal">
      <formula>0</formula>
    </cfRule>
  </conditionalFormatting>
  <conditionalFormatting sqref="AS45:AS47">
    <cfRule type="cellIs" dxfId="340" priority="290" operator="equal">
      <formula>0</formula>
    </cfRule>
  </conditionalFormatting>
  <conditionalFormatting sqref="AS49">
    <cfRule type="cellIs" dxfId="339" priority="289" operator="equal">
      <formula>0</formula>
    </cfRule>
  </conditionalFormatting>
  <conditionalFormatting sqref="AS63:AS71">
    <cfRule type="cellIs" dxfId="338" priority="270" operator="equal">
      <formula>0</formula>
    </cfRule>
  </conditionalFormatting>
  <conditionalFormatting sqref="AS73">
    <cfRule type="cellIs" dxfId="337" priority="266" operator="equal">
      <formula>0</formula>
    </cfRule>
  </conditionalFormatting>
  <conditionalFormatting sqref="AS75">
    <cfRule type="cellIs" dxfId="336" priority="310" operator="equal">
      <formula>0</formula>
    </cfRule>
  </conditionalFormatting>
  <conditionalFormatting sqref="AS83:AS86">
    <cfRule type="cellIs" dxfId="335" priority="312" operator="equal">
      <formula>0</formula>
    </cfRule>
  </conditionalFormatting>
  <conditionalFormatting sqref="AS89:AS93">
    <cfRule type="cellIs" dxfId="334" priority="288" operator="equal">
      <formula>0</formula>
    </cfRule>
  </conditionalFormatting>
  <conditionalFormatting sqref="AS96">
    <cfRule type="cellIs" dxfId="333" priority="311" operator="equal">
      <formula>0</formula>
    </cfRule>
  </conditionalFormatting>
  <conditionalFormatting sqref="AS100:AS105">
    <cfRule type="cellIs" dxfId="332" priority="286" operator="equal">
      <formula>0</formula>
    </cfRule>
  </conditionalFormatting>
  <conditionalFormatting sqref="AK9:AK18">
    <cfRule type="cellIs" dxfId="262" priority="256" operator="equal">
      <formula>0</formula>
    </cfRule>
  </conditionalFormatting>
  <conditionalFormatting sqref="AK23">
    <cfRule type="cellIs" dxfId="261" priority="254" operator="equal">
      <formula>0</formula>
    </cfRule>
  </conditionalFormatting>
  <conditionalFormatting sqref="AK29:AK36">
    <cfRule type="cellIs" dxfId="260" priority="252" operator="equal">
      <formula>0</formula>
    </cfRule>
  </conditionalFormatting>
  <conditionalFormatting sqref="AK38:AK39">
    <cfRule type="cellIs" dxfId="259" priority="250" operator="equal">
      <formula>0</formula>
    </cfRule>
  </conditionalFormatting>
  <conditionalFormatting sqref="AK41:AK42">
    <cfRule type="cellIs" dxfId="258" priority="253" operator="equal">
      <formula>0</formula>
    </cfRule>
  </conditionalFormatting>
  <conditionalFormatting sqref="AK45:AK47">
    <cfRule type="cellIs" dxfId="257" priority="255" operator="equal">
      <formula>0</formula>
    </cfRule>
  </conditionalFormatting>
  <conditionalFormatting sqref="AK49">
    <cfRule type="cellIs" dxfId="256" priority="251" operator="equal">
      <formula>0</formula>
    </cfRule>
  </conditionalFormatting>
  <conditionalFormatting sqref="AI9:AI18">
    <cfRule type="cellIs" dxfId="255" priority="249" operator="equal">
      <formula>0</formula>
    </cfRule>
  </conditionalFormatting>
  <conditionalFormatting sqref="AI23">
    <cfRule type="cellIs" dxfId="254" priority="247" operator="equal">
      <formula>0</formula>
    </cfRule>
  </conditionalFormatting>
  <conditionalFormatting sqref="AI29:AI36">
    <cfRule type="cellIs" dxfId="253" priority="245" operator="equal">
      <formula>0</formula>
    </cfRule>
  </conditionalFormatting>
  <conditionalFormatting sqref="AI38:AI39">
    <cfRule type="cellIs" dxfId="252" priority="243" operator="equal">
      <formula>0</formula>
    </cfRule>
  </conditionalFormatting>
  <conditionalFormatting sqref="AI41:AI42">
    <cfRule type="cellIs" dxfId="251" priority="246" operator="equal">
      <formula>0</formula>
    </cfRule>
  </conditionalFormatting>
  <conditionalFormatting sqref="AI45:AI47">
    <cfRule type="cellIs" dxfId="250" priority="248" operator="equal">
      <formula>0</formula>
    </cfRule>
  </conditionalFormatting>
  <conditionalFormatting sqref="AI49">
    <cfRule type="cellIs" dxfId="249" priority="244" operator="equal">
      <formula>0</formula>
    </cfRule>
  </conditionalFormatting>
  <conditionalFormatting sqref="AG9:AG18">
    <cfRule type="cellIs" dxfId="248" priority="242" operator="equal">
      <formula>0</formula>
    </cfRule>
  </conditionalFormatting>
  <conditionalFormatting sqref="AG23">
    <cfRule type="cellIs" dxfId="247" priority="240" operator="equal">
      <formula>0</formula>
    </cfRule>
  </conditionalFormatting>
  <conditionalFormatting sqref="AG29:AG36">
    <cfRule type="cellIs" dxfId="246" priority="238" operator="equal">
      <formula>0</formula>
    </cfRule>
  </conditionalFormatting>
  <conditionalFormatting sqref="AG38:AG39">
    <cfRule type="cellIs" dxfId="245" priority="236" operator="equal">
      <formula>0</formula>
    </cfRule>
  </conditionalFormatting>
  <conditionalFormatting sqref="AG41:AG42">
    <cfRule type="cellIs" dxfId="244" priority="239" operator="equal">
      <formula>0</formula>
    </cfRule>
  </conditionalFormatting>
  <conditionalFormatting sqref="AG45:AG47">
    <cfRule type="cellIs" dxfId="243" priority="241" operator="equal">
      <formula>0</formula>
    </cfRule>
  </conditionalFormatting>
  <conditionalFormatting sqref="AG49">
    <cfRule type="cellIs" dxfId="242" priority="237" operator="equal">
      <formula>0</formula>
    </cfRule>
  </conditionalFormatting>
  <conditionalFormatting sqref="AE9:AE18">
    <cfRule type="cellIs" dxfId="241" priority="235" operator="equal">
      <formula>0</formula>
    </cfRule>
  </conditionalFormatting>
  <conditionalFormatting sqref="AE23">
    <cfRule type="cellIs" dxfId="240" priority="233" operator="equal">
      <formula>0</formula>
    </cfRule>
  </conditionalFormatting>
  <conditionalFormatting sqref="AE29:AE36">
    <cfRule type="cellIs" dxfId="239" priority="231" operator="equal">
      <formula>0</formula>
    </cfRule>
  </conditionalFormatting>
  <conditionalFormatting sqref="AE38:AE39">
    <cfRule type="cellIs" dxfId="238" priority="229" operator="equal">
      <formula>0</formula>
    </cfRule>
  </conditionalFormatting>
  <conditionalFormatting sqref="AE41:AE42">
    <cfRule type="cellIs" dxfId="237" priority="232" operator="equal">
      <formula>0</formula>
    </cfRule>
  </conditionalFormatting>
  <conditionalFormatting sqref="AE45:AE47">
    <cfRule type="cellIs" dxfId="236" priority="234" operator="equal">
      <formula>0</formula>
    </cfRule>
  </conditionalFormatting>
  <conditionalFormatting sqref="AE49">
    <cfRule type="cellIs" dxfId="235" priority="230" operator="equal">
      <formula>0</formula>
    </cfRule>
  </conditionalFormatting>
  <conditionalFormatting sqref="AC9:AC18">
    <cfRule type="cellIs" dxfId="234" priority="228" operator="equal">
      <formula>0</formula>
    </cfRule>
  </conditionalFormatting>
  <conditionalFormatting sqref="AC23">
    <cfRule type="cellIs" dxfId="233" priority="226" operator="equal">
      <formula>0</formula>
    </cfRule>
  </conditionalFormatting>
  <conditionalFormatting sqref="AC29:AC36">
    <cfRule type="cellIs" dxfId="232" priority="224" operator="equal">
      <formula>0</formula>
    </cfRule>
  </conditionalFormatting>
  <conditionalFormatting sqref="AC38:AC39">
    <cfRule type="cellIs" dxfId="231" priority="222" operator="equal">
      <formula>0</formula>
    </cfRule>
  </conditionalFormatting>
  <conditionalFormatting sqref="AC41:AC42">
    <cfRule type="cellIs" dxfId="230" priority="225" operator="equal">
      <formula>0</formula>
    </cfRule>
  </conditionalFormatting>
  <conditionalFormatting sqref="AC45:AC47">
    <cfRule type="cellIs" dxfId="229" priority="227" operator="equal">
      <formula>0</formula>
    </cfRule>
  </conditionalFormatting>
  <conditionalFormatting sqref="AC49">
    <cfRule type="cellIs" dxfId="228" priority="223" operator="equal">
      <formula>0</formula>
    </cfRule>
  </conditionalFormatting>
  <conditionalFormatting sqref="AA9:AA18">
    <cfRule type="cellIs" dxfId="227" priority="221" operator="equal">
      <formula>0</formula>
    </cfRule>
  </conditionalFormatting>
  <conditionalFormatting sqref="AA23">
    <cfRule type="cellIs" dxfId="226" priority="219" operator="equal">
      <formula>0</formula>
    </cfRule>
  </conditionalFormatting>
  <conditionalFormatting sqref="AA29:AA36">
    <cfRule type="cellIs" dxfId="225" priority="217" operator="equal">
      <formula>0</formula>
    </cfRule>
  </conditionalFormatting>
  <conditionalFormatting sqref="AA38:AA39">
    <cfRule type="cellIs" dxfId="224" priority="215" operator="equal">
      <formula>0</formula>
    </cfRule>
  </conditionalFormatting>
  <conditionalFormatting sqref="AA41:AA42">
    <cfRule type="cellIs" dxfId="223" priority="218" operator="equal">
      <formula>0</formula>
    </cfRule>
  </conditionalFormatting>
  <conditionalFormatting sqref="AA45:AA47">
    <cfRule type="cellIs" dxfId="222" priority="220" operator="equal">
      <formula>0</formula>
    </cfRule>
  </conditionalFormatting>
  <conditionalFormatting sqref="AA49">
    <cfRule type="cellIs" dxfId="221" priority="216" operator="equal">
      <formula>0</formula>
    </cfRule>
  </conditionalFormatting>
  <conditionalFormatting sqref="Y9:Y18">
    <cfRule type="cellIs" dxfId="220" priority="214" operator="equal">
      <formula>0</formula>
    </cfRule>
  </conditionalFormatting>
  <conditionalFormatting sqref="Y23">
    <cfRule type="cellIs" dxfId="219" priority="212" operator="equal">
      <formula>0</formula>
    </cfRule>
  </conditionalFormatting>
  <conditionalFormatting sqref="Y29:Y36">
    <cfRule type="cellIs" dxfId="218" priority="210" operator="equal">
      <formula>0</formula>
    </cfRule>
  </conditionalFormatting>
  <conditionalFormatting sqref="Y38:Y39">
    <cfRule type="cellIs" dxfId="217" priority="208" operator="equal">
      <formula>0</formula>
    </cfRule>
  </conditionalFormatting>
  <conditionalFormatting sqref="Y41:Y42">
    <cfRule type="cellIs" dxfId="216" priority="211" operator="equal">
      <formula>0</formula>
    </cfRule>
  </conditionalFormatting>
  <conditionalFormatting sqref="Y45:Y47">
    <cfRule type="cellIs" dxfId="215" priority="213" operator="equal">
      <formula>0</formula>
    </cfRule>
  </conditionalFormatting>
  <conditionalFormatting sqref="Y49">
    <cfRule type="cellIs" dxfId="214" priority="209" operator="equal">
      <formula>0</formula>
    </cfRule>
  </conditionalFormatting>
  <conditionalFormatting sqref="W9:W18">
    <cfRule type="cellIs" dxfId="213" priority="207" operator="equal">
      <formula>0</formula>
    </cfRule>
  </conditionalFormatting>
  <conditionalFormatting sqref="W23">
    <cfRule type="cellIs" dxfId="212" priority="205" operator="equal">
      <formula>0</formula>
    </cfRule>
  </conditionalFormatting>
  <conditionalFormatting sqref="W29:W36">
    <cfRule type="cellIs" dxfId="211" priority="203" operator="equal">
      <formula>0</formula>
    </cfRule>
  </conditionalFormatting>
  <conditionalFormatting sqref="W38:W39">
    <cfRule type="cellIs" dxfId="210" priority="201" operator="equal">
      <formula>0</formula>
    </cfRule>
  </conditionalFormatting>
  <conditionalFormatting sqref="W41:W42">
    <cfRule type="cellIs" dxfId="209" priority="204" operator="equal">
      <formula>0</formula>
    </cfRule>
  </conditionalFormatting>
  <conditionalFormatting sqref="W45:W47">
    <cfRule type="cellIs" dxfId="208" priority="206" operator="equal">
      <formula>0</formula>
    </cfRule>
  </conditionalFormatting>
  <conditionalFormatting sqref="W49">
    <cfRule type="cellIs" dxfId="207" priority="202" operator="equal">
      <formula>0</formula>
    </cfRule>
  </conditionalFormatting>
  <conditionalFormatting sqref="U9:U18">
    <cfRule type="cellIs" dxfId="206" priority="200" operator="equal">
      <formula>0</formula>
    </cfRule>
  </conditionalFormatting>
  <conditionalFormatting sqref="U23">
    <cfRule type="cellIs" dxfId="205" priority="198" operator="equal">
      <formula>0</formula>
    </cfRule>
  </conditionalFormatting>
  <conditionalFormatting sqref="U29:U36">
    <cfRule type="cellIs" dxfId="204" priority="196" operator="equal">
      <formula>0</formula>
    </cfRule>
  </conditionalFormatting>
  <conditionalFormatting sqref="U38:U39">
    <cfRule type="cellIs" dxfId="203" priority="194" operator="equal">
      <formula>0</formula>
    </cfRule>
  </conditionalFormatting>
  <conditionalFormatting sqref="U41:U42">
    <cfRule type="cellIs" dxfId="202" priority="197" operator="equal">
      <formula>0</formula>
    </cfRule>
  </conditionalFormatting>
  <conditionalFormatting sqref="U45:U47">
    <cfRule type="cellIs" dxfId="201" priority="199" operator="equal">
      <formula>0</formula>
    </cfRule>
  </conditionalFormatting>
  <conditionalFormatting sqref="U49">
    <cfRule type="cellIs" dxfId="200" priority="195" operator="equal">
      <formula>0</formula>
    </cfRule>
  </conditionalFormatting>
  <conditionalFormatting sqref="S9:S18">
    <cfRule type="cellIs" dxfId="199" priority="193" operator="equal">
      <formula>0</formula>
    </cfRule>
  </conditionalFormatting>
  <conditionalFormatting sqref="S23">
    <cfRule type="cellIs" dxfId="198" priority="191" operator="equal">
      <formula>0</formula>
    </cfRule>
  </conditionalFormatting>
  <conditionalFormatting sqref="S29:S36">
    <cfRule type="cellIs" dxfId="197" priority="189" operator="equal">
      <formula>0</formula>
    </cfRule>
  </conditionalFormatting>
  <conditionalFormatting sqref="S38:S39">
    <cfRule type="cellIs" dxfId="196" priority="187" operator="equal">
      <formula>0</formula>
    </cfRule>
  </conditionalFormatting>
  <conditionalFormatting sqref="S41:S42">
    <cfRule type="cellIs" dxfId="195" priority="190" operator="equal">
      <formula>0</formula>
    </cfRule>
  </conditionalFormatting>
  <conditionalFormatting sqref="S45:S47">
    <cfRule type="cellIs" dxfId="194" priority="192" operator="equal">
      <formula>0</formula>
    </cfRule>
  </conditionalFormatting>
  <conditionalFormatting sqref="S49">
    <cfRule type="cellIs" dxfId="193" priority="188" operator="equal">
      <formula>0</formula>
    </cfRule>
  </conditionalFormatting>
  <conditionalFormatting sqref="Q9:Q18">
    <cfRule type="cellIs" dxfId="192" priority="186" operator="equal">
      <formula>0</formula>
    </cfRule>
  </conditionalFormatting>
  <conditionalFormatting sqref="Q23">
    <cfRule type="cellIs" dxfId="191" priority="184" operator="equal">
      <formula>0</formula>
    </cfRule>
  </conditionalFormatting>
  <conditionalFormatting sqref="Q29:Q36">
    <cfRule type="cellIs" dxfId="190" priority="182" operator="equal">
      <formula>0</formula>
    </cfRule>
  </conditionalFormatting>
  <conditionalFormatting sqref="Q38:Q39">
    <cfRule type="cellIs" dxfId="189" priority="180" operator="equal">
      <formula>0</formula>
    </cfRule>
  </conditionalFormatting>
  <conditionalFormatting sqref="Q41:Q42">
    <cfRule type="cellIs" dxfId="188" priority="183" operator="equal">
      <formula>0</formula>
    </cfRule>
  </conditionalFormatting>
  <conditionalFormatting sqref="Q45:Q47">
    <cfRule type="cellIs" dxfId="187" priority="185" operator="equal">
      <formula>0</formula>
    </cfRule>
  </conditionalFormatting>
  <conditionalFormatting sqref="Q49">
    <cfRule type="cellIs" dxfId="186" priority="181" operator="equal">
      <formula>0</formula>
    </cfRule>
  </conditionalFormatting>
  <conditionalFormatting sqref="O9:O18">
    <cfRule type="cellIs" dxfId="185" priority="179" operator="equal">
      <formula>0</formula>
    </cfRule>
  </conditionalFormatting>
  <conditionalFormatting sqref="O23">
    <cfRule type="cellIs" dxfId="184" priority="177" operator="equal">
      <formula>0</formula>
    </cfRule>
  </conditionalFormatting>
  <conditionalFormatting sqref="O29:O36">
    <cfRule type="cellIs" dxfId="183" priority="175" operator="equal">
      <formula>0</formula>
    </cfRule>
  </conditionalFormatting>
  <conditionalFormatting sqref="O38:O39">
    <cfRule type="cellIs" dxfId="182" priority="173" operator="equal">
      <formula>0</formula>
    </cfRule>
  </conditionalFormatting>
  <conditionalFormatting sqref="O41:O42">
    <cfRule type="cellIs" dxfId="181" priority="176" operator="equal">
      <formula>0</formula>
    </cfRule>
  </conditionalFormatting>
  <conditionalFormatting sqref="O45:O47">
    <cfRule type="cellIs" dxfId="180" priority="178" operator="equal">
      <formula>0</formula>
    </cfRule>
  </conditionalFormatting>
  <conditionalFormatting sqref="O49">
    <cfRule type="cellIs" dxfId="179" priority="174" operator="equal">
      <formula>0</formula>
    </cfRule>
  </conditionalFormatting>
  <conditionalFormatting sqref="M9:M18">
    <cfRule type="cellIs" dxfId="178" priority="172" operator="equal">
      <formula>0</formula>
    </cfRule>
  </conditionalFormatting>
  <conditionalFormatting sqref="M23">
    <cfRule type="cellIs" dxfId="177" priority="170" operator="equal">
      <formula>0</formula>
    </cfRule>
  </conditionalFormatting>
  <conditionalFormatting sqref="M29:M36">
    <cfRule type="cellIs" dxfId="176" priority="168" operator="equal">
      <formula>0</formula>
    </cfRule>
  </conditionalFormatting>
  <conditionalFormatting sqref="M38:M39">
    <cfRule type="cellIs" dxfId="175" priority="166" operator="equal">
      <formula>0</formula>
    </cfRule>
  </conditionalFormatting>
  <conditionalFormatting sqref="M41:M42">
    <cfRule type="cellIs" dxfId="174" priority="169" operator="equal">
      <formula>0</formula>
    </cfRule>
  </conditionalFormatting>
  <conditionalFormatting sqref="M45:M47">
    <cfRule type="cellIs" dxfId="173" priority="171" operator="equal">
      <formula>0</formula>
    </cfRule>
  </conditionalFormatting>
  <conditionalFormatting sqref="M49">
    <cfRule type="cellIs" dxfId="172" priority="167" operator="equal">
      <formula>0</formula>
    </cfRule>
  </conditionalFormatting>
  <conditionalFormatting sqref="K9:K18">
    <cfRule type="cellIs" dxfId="171" priority="165" operator="equal">
      <formula>0</formula>
    </cfRule>
  </conditionalFormatting>
  <conditionalFormatting sqref="K23">
    <cfRule type="cellIs" dxfId="170" priority="163" operator="equal">
      <formula>0</formula>
    </cfRule>
  </conditionalFormatting>
  <conditionalFormatting sqref="K29:K36">
    <cfRule type="cellIs" dxfId="169" priority="161" operator="equal">
      <formula>0</formula>
    </cfRule>
  </conditionalFormatting>
  <conditionalFormatting sqref="K38:K39">
    <cfRule type="cellIs" dxfId="168" priority="159" operator="equal">
      <formula>0</formula>
    </cfRule>
  </conditionalFormatting>
  <conditionalFormatting sqref="K41:K42">
    <cfRule type="cellIs" dxfId="167" priority="162" operator="equal">
      <formula>0</formula>
    </cfRule>
  </conditionalFormatting>
  <conditionalFormatting sqref="K45:K47">
    <cfRule type="cellIs" dxfId="166" priority="164" operator="equal">
      <formula>0</formula>
    </cfRule>
  </conditionalFormatting>
  <conditionalFormatting sqref="K49">
    <cfRule type="cellIs" dxfId="165" priority="160" operator="equal">
      <formula>0</formula>
    </cfRule>
  </conditionalFormatting>
  <conditionalFormatting sqref="I9:I18">
    <cfRule type="cellIs" dxfId="164" priority="158" operator="equal">
      <formula>0</formula>
    </cfRule>
  </conditionalFormatting>
  <conditionalFormatting sqref="I23">
    <cfRule type="cellIs" dxfId="163" priority="156" operator="equal">
      <formula>0</formula>
    </cfRule>
  </conditionalFormatting>
  <conditionalFormatting sqref="I29:I36">
    <cfRule type="cellIs" dxfId="162" priority="154" operator="equal">
      <formula>0</formula>
    </cfRule>
  </conditionalFormatting>
  <conditionalFormatting sqref="I38:I39">
    <cfRule type="cellIs" dxfId="161" priority="152" operator="equal">
      <formula>0</formula>
    </cfRule>
  </conditionalFormatting>
  <conditionalFormatting sqref="I41:I42">
    <cfRule type="cellIs" dxfId="160" priority="155" operator="equal">
      <formula>0</formula>
    </cfRule>
  </conditionalFormatting>
  <conditionalFormatting sqref="I45:I47">
    <cfRule type="cellIs" dxfId="159" priority="157" operator="equal">
      <formula>0</formula>
    </cfRule>
  </conditionalFormatting>
  <conditionalFormatting sqref="I49">
    <cfRule type="cellIs" dxfId="158" priority="153" operator="equal">
      <formula>0</formula>
    </cfRule>
  </conditionalFormatting>
  <conditionalFormatting sqref="G9:G18">
    <cfRule type="cellIs" dxfId="150" priority="151" operator="equal">
      <formula>0</formula>
    </cfRule>
  </conditionalFormatting>
  <conditionalFormatting sqref="G23">
    <cfRule type="cellIs" dxfId="149" priority="149" operator="equal">
      <formula>0</formula>
    </cfRule>
  </conditionalFormatting>
  <conditionalFormatting sqref="G29:G36">
    <cfRule type="cellIs" dxfId="148" priority="147" operator="equal">
      <formula>0</formula>
    </cfRule>
  </conditionalFormatting>
  <conditionalFormatting sqref="G38:G39">
    <cfRule type="cellIs" dxfId="147" priority="145" operator="equal">
      <formula>0</formula>
    </cfRule>
  </conditionalFormatting>
  <conditionalFormatting sqref="G41:G42">
    <cfRule type="cellIs" dxfId="146" priority="148" operator="equal">
      <formula>0</formula>
    </cfRule>
  </conditionalFormatting>
  <conditionalFormatting sqref="G45:G47">
    <cfRule type="cellIs" dxfId="145" priority="150" operator="equal">
      <formula>0</formula>
    </cfRule>
  </conditionalFormatting>
  <conditionalFormatting sqref="G49 I49 K49 M49 O49 Q49 S49 U49 W49 Y49 AA49 AC49 AE49 AG49 AI49 AK49">
    <cfRule type="cellIs" dxfId="144" priority="146" operator="equal">
      <formula>0</formula>
    </cfRule>
  </conditionalFormatting>
  <conditionalFormatting sqref="E9:E18">
    <cfRule type="cellIs" dxfId="143" priority="144" operator="equal">
      <formula>0</formula>
    </cfRule>
  </conditionalFormatting>
  <conditionalFormatting sqref="E23">
    <cfRule type="cellIs" dxfId="142" priority="142" operator="equal">
      <formula>0</formula>
    </cfRule>
  </conditionalFormatting>
  <conditionalFormatting sqref="E29:E36">
    <cfRule type="cellIs" dxfId="141" priority="140" operator="equal">
      <formula>0</formula>
    </cfRule>
  </conditionalFormatting>
  <conditionalFormatting sqref="E38:E39">
    <cfRule type="cellIs" dxfId="140" priority="138" operator="equal">
      <formula>0</formula>
    </cfRule>
  </conditionalFormatting>
  <conditionalFormatting sqref="E41:E42 G41 I41 K41 M41 O41 Q41 S41 U41 W41 Y41 AA41 AC41 AE41 AG41 AI41 AK41">
    <cfRule type="cellIs" dxfId="139" priority="141" operator="equal">
      <formula>0</formula>
    </cfRule>
  </conditionalFormatting>
  <conditionalFormatting sqref="E45:E47">
    <cfRule type="cellIs" dxfId="138" priority="143" operator="equal">
      <formula>0</formula>
    </cfRule>
  </conditionalFormatting>
  <conditionalFormatting sqref="E49">
    <cfRule type="cellIs" dxfId="137" priority="139" operator="equal">
      <formula>0</formula>
    </cfRule>
  </conditionalFormatting>
  <conditionalFormatting sqref="AK59:AK60 AK80:AK81">
    <cfRule type="cellIs" dxfId="136" priority="137" operator="equal">
      <formula>0</formula>
    </cfRule>
  </conditionalFormatting>
  <conditionalFormatting sqref="AK63:AK71">
    <cfRule type="cellIs" dxfId="135" priority="132" operator="equal">
      <formula>0</formula>
    </cfRule>
  </conditionalFormatting>
  <conditionalFormatting sqref="AK73">
    <cfRule type="cellIs" dxfId="134" priority="131" operator="equal">
      <formula>0</formula>
    </cfRule>
  </conditionalFormatting>
  <conditionalFormatting sqref="AK75">
    <cfRule type="cellIs" dxfId="133" priority="134" operator="equal">
      <formula>0</formula>
    </cfRule>
  </conditionalFormatting>
  <conditionalFormatting sqref="AK83:AK86">
    <cfRule type="cellIs" dxfId="132" priority="136" operator="equal">
      <formula>0</formula>
    </cfRule>
  </conditionalFormatting>
  <conditionalFormatting sqref="AK89:AK93">
    <cfRule type="cellIs" dxfId="131" priority="133" operator="equal">
      <formula>0</formula>
    </cfRule>
  </conditionalFormatting>
  <conditionalFormatting sqref="AK96">
    <cfRule type="cellIs" dxfId="130" priority="135" operator="equal">
      <formula>0</formula>
    </cfRule>
  </conditionalFormatting>
  <conditionalFormatting sqref="AK100:AK104">
    <cfRule type="cellIs" dxfId="129" priority="130" operator="equal">
      <formula>0</formula>
    </cfRule>
  </conditionalFormatting>
  <conditionalFormatting sqref="AI59:AI60 AI80:AI81">
    <cfRule type="cellIs" dxfId="128" priority="129" operator="equal">
      <formula>0</formula>
    </cfRule>
  </conditionalFormatting>
  <conditionalFormatting sqref="AI63:AI71">
    <cfRule type="cellIs" dxfId="127" priority="124" operator="equal">
      <formula>0</formula>
    </cfRule>
  </conditionalFormatting>
  <conditionalFormatting sqref="AI73">
    <cfRule type="cellIs" dxfId="126" priority="123" operator="equal">
      <formula>0</formula>
    </cfRule>
  </conditionalFormatting>
  <conditionalFormatting sqref="AI75">
    <cfRule type="cellIs" dxfId="125" priority="126" operator="equal">
      <formula>0</formula>
    </cfRule>
  </conditionalFormatting>
  <conditionalFormatting sqref="AI83:AI86">
    <cfRule type="cellIs" dxfId="124" priority="128" operator="equal">
      <formula>0</formula>
    </cfRule>
  </conditionalFormatting>
  <conditionalFormatting sqref="AI89:AI93">
    <cfRule type="cellIs" dxfId="123" priority="125" operator="equal">
      <formula>0</formula>
    </cfRule>
  </conditionalFormatting>
  <conditionalFormatting sqref="AI96">
    <cfRule type="cellIs" dxfId="122" priority="127" operator="equal">
      <formula>0</formula>
    </cfRule>
  </conditionalFormatting>
  <conditionalFormatting sqref="AI100:AI104">
    <cfRule type="cellIs" dxfId="121" priority="122" operator="equal">
      <formula>0</formula>
    </cfRule>
  </conditionalFormatting>
  <conditionalFormatting sqref="AG59:AG60 AG80:AG81">
    <cfRule type="cellIs" dxfId="120" priority="121" operator="equal">
      <formula>0</formula>
    </cfRule>
  </conditionalFormatting>
  <conditionalFormatting sqref="AG63:AG71">
    <cfRule type="cellIs" dxfId="119" priority="116" operator="equal">
      <formula>0</formula>
    </cfRule>
  </conditionalFormatting>
  <conditionalFormatting sqref="AG73">
    <cfRule type="cellIs" dxfId="118" priority="115" operator="equal">
      <formula>0</formula>
    </cfRule>
  </conditionalFormatting>
  <conditionalFormatting sqref="AG75">
    <cfRule type="cellIs" dxfId="117" priority="118" operator="equal">
      <formula>0</formula>
    </cfRule>
  </conditionalFormatting>
  <conditionalFormatting sqref="AG83:AG86">
    <cfRule type="cellIs" dxfId="116" priority="120" operator="equal">
      <formula>0</formula>
    </cfRule>
  </conditionalFormatting>
  <conditionalFormatting sqref="AG89:AG93">
    <cfRule type="cellIs" dxfId="115" priority="117" operator="equal">
      <formula>0</formula>
    </cfRule>
  </conditionalFormatting>
  <conditionalFormatting sqref="AG96">
    <cfRule type="cellIs" dxfId="114" priority="119" operator="equal">
      <formula>0</formula>
    </cfRule>
  </conditionalFormatting>
  <conditionalFormatting sqref="AG100:AG104">
    <cfRule type="cellIs" dxfId="113" priority="114" operator="equal">
      <formula>0</formula>
    </cfRule>
  </conditionalFormatting>
  <conditionalFormatting sqref="AE59:AE60 AE80:AE81">
    <cfRule type="cellIs" dxfId="112" priority="113" operator="equal">
      <formula>0</formula>
    </cfRule>
  </conditionalFormatting>
  <conditionalFormatting sqref="AE63:AE71">
    <cfRule type="cellIs" dxfId="111" priority="108" operator="equal">
      <formula>0</formula>
    </cfRule>
  </conditionalFormatting>
  <conditionalFormatting sqref="AE73">
    <cfRule type="cellIs" dxfId="110" priority="107" operator="equal">
      <formula>0</formula>
    </cfRule>
  </conditionalFormatting>
  <conditionalFormatting sqref="AE75">
    <cfRule type="cellIs" dxfId="109" priority="110" operator="equal">
      <formula>0</formula>
    </cfRule>
  </conditionalFormatting>
  <conditionalFormatting sqref="AE83:AE86">
    <cfRule type="cellIs" dxfId="108" priority="112" operator="equal">
      <formula>0</formula>
    </cfRule>
  </conditionalFormatting>
  <conditionalFormatting sqref="AE89:AE93">
    <cfRule type="cellIs" dxfId="107" priority="109" operator="equal">
      <formula>0</formula>
    </cfRule>
  </conditionalFormatting>
  <conditionalFormatting sqref="AE96">
    <cfRule type="cellIs" dxfId="106" priority="111" operator="equal">
      <formula>0</formula>
    </cfRule>
  </conditionalFormatting>
  <conditionalFormatting sqref="AE100:AE104">
    <cfRule type="cellIs" dxfId="105" priority="106" operator="equal">
      <formula>0</formula>
    </cfRule>
  </conditionalFormatting>
  <conditionalFormatting sqref="AC59:AC60 AC80:AC81">
    <cfRule type="cellIs" dxfId="104" priority="105" operator="equal">
      <formula>0</formula>
    </cfRule>
  </conditionalFormatting>
  <conditionalFormatting sqref="AC63:AC71">
    <cfRule type="cellIs" dxfId="103" priority="100" operator="equal">
      <formula>0</formula>
    </cfRule>
  </conditionalFormatting>
  <conditionalFormatting sqref="AC73">
    <cfRule type="cellIs" dxfId="102" priority="99" operator="equal">
      <formula>0</formula>
    </cfRule>
  </conditionalFormatting>
  <conditionalFormatting sqref="AC75">
    <cfRule type="cellIs" dxfId="101" priority="102" operator="equal">
      <formula>0</formula>
    </cfRule>
  </conditionalFormatting>
  <conditionalFormatting sqref="AC83:AC86">
    <cfRule type="cellIs" dxfId="100" priority="104" operator="equal">
      <formula>0</formula>
    </cfRule>
  </conditionalFormatting>
  <conditionalFormatting sqref="AC89:AC93">
    <cfRule type="cellIs" dxfId="99" priority="101" operator="equal">
      <formula>0</formula>
    </cfRule>
  </conditionalFormatting>
  <conditionalFormatting sqref="AC96">
    <cfRule type="cellIs" dxfId="98" priority="103" operator="equal">
      <formula>0</formula>
    </cfRule>
  </conditionalFormatting>
  <conditionalFormatting sqref="AC100:AC104">
    <cfRule type="cellIs" dxfId="97" priority="98" operator="equal">
      <formula>0</formula>
    </cfRule>
  </conditionalFormatting>
  <conditionalFormatting sqref="AA59:AA60 AA80:AA81">
    <cfRule type="cellIs" dxfId="96" priority="97" operator="equal">
      <formula>0</formula>
    </cfRule>
  </conditionalFormatting>
  <conditionalFormatting sqref="AA63:AA71">
    <cfRule type="cellIs" dxfId="95" priority="92" operator="equal">
      <formula>0</formula>
    </cfRule>
  </conditionalFormatting>
  <conditionalFormatting sqref="AA73">
    <cfRule type="cellIs" dxfId="94" priority="91" operator="equal">
      <formula>0</formula>
    </cfRule>
  </conditionalFormatting>
  <conditionalFormatting sqref="AA75">
    <cfRule type="cellIs" dxfId="93" priority="94" operator="equal">
      <formula>0</formula>
    </cfRule>
  </conditionalFormatting>
  <conditionalFormatting sqref="AA83:AA86">
    <cfRule type="cellIs" dxfId="92" priority="96" operator="equal">
      <formula>0</formula>
    </cfRule>
  </conditionalFormatting>
  <conditionalFormatting sqref="AA89:AA93">
    <cfRule type="cellIs" dxfId="91" priority="93" operator="equal">
      <formula>0</formula>
    </cfRule>
  </conditionalFormatting>
  <conditionalFormatting sqref="AA96">
    <cfRule type="cellIs" dxfId="90" priority="95" operator="equal">
      <formula>0</formula>
    </cfRule>
  </conditionalFormatting>
  <conditionalFormatting sqref="AA100:AA104">
    <cfRule type="cellIs" dxfId="89" priority="90" operator="equal">
      <formula>0</formula>
    </cfRule>
  </conditionalFormatting>
  <conditionalFormatting sqref="Y59:Y60 Y80:Y81">
    <cfRule type="cellIs" dxfId="88" priority="89" operator="equal">
      <formula>0</formula>
    </cfRule>
  </conditionalFormatting>
  <conditionalFormatting sqref="Y63:Y71">
    <cfRule type="cellIs" dxfId="87" priority="84" operator="equal">
      <formula>0</formula>
    </cfRule>
  </conditionalFormatting>
  <conditionalFormatting sqref="Y73">
    <cfRule type="cellIs" dxfId="86" priority="83" operator="equal">
      <formula>0</formula>
    </cfRule>
  </conditionalFormatting>
  <conditionalFormatting sqref="Y75">
    <cfRule type="cellIs" dxfId="85" priority="86" operator="equal">
      <formula>0</formula>
    </cfRule>
  </conditionalFormatting>
  <conditionalFormatting sqref="Y83:Y86">
    <cfRule type="cellIs" dxfId="84" priority="88" operator="equal">
      <formula>0</formula>
    </cfRule>
  </conditionalFormatting>
  <conditionalFormatting sqref="Y89:Y93">
    <cfRule type="cellIs" dxfId="83" priority="85" operator="equal">
      <formula>0</formula>
    </cfRule>
  </conditionalFormatting>
  <conditionalFormatting sqref="Y96">
    <cfRule type="cellIs" dxfId="82" priority="87" operator="equal">
      <formula>0</formula>
    </cfRule>
  </conditionalFormatting>
  <conditionalFormatting sqref="Y100:Y104">
    <cfRule type="cellIs" dxfId="81" priority="82" operator="equal">
      <formula>0</formula>
    </cfRule>
  </conditionalFormatting>
  <conditionalFormatting sqref="W59:W60 W80:W81">
    <cfRule type="cellIs" dxfId="80" priority="81" operator="equal">
      <formula>0</formula>
    </cfRule>
  </conditionalFormatting>
  <conditionalFormatting sqref="W63:W71">
    <cfRule type="cellIs" dxfId="79" priority="76" operator="equal">
      <formula>0</formula>
    </cfRule>
  </conditionalFormatting>
  <conditionalFormatting sqref="W73">
    <cfRule type="cellIs" dxfId="78" priority="75" operator="equal">
      <formula>0</formula>
    </cfRule>
  </conditionalFormatting>
  <conditionalFormatting sqref="W75">
    <cfRule type="cellIs" dxfId="77" priority="78" operator="equal">
      <formula>0</formula>
    </cfRule>
  </conditionalFormatting>
  <conditionalFormatting sqref="W83:W86">
    <cfRule type="cellIs" dxfId="76" priority="80" operator="equal">
      <formula>0</formula>
    </cfRule>
  </conditionalFormatting>
  <conditionalFormatting sqref="W89:W93">
    <cfRule type="cellIs" dxfId="75" priority="77" operator="equal">
      <formula>0</formula>
    </cfRule>
  </conditionalFormatting>
  <conditionalFormatting sqref="W96">
    <cfRule type="cellIs" dxfId="74" priority="79" operator="equal">
      <formula>0</formula>
    </cfRule>
  </conditionalFormatting>
  <conditionalFormatting sqref="W100:W104">
    <cfRule type="cellIs" dxfId="73" priority="74" operator="equal">
      <formula>0</formula>
    </cfRule>
  </conditionalFormatting>
  <conditionalFormatting sqref="U59:U60 U80:U81">
    <cfRule type="cellIs" dxfId="72" priority="73" operator="equal">
      <formula>0</formula>
    </cfRule>
  </conditionalFormatting>
  <conditionalFormatting sqref="U63:U71">
    <cfRule type="cellIs" dxfId="71" priority="68" operator="equal">
      <formula>0</formula>
    </cfRule>
  </conditionalFormatting>
  <conditionalFormatting sqref="U73">
    <cfRule type="cellIs" dxfId="70" priority="67" operator="equal">
      <formula>0</formula>
    </cfRule>
  </conditionalFormatting>
  <conditionalFormatting sqref="U75">
    <cfRule type="cellIs" dxfId="69" priority="70" operator="equal">
      <formula>0</formula>
    </cfRule>
  </conditionalFormatting>
  <conditionalFormatting sqref="U83:U86">
    <cfRule type="cellIs" dxfId="68" priority="72" operator="equal">
      <formula>0</formula>
    </cfRule>
  </conditionalFormatting>
  <conditionalFormatting sqref="U89:U93">
    <cfRule type="cellIs" dxfId="67" priority="69" operator="equal">
      <formula>0</formula>
    </cfRule>
  </conditionalFormatting>
  <conditionalFormatting sqref="U96">
    <cfRule type="cellIs" dxfId="66" priority="71" operator="equal">
      <formula>0</formula>
    </cfRule>
  </conditionalFormatting>
  <conditionalFormatting sqref="U100:U104">
    <cfRule type="cellIs" dxfId="65" priority="66" operator="equal">
      <formula>0</formula>
    </cfRule>
  </conditionalFormatting>
  <conditionalFormatting sqref="S59:S60 S80:S81">
    <cfRule type="cellIs" dxfId="64" priority="65" operator="equal">
      <formula>0</formula>
    </cfRule>
  </conditionalFormatting>
  <conditionalFormatting sqref="S63:S71">
    <cfRule type="cellIs" dxfId="63" priority="60" operator="equal">
      <formula>0</formula>
    </cfRule>
  </conditionalFormatting>
  <conditionalFormatting sqref="S73">
    <cfRule type="cellIs" dxfId="62" priority="59" operator="equal">
      <formula>0</formula>
    </cfRule>
  </conditionalFormatting>
  <conditionalFormatting sqref="S75">
    <cfRule type="cellIs" dxfId="61" priority="62" operator="equal">
      <formula>0</formula>
    </cfRule>
  </conditionalFormatting>
  <conditionalFormatting sqref="S83:S86">
    <cfRule type="cellIs" dxfId="60" priority="64" operator="equal">
      <formula>0</formula>
    </cfRule>
  </conditionalFormatting>
  <conditionalFormatting sqref="S89:S93">
    <cfRule type="cellIs" dxfId="59" priority="61" operator="equal">
      <formula>0</formula>
    </cfRule>
  </conditionalFormatting>
  <conditionalFormatting sqref="S96">
    <cfRule type="cellIs" dxfId="58" priority="63" operator="equal">
      <formula>0</formula>
    </cfRule>
  </conditionalFormatting>
  <conditionalFormatting sqref="S100:S104">
    <cfRule type="cellIs" dxfId="57" priority="58" operator="equal">
      <formula>0</formula>
    </cfRule>
  </conditionalFormatting>
  <conditionalFormatting sqref="Q59:Q60 Q80:Q81">
    <cfRule type="cellIs" dxfId="56" priority="57" operator="equal">
      <formula>0</formula>
    </cfRule>
  </conditionalFormatting>
  <conditionalFormatting sqref="Q63:Q71">
    <cfRule type="cellIs" dxfId="55" priority="52" operator="equal">
      <formula>0</formula>
    </cfRule>
  </conditionalFormatting>
  <conditionalFormatting sqref="Q73">
    <cfRule type="cellIs" dxfId="54" priority="51" operator="equal">
      <formula>0</formula>
    </cfRule>
  </conditionalFormatting>
  <conditionalFormatting sqref="Q75">
    <cfRule type="cellIs" dxfId="53" priority="54" operator="equal">
      <formula>0</formula>
    </cfRule>
  </conditionalFormatting>
  <conditionalFormatting sqref="Q83:Q86">
    <cfRule type="cellIs" dxfId="52" priority="56" operator="equal">
      <formula>0</formula>
    </cfRule>
  </conditionalFormatting>
  <conditionalFormatting sqref="Q89:Q93 S91:S93 U91:U93 W91:W93 Y91:Y93 AA91:AA93 AC91:AC93 AE91:AE93 AG91:AG93 AI91:AI93 AK91:AK93">
    <cfRule type="cellIs" dxfId="51" priority="53" operator="equal">
      <formula>0</formula>
    </cfRule>
  </conditionalFormatting>
  <conditionalFormatting sqref="Q96">
    <cfRule type="cellIs" dxfId="50" priority="55" operator="equal">
      <formula>0</formula>
    </cfRule>
  </conditionalFormatting>
  <conditionalFormatting sqref="Q100:Q105 S101 U101 W101 Y101 AA101 AC101 AE101 AG101 AI101 AK101">
    <cfRule type="cellIs" dxfId="49" priority="50" operator="equal">
      <formula>0</formula>
    </cfRule>
  </conditionalFormatting>
  <conditionalFormatting sqref="O59:O60 O80:O81">
    <cfRule type="cellIs" dxfId="48" priority="49" operator="equal">
      <formula>0</formula>
    </cfRule>
  </conditionalFormatting>
  <conditionalFormatting sqref="O63:O71">
    <cfRule type="cellIs" dxfId="47" priority="44" operator="equal">
      <formula>0</formula>
    </cfRule>
  </conditionalFormatting>
  <conditionalFormatting sqref="O73">
    <cfRule type="cellIs" dxfId="46" priority="43" operator="equal">
      <formula>0</formula>
    </cfRule>
  </conditionalFormatting>
  <conditionalFormatting sqref="O75">
    <cfRule type="cellIs" dxfId="45" priority="46" operator="equal">
      <formula>0</formula>
    </cfRule>
  </conditionalFormatting>
  <conditionalFormatting sqref="O83:O86">
    <cfRule type="cellIs" dxfId="44" priority="48" operator="equal">
      <formula>0</formula>
    </cfRule>
  </conditionalFormatting>
  <conditionalFormatting sqref="O89:O93">
    <cfRule type="cellIs" dxfId="43" priority="45" operator="equal">
      <formula>0</formula>
    </cfRule>
  </conditionalFormatting>
  <conditionalFormatting sqref="O96">
    <cfRule type="cellIs" dxfId="42" priority="47" operator="equal">
      <formula>0</formula>
    </cfRule>
  </conditionalFormatting>
  <conditionalFormatting sqref="O100:O105">
    <cfRule type="cellIs" dxfId="41" priority="42" operator="equal">
      <formula>0</formula>
    </cfRule>
  </conditionalFormatting>
  <conditionalFormatting sqref="M59:M60 M80:M81">
    <cfRule type="cellIs" dxfId="40" priority="41" operator="equal">
      <formula>0</formula>
    </cfRule>
  </conditionalFormatting>
  <conditionalFormatting sqref="M63:M71">
    <cfRule type="cellIs" dxfId="39" priority="36" operator="equal">
      <formula>0</formula>
    </cfRule>
  </conditionalFormatting>
  <conditionalFormatting sqref="M73">
    <cfRule type="cellIs" dxfId="38" priority="35" operator="equal">
      <formula>0</formula>
    </cfRule>
  </conditionalFormatting>
  <conditionalFormatting sqref="M75">
    <cfRule type="cellIs" dxfId="37" priority="38" operator="equal">
      <formula>0</formula>
    </cfRule>
  </conditionalFormatting>
  <conditionalFormatting sqref="M83:M86">
    <cfRule type="cellIs" dxfId="36" priority="40" operator="equal">
      <formula>0</formula>
    </cfRule>
  </conditionalFormatting>
  <conditionalFormatting sqref="M89:M93">
    <cfRule type="cellIs" dxfId="35" priority="37" operator="equal">
      <formula>0</formula>
    </cfRule>
  </conditionalFormatting>
  <conditionalFormatting sqref="M96">
    <cfRule type="cellIs" dxfId="34" priority="39" operator="equal">
      <formula>0</formula>
    </cfRule>
  </conditionalFormatting>
  <conditionalFormatting sqref="M100:M105">
    <cfRule type="cellIs" dxfId="33" priority="34" operator="equal">
      <formula>0</formula>
    </cfRule>
  </conditionalFormatting>
  <conditionalFormatting sqref="K59:K60 K80:K81">
    <cfRule type="cellIs" dxfId="32" priority="33" operator="equal">
      <formula>0</formula>
    </cfRule>
  </conditionalFormatting>
  <conditionalFormatting sqref="K63:K71">
    <cfRule type="cellIs" dxfId="31" priority="28" operator="equal">
      <formula>0</formula>
    </cfRule>
  </conditionalFormatting>
  <conditionalFormatting sqref="K73">
    <cfRule type="cellIs" dxfId="30" priority="27" operator="equal">
      <formula>0</formula>
    </cfRule>
  </conditionalFormatting>
  <conditionalFormatting sqref="K75">
    <cfRule type="cellIs" dxfId="29" priority="30" operator="equal">
      <formula>0</formula>
    </cfRule>
  </conditionalFormatting>
  <conditionalFormatting sqref="K83:K86">
    <cfRule type="cellIs" dxfId="28" priority="32" operator="equal">
      <formula>0</formula>
    </cfRule>
  </conditionalFormatting>
  <conditionalFormatting sqref="K89:K93">
    <cfRule type="cellIs" dxfId="27" priority="29" operator="equal">
      <formula>0</formula>
    </cfRule>
  </conditionalFormatting>
  <conditionalFormatting sqref="K96">
    <cfRule type="cellIs" dxfId="26" priority="31" operator="equal">
      <formula>0</formula>
    </cfRule>
  </conditionalFormatting>
  <conditionalFormatting sqref="K100:K105">
    <cfRule type="cellIs" dxfId="25" priority="26" operator="equal">
      <formula>0</formula>
    </cfRule>
  </conditionalFormatting>
  <conditionalFormatting sqref="I59:I60 I80:I81">
    <cfRule type="cellIs" dxfId="24" priority="25" operator="equal">
      <formula>0</formula>
    </cfRule>
  </conditionalFormatting>
  <conditionalFormatting sqref="I63:I71">
    <cfRule type="cellIs" dxfId="23" priority="20" operator="equal">
      <formula>0</formula>
    </cfRule>
  </conditionalFormatting>
  <conditionalFormatting sqref="I73">
    <cfRule type="cellIs" dxfId="22" priority="19" operator="equal">
      <formula>0</formula>
    </cfRule>
  </conditionalFormatting>
  <conditionalFormatting sqref="I75">
    <cfRule type="cellIs" dxfId="21" priority="22" operator="equal">
      <formula>0</formula>
    </cfRule>
  </conditionalFormatting>
  <conditionalFormatting sqref="I83:I86">
    <cfRule type="cellIs" dxfId="20" priority="24" operator="equal">
      <formula>0</formula>
    </cfRule>
  </conditionalFormatting>
  <conditionalFormatting sqref="I89:I93">
    <cfRule type="cellIs" dxfId="19" priority="21" operator="equal">
      <formula>0</formula>
    </cfRule>
  </conditionalFormatting>
  <conditionalFormatting sqref="I96">
    <cfRule type="cellIs" dxfId="18" priority="23" operator="equal">
      <formula>0</formula>
    </cfRule>
  </conditionalFormatting>
  <conditionalFormatting sqref="I100:I105">
    <cfRule type="cellIs" dxfId="17" priority="18" operator="equal">
      <formula>0</formula>
    </cfRule>
  </conditionalFormatting>
  <conditionalFormatting sqref="G59:G60 G80:G81">
    <cfRule type="cellIs" dxfId="16" priority="17" operator="equal">
      <formula>0</formula>
    </cfRule>
  </conditionalFormatting>
  <conditionalFormatting sqref="G63:G71">
    <cfRule type="cellIs" dxfId="15" priority="12" operator="equal">
      <formula>0</formula>
    </cfRule>
  </conditionalFormatting>
  <conditionalFormatting sqref="G73">
    <cfRule type="cellIs" dxfId="14" priority="11" operator="equal">
      <formula>0</formula>
    </cfRule>
  </conditionalFormatting>
  <conditionalFormatting sqref="G75">
    <cfRule type="cellIs" dxfId="13" priority="14" operator="equal">
      <formula>0</formula>
    </cfRule>
  </conditionalFormatting>
  <conditionalFormatting sqref="G83:G86">
    <cfRule type="cellIs" dxfId="12" priority="16" operator="equal">
      <formula>0</formula>
    </cfRule>
  </conditionalFormatting>
  <conditionalFormatting sqref="G89:G93">
    <cfRule type="cellIs" dxfId="11" priority="13" operator="equal">
      <formula>0</formula>
    </cfRule>
  </conditionalFormatting>
  <conditionalFormatting sqref="G96">
    <cfRule type="cellIs" dxfId="10" priority="15" operator="equal">
      <formula>0</formula>
    </cfRule>
  </conditionalFormatting>
  <conditionalFormatting sqref="G100:G105">
    <cfRule type="cellIs" dxfId="9" priority="10" operator="equal">
      <formula>0</formula>
    </cfRule>
  </conditionalFormatting>
  <conditionalFormatting sqref="E59:E60 E80:E81">
    <cfRule type="cellIs" dxfId="8" priority="9" operator="equal">
      <formula>0</formula>
    </cfRule>
  </conditionalFormatting>
  <conditionalFormatting sqref="E63:E71">
    <cfRule type="cellIs" dxfId="7" priority="4" operator="equal">
      <formula>0</formula>
    </cfRule>
  </conditionalFormatting>
  <conditionalFormatting sqref="E73 G73 I73 K73 M73 O73 Q73 S73 U73 W73 Y73 AA73 AC73 AE73 AG73 AI73 AK73">
    <cfRule type="cellIs" dxfId="6" priority="3" operator="equal">
      <formula>0</formula>
    </cfRule>
  </conditionalFormatting>
  <conditionalFormatting sqref="E75">
    <cfRule type="cellIs" dxfId="5" priority="6" operator="equal">
      <formula>0</formula>
    </cfRule>
  </conditionalFormatting>
  <conditionalFormatting sqref="E83:E86">
    <cfRule type="cellIs" dxfId="4" priority="8" operator="equal">
      <formula>0</formula>
    </cfRule>
  </conditionalFormatting>
  <conditionalFormatting sqref="E89:E93">
    <cfRule type="cellIs" dxfId="3" priority="5" operator="equal">
      <formula>0</formula>
    </cfRule>
  </conditionalFormatting>
  <conditionalFormatting sqref="E96">
    <cfRule type="cellIs" dxfId="2" priority="7" operator="equal">
      <formula>0</formula>
    </cfRule>
  </conditionalFormatting>
  <conditionalFormatting sqref="E100:E105">
    <cfRule type="cellIs" dxfId="1" priority="2" operator="equal">
      <formula>0</formula>
    </cfRule>
  </conditionalFormatting>
  <conditionalFormatting sqref="S105 U105 W105 Y105 AA105 AC105 AE105 AG105 AI105 AK105">
    <cfRule type="cellIs" dxfId="0" priority="1" operator="equal">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86315-678A-42AA-90AB-55A3F00DCDA5}">
  <dimension ref="B1:AS52"/>
  <sheetViews>
    <sheetView showGridLines="0" zoomScale="80" zoomScaleNormal="80" workbookViewId="0">
      <pane xSplit="3" ySplit="6" topLeftCell="D7" activePane="bottomRight" state="frozen"/>
      <selection pane="topRight" activeCell="D1" sqref="D1"/>
      <selection pane="bottomLeft" activeCell="A10" sqref="A10"/>
      <selection pane="bottomRight" activeCell="D2" sqref="D2"/>
    </sheetView>
  </sheetViews>
  <sheetFormatPr defaultRowHeight="15" customHeight="1" outlineLevelCol="1" x14ac:dyDescent="0.25"/>
  <cols>
    <col min="1" max="1" width="3.7109375" customWidth="1"/>
    <col min="2" max="2" width="60" style="45" bestFit="1" customWidth="1"/>
    <col min="3" max="3" width="53.42578125" style="45" hidden="1" customWidth="1"/>
    <col min="4" max="4" width="1.42578125" style="5" customWidth="1"/>
    <col min="5" max="5" width="12.7109375" style="3" customWidth="1"/>
    <col min="6" max="6" width="1.42578125" style="3" customWidth="1"/>
    <col min="7" max="7" width="12.7109375" style="3" hidden="1" customWidth="1" outlineLevel="1"/>
    <col min="8" max="8" width="1.42578125" style="3" hidden="1" customWidth="1" outlineLevel="1"/>
    <col min="9" max="9" width="12.7109375" style="3" hidden="1" customWidth="1" outlineLevel="1"/>
    <col min="10" max="10" width="1.42578125" style="3" hidden="1" customWidth="1" outlineLevel="1"/>
    <col min="11" max="11" width="12.7109375" style="3" hidden="1" customWidth="1" outlineLevel="1"/>
    <col min="12" max="12" width="1.42578125" hidden="1" customWidth="1" outlineLevel="1"/>
    <col min="13" max="13" width="12.7109375" style="3" customWidth="1" collapsed="1"/>
    <col min="14" max="14" width="1.42578125" customWidth="1"/>
    <col min="15" max="15" width="12.7109375" style="3" hidden="1" customWidth="1" outlineLevel="1"/>
    <col min="16" max="16" width="1.42578125" style="3" hidden="1" customWidth="1" outlineLevel="1"/>
    <col min="17" max="17" width="12.7109375" style="3" hidden="1" customWidth="1" outlineLevel="1"/>
    <col min="18" max="18" width="1.42578125" style="3" hidden="1" customWidth="1" outlineLevel="1"/>
    <col min="19" max="19" width="12.7109375" style="3" hidden="1" customWidth="1" outlineLevel="1"/>
    <col min="20" max="20" width="1.42578125" hidden="1" customWidth="1" outlineLevel="1"/>
    <col min="21" max="21" width="12.7109375" style="3" customWidth="1" collapsed="1"/>
    <col min="22" max="22" width="1.5703125" customWidth="1"/>
    <col min="23" max="23" width="12.7109375" style="3" hidden="1" customWidth="1" outlineLevel="1"/>
    <col min="24" max="24" width="1.140625" style="3" hidden="1" customWidth="1" outlineLevel="1"/>
    <col min="25" max="25" width="12.7109375" style="3" hidden="1" customWidth="1" outlineLevel="1"/>
    <col min="26" max="26" width="1.42578125" style="3" hidden="1" customWidth="1" outlineLevel="1"/>
    <col min="27" max="27" width="12.7109375" style="3" hidden="1" customWidth="1" outlineLevel="1"/>
    <col min="28" max="28" width="1.42578125" hidden="1" customWidth="1" outlineLevel="1"/>
    <col min="29" max="29" width="17.28515625" style="3" customWidth="1" collapsed="1"/>
    <col min="30" max="30" width="1.5703125" customWidth="1"/>
    <col min="31" max="31" width="12.7109375" style="3" hidden="1" customWidth="1" outlineLevel="1"/>
    <col min="32" max="32" width="1.140625" style="3" hidden="1" customWidth="1" outlineLevel="1"/>
    <col min="33" max="33" width="12.7109375" style="3" hidden="1" customWidth="1" outlineLevel="1"/>
    <col min="34" max="34" width="1.42578125" style="3" hidden="1" customWidth="1" outlineLevel="1"/>
    <col min="35" max="35" width="12.7109375" style="3" hidden="1" customWidth="1" outlineLevel="1"/>
    <col min="36" max="36" width="1.42578125" hidden="1" customWidth="1" outlineLevel="1"/>
    <col min="37" max="37" width="12.7109375" style="3" customWidth="1" collapsed="1"/>
    <col min="38" max="38" width="2.5703125" customWidth="1"/>
    <col min="39" max="39" width="12.7109375" style="3" customWidth="1" outlineLevel="1"/>
    <col min="40" max="40" width="1.140625" style="3" hidden="1" customWidth="1" outlineLevel="1"/>
    <col min="41" max="41" width="12.7109375" style="3" hidden="1" customWidth="1" outlineLevel="1"/>
    <col min="42" max="42" width="1.42578125" style="3" hidden="1" customWidth="1" outlineLevel="1"/>
    <col min="43" max="43" width="12.7109375" style="3" hidden="1" customWidth="1" outlineLevel="1"/>
    <col min="44" max="44" width="1.42578125" hidden="1" customWidth="1" outlineLevel="1"/>
    <col min="45" max="45" width="12.7109375" style="3" hidden="1" customWidth="1"/>
    <col min="46" max="46" width="9.140625" customWidth="1"/>
  </cols>
  <sheetData>
    <row r="1" spans="2:45" ht="15" customHeight="1" x14ac:dyDescent="0.25">
      <c r="B1" s="46"/>
      <c r="C1" s="46"/>
      <c r="M1"/>
      <c r="U1"/>
      <c r="AC1"/>
      <c r="AK1"/>
      <c r="AS1"/>
    </row>
    <row r="2" spans="2:45" ht="15" customHeight="1" x14ac:dyDescent="0.25">
      <c r="B2" s="47" t="s">
        <v>58</v>
      </c>
      <c r="C2" s="47" t="s">
        <v>237</v>
      </c>
      <c r="M2"/>
      <c r="U2"/>
      <c r="AC2"/>
      <c r="AE2" s="3">
        <v>1000</v>
      </c>
      <c r="AK2"/>
      <c r="AS2"/>
    </row>
    <row r="3" spans="2:45" ht="15" customHeight="1" x14ac:dyDescent="0.25">
      <c r="B3" s="47" t="s">
        <v>75</v>
      </c>
      <c r="C3" s="47" t="s">
        <v>250</v>
      </c>
      <c r="L3" s="3"/>
      <c r="N3" s="3"/>
      <c r="T3" s="3"/>
      <c r="AB3" s="3"/>
      <c r="AJ3" s="3"/>
      <c r="AR3" s="3"/>
    </row>
    <row r="4" spans="2:45" ht="15" customHeight="1" x14ac:dyDescent="0.25">
      <c r="B4" s="45" t="s">
        <v>59</v>
      </c>
      <c r="C4" s="45" t="s">
        <v>240</v>
      </c>
      <c r="L4" s="3"/>
      <c r="N4" s="3"/>
      <c r="T4" s="3"/>
      <c r="AB4" s="3"/>
      <c r="AJ4" s="3"/>
      <c r="AR4" s="3"/>
    </row>
    <row r="5" spans="2:45" ht="15" customHeight="1" thickBot="1" x14ac:dyDescent="0.3">
      <c r="B5" s="48"/>
      <c r="C5" s="48"/>
      <c r="E5" s="69">
        <v>2020</v>
      </c>
      <c r="F5" s="70"/>
      <c r="G5" s="137">
        <v>2021</v>
      </c>
      <c r="H5" s="137"/>
      <c r="I5" s="137"/>
      <c r="J5" s="137"/>
      <c r="K5" s="137"/>
      <c r="L5" s="137"/>
      <c r="M5" s="137"/>
      <c r="N5" s="70"/>
      <c r="O5" s="137">
        <v>2022</v>
      </c>
      <c r="P5" s="137"/>
      <c r="Q5" s="137"/>
      <c r="R5" s="137"/>
      <c r="S5" s="137"/>
      <c r="T5" s="137"/>
      <c r="U5" s="137"/>
      <c r="W5" s="137">
        <v>2023</v>
      </c>
      <c r="X5" s="137"/>
      <c r="Y5" s="137"/>
      <c r="Z5" s="137"/>
      <c r="AA5" s="137"/>
      <c r="AB5" s="137"/>
      <c r="AC5" s="137"/>
      <c r="AE5" s="137">
        <v>2024</v>
      </c>
      <c r="AF5" s="137"/>
      <c r="AG5" s="137"/>
      <c r="AH5" s="137"/>
      <c r="AI5" s="137"/>
      <c r="AJ5" s="137"/>
      <c r="AK5" s="137"/>
      <c r="AM5" s="137">
        <v>2025</v>
      </c>
      <c r="AN5" s="137"/>
      <c r="AO5" s="137"/>
      <c r="AP5" s="137"/>
      <c r="AQ5" s="137"/>
      <c r="AR5" s="137"/>
      <c r="AS5" s="137"/>
    </row>
    <row r="6" spans="2:45" ht="15" customHeight="1" thickBot="1" x14ac:dyDescent="0.3">
      <c r="B6" s="50"/>
      <c r="C6" s="50"/>
      <c r="D6" s="91"/>
      <c r="E6" s="64">
        <v>44196</v>
      </c>
      <c r="F6" s="70"/>
      <c r="G6" s="64">
        <v>44286</v>
      </c>
      <c r="H6" s="70"/>
      <c r="I6" s="64">
        <v>44377</v>
      </c>
      <c r="J6" s="70"/>
      <c r="K6" s="97">
        <v>44469</v>
      </c>
      <c r="L6" s="70"/>
      <c r="M6" s="64">
        <v>44561</v>
      </c>
      <c r="N6" s="70"/>
      <c r="O6" s="64">
        <v>44651</v>
      </c>
      <c r="P6" s="70"/>
      <c r="Q6" s="64">
        <v>44742</v>
      </c>
      <c r="R6" s="70"/>
      <c r="S6" s="64">
        <v>44834</v>
      </c>
      <c r="T6" s="70"/>
      <c r="U6" s="64">
        <v>44926</v>
      </c>
      <c r="W6" s="64">
        <f>BP!W$6</f>
        <v>45016</v>
      </c>
      <c r="X6" s="70"/>
      <c r="Y6" s="64">
        <f>BP!Y$6</f>
        <v>45107</v>
      </c>
      <c r="Z6" s="70"/>
      <c r="AA6" s="64">
        <f>BP!AA$6</f>
        <v>45199</v>
      </c>
      <c r="AB6" s="70"/>
      <c r="AC6" s="64">
        <f>BP!AC$6</f>
        <v>45291</v>
      </c>
      <c r="AE6" s="64">
        <f>BP!AE$6</f>
        <v>45382</v>
      </c>
      <c r="AF6" s="70"/>
      <c r="AG6" s="64">
        <f>BP!AG$6</f>
        <v>45473</v>
      </c>
      <c r="AH6" s="70"/>
      <c r="AI6" s="64">
        <f>BP!AI$6</f>
        <v>45565</v>
      </c>
      <c r="AJ6" s="70"/>
      <c r="AK6" s="64">
        <f>BP!AK$6</f>
        <v>45657</v>
      </c>
      <c r="AM6" s="64">
        <f>BP!AM$6</f>
        <v>45747</v>
      </c>
      <c r="AN6" s="70"/>
      <c r="AO6" s="64">
        <f>BP!AO$6</f>
        <v>45838</v>
      </c>
      <c r="AP6" s="70"/>
      <c r="AQ6" s="64">
        <f>BP!AQ$6</f>
        <v>45930</v>
      </c>
      <c r="AR6" s="70"/>
      <c r="AS6" s="64">
        <f>BP!AS$6</f>
        <v>46022</v>
      </c>
    </row>
    <row r="7" spans="2:45" ht="29.25" customHeight="1" x14ac:dyDescent="0.25">
      <c r="B7" s="51"/>
      <c r="C7" s="51"/>
      <c r="D7" s="62"/>
      <c r="E7" s="71"/>
      <c r="F7" s="90"/>
      <c r="G7" s="71"/>
      <c r="H7" s="63"/>
      <c r="I7" s="71"/>
      <c r="J7" s="71"/>
      <c r="K7" s="71"/>
      <c r="L7" s="71"/>
      <c r="M7" s="71"/>
      <c r="N7" s="90"/>
      <c r="O7" s="71"/>
      <c r="P7" s="63"/>
      <c r="Q7" s="71"/>
      <c r="R7" s="71"/>
      <c r="S7" s="71"/>
      <c r="T7" s="71"/>
      <c r="U7" s="71"/>
      <c r="W7" s="71"/>
      <c r="X7" s="63"/>
      <c r="Y7" s="71"/>
      <c r="Z7" s="71"/>
      <c r="AA7" s="71"/>
      <c r="AB7" s="71"/>
      <c r="AC7" s="71" t="s">
        <v>294</v>
      </c>
      <c r="AE7" s="71"/>
      <c r="AF7" s="63"/>
      <c r="AG7" s="71"/>
      <c r="AH7" s="71"/>
      <c r="AI7" s="71"/>
      <c r="AJ7" s="71"/>
      <c r="AK7" s="71"/>
      <c r="AM7" s="71"/>
      <c r="AN7" s="63"/>
      <c r="AO7" s="71"/>
      <c r="AP7" s="71"/>
      <c r="AQ7" s="71"/>
      <c r="AR7" s="71"/>
      <c r="AS7" s="71"/>
    </row>
    <row r="8" spans="2:45" ht="15" customHeight="1" x14ac:dyDescent="0.25">
      <c r="B8" s="52" t="s">
        <v>68</v>
      </c>
      <c r="C8" s="72" t="s">
        <v>168</v>
      </c>
      <c r="D8" s="91"/>
      <c r="E8" s="73">
        <v>16740.227999999999</v>
      </c>
      <c r="F8" s="3">
        <v>0</v>
      </c>
      <c r="G8" s="73">
        <v>4009.4920000000002</v>
      </c>
      <c r="H8" s="3">
        <v>0</v>
      </c>
      <c r="I8" s="73">
        <v>9818.8549999999996</v>
      </c>
      <c r="J8" s="3">
        <v>0</v>
      </c>
      <c r="K8" s="73">
        <v>16245.099</v>
      </c>
      <c r="L8" s="3">
        <v>0</v>
      </c>
      <c r="M8" s="73">
        <v>22295.681</v>
      </c>
      <c r="N8" s="3">
        <v>0</v>
      </c>
      <c r="O8" s="73">
        <v>4899.8159999999998</v>
      </c>
      <c r="P8" s="3">
        <v>0</v>
      </c>
      <c r="Q8" s="73">
        <v>11599.960999999999</v>
      </c>
      <c r="R8" s="3">
        <v>0</v>
      </c>
      <c r="S8" s="73">
        <v>19242.909</v>
      </c>
      <c r="T8" s="3">
        <v>0</v>
      </c>
      <c r="U8" s="73">
        <v>25797.366000000002</v>
      </c>
      <c r="V8" s="3">
        <v>0</v>
      </c>
      <c r="W8" s="73">
        <v>5795.5540000000001</v>
      </c>
      <c r="X8" s="3">
        <v>0</v>
      </c>
      <c r="Y8" s="73">
        <v>12696.075000000001</v>
      </c>
      <c r="Z8" s="3">
        <v>0</v>
      </c>
      <c r="AA8" s="73">
        <v>20091.47</v>
      </c>
      <c r="AB8" s="3">
        <v>0</v>
      </c>
      <c r="AC8" s="73">
        <v>25677.712</v>
      </c>
      <c r="AE8" s="73">
        <v>5450.9880000000003</v>
      </c>
      <c r="AF8" s="74">
        <v>0</v>
      </c>
      <c r="AG8" s="73">
        <v>12461.351000000001</v>
      </c>
      <c r="AH8" s="73">
        <v>0</v>
      </c>
      <c r="AI8" s="73">
        <v>19523.816999999999</v>
      </c>
      <c r="AJ8" s="73">
        <v>0</v>
      </c>
      <c r="AK8" s="73">
        <v>26564.574000000001</v>
      </c>
      <c r="AM8" s="73">
        <v>5620</v>
      </c>
      <c r="AN8" s="74"/>
      <c r="AO8" s="73"/>
      <c r="AP8" s="73"/>
      <c r="AQ8" s="73"/>
      <c r="AR8" s="73"/>
      <c r="AS8" s="73"/>
    </row>
    <row r="9" spans="2:45" ht="15" customHeight="1" x14ac:dyDescent="0.25">
      <c r="B9" s="53" t="s">
        <v>29</v>
      </c>
      <c r="C9" s="75" t="s">
        <v>169</v>
      </c>
      <c r="D9" s="92"/>
      <c r="E9" s="76">
        <v>-12816.563</v>
      </c>
      <c r="F9" s="3">
        <v>0</v>
      </c>
      <c r="G9" s="76">
        <v>-3139.7489999999998</v>
      </c>
      <c r="H9" s="3">
        <v>0</v>
      </c>
      <c r="I9" s="76">
        <v>-7503.6350000000002</v>
      </c>
      <c r="J9" s="3">
        <v>0</v>
      </c>
      <c r="K9" s="76">
        <v>-12242.454</v>
      </c>
      <c r="L9" s="3">
        <v>0</v>
      </c>
      <c r="M9" s="76">
        <v>-17084.454000000002</v>
      </c>
      <c r="N9" s="3">
        <v>0</v>
      </c>
      <c r="O9" s="76">
        <v>-4512.4009999999998</v>
      </c>
      <c r="P9" s="3">
        <v>0</v>
      </c>
      <c r="Q9" s="76">
        <v>-9864.5949999999993</v>
      </c>
      <c r="R9" s="3">
        <v>0</v>
      </c>
      <c r="S9" s="76">
        <v>-15751.569</v>
      </c>
      <c r="T9" s="3">
        <v>0</v>
      </c>
      <c r="U9" s="76">
        <v>-20982.54</v>
      </c>
      <c r="V9" s="3">
        <v>0</v>
      </c>
      <c r="W9" s="76">
        <v>-4961.3549999999996</v>
      </c>
      <c r="X9" s="3">
        <v>0</v>
      </c>
      <c r="Y9" s="76">
        <v>-10275.853999999999</v>
      </c>
      <c r="Z9" s="3">
        <v>0</v>
      </c>
      <c r="AA9" s="76">
        <v>-15726.924000000001</v>
      </c>
      <c r="AB9" s="3">
        <v>0</v>
      </c>
      <c r="AC9" s="76">
        <v>-20116.687999999998</v>
      </c>
      <c r="AE9" s="76">
        <v>-4653.5219999999999</v>
      </c>
      <c r="AF9" s="77">
        <v>0</v>
      </c>
      <c r="AG9" s="76">
        <v>-10108.053</v>
      </c>
      <c r="AH9" s="78">
        <v>0</v>
      </c>
      <c r="AI9" s="76">
        <v>-15290.876</v>
      </c>
      <c r="AJ9" s="78">
        <v>0</v>
      </c>
      <c r="AK9" s="76">
        <v>-20693.413</v>
      </c>
      <c r="AM9" s="76">
        <v>-5270</v>
      </c>
      <c r="AN9" s="77"/>
      <c r="AO9" s="76"/>
      <c r="AP9" s="78"/>
      <c r="AQ9" s="76"/>
      <c r="AR9" s="78"/>
      <c r="AS9" s="76"/>
    </row>
    <row r="10" spans="2:45" ht="15" customHeight="1" x14ac:dyDescent="0.25">
      <c r="B10" s="47" t="s">
        <v>30</v>
      </c>
      <c r="C10" s="50" t="s">
        <v>170</v>
      </c>
      <c r="D10"/>
      <c r="E10" s="79">
        <f t="shared" ref="E10" si="0">SUM(E8:E9)</f>
        <v>3923.6649999999991</v>
      </c>
      <c r="F10"/>
      <c r="G10" s="79">
        <f t="shared" ref="G10" si="1">SUM(G8:G9)</f>
        <v>869.74300000000039</v>
      </c>
      <c r="H10"/>
      <c r="I10" s="79">
        <f t="shared" ref="I10" si="2">SUM(I8:I9)</f>
        <v>2315.2199999999993</v>
      </c>
      <c r="J10"/>
      <c r="K10" s="79">
        <f t="shared" ref="K10" si="3">SUM(K8:K9)</f>
        <v>4002.6450000000004</v>
      </c>
      <c r="M10" s="79">
        <f t="shared" ref="M10" si="4">SUM(M8:M9)</f>
        <v>5211.226999999999</v>
      </c>
      <c r="O10" s="79">
        <f t="shared" ref="O10" si="5">SUM(O8:O9)</f>
        <v>387.41499999999996</v>
      </c>
      <c r="P10"/>
      <c r="Q10" s="79">
        <f t="shared" ref="Q10" si="6">SUM(Q8:Q9)</f>
        <v>1735.366</v>
      </c>
      <c r="R10"/>
      <c r="S10" s="79">
        <f t="shared" ref="S10" si="7">SUM(S8:S9)</f>
        <v>3491.34</v>
      </c>
      <c r="U10" s="79">
        <f t="shared" ref="U10" si="8">SUM(U8:U9)</f>
        <v>4814.8260000000009</v>
      </c>
      <c r="W10" s="79">
        <f t="shared" ref="W10" si="9">SUM(W8:W9)</f>
        <v>834.19900000000052</v>
      </c>
      <c r="X10"/>
      <c r="Y10" s="79">
        <f t="shared" ref="Y10" si="10">SUM(Y8:Y9)</f>
        <v>2420.2210000000014</v>
      </c>
      <c r="Z10"/>
      <c r="AA10" s="79">
        <f t="shared" ref="AA10" si="11">SUM(AA8:AA9)</f>
        <v>4364.5460000000003</v>
      </c>
      <c r="AC10" s="79">
        <f t="shared" ref="AC10" si="12">SUM(AC8:AC9)</f>
        <v>5561.0240000000013</v>
      </c>
      <c r="AE10" s="79">
        <f t="shared" ref="AE10" si="13">SUM(AE8:AE9)</f>
        <v>797.46600000000035</v>
      </c>
      <c r="AF10"/>
      <c r="AG10" s="79">
        <f t="shared" ref="AG10" si="14">SUM(AG8:AG9)</f>
        <v>2353.2980000000007</v>
      </c>
      <c r="AH10"/>
      <c r="AI10" s="79">
        <f t="shared" ref="AI10" si="15">SUM(AI8:AI9)</f>
        <v>4232.9409999999989</v>
      </c>
      <c r="AK10" s="79">
        <f t="shared" ref="AK10" si="16">SUM(AK8:AK9)</f>
        <v>5871.1610000000001</v>
      </c>
      <c r="AM10" s="79">
        <f>SUM(AM8:AM9)</f>
        <v>350</v>
      </c>
      <c r="AN10" s="73"/>
      <c r="AO10" s="79">
        <f>SUM(AO8:AO9)</f>
        <v>0</v>
      </c>
      <c r="AP10" s="73"/>
      <c r="AQ10" s="79">
        <f>SUM(AQ8:AQ9)</f>
        <v>0</v>
      </c>
      <c r="AR10" s="73"/>
      <c r="AS10" s="79">
        <f>SUM(AS8:AS9)</f>
        <v>0</v>
      </c>
    </row>
    <row r="11" spans="2:45" ht="15" customHeight="1" x14ac:dyDescent="0.25">
      <c r="B11" s="48" t="s">
        <v>47</v>
      </c>
      <c r="C11" s="80" t="s">
        <v>47</v>
      </c>
      <c r="D11" s="91"/>
      <c r="E11" s="78">
        <v>0</v>
      </c>
      <c r="F11" s="3">
        <v>0</v>
      </c>
      <c r="G11" s="78">
        <v>0</v>
      </c>
      <c r="H11" s="3">
        <v>0</v>
      </c>
      <c r="I11" s="78">
        <v>0</v>
      </c>
      <c r="J11" s="3">
        <v>0</v>
      </c>
      <c r="K11" s="78">
        <v>0</v>
      </c>
      <c r="L11" s="3">
        <v>0</v>
      </c>
      <c r="M11" s="78">
        <v>0</v>
      </c>
      <c r="N11" s="3">
        <v>0</v>
      </c>
      <c r="O11" s="78">
        <v>0</v>
      </c>
      <c r="P11" s="3">
        <v>0</v>
      </c>
      <c r="Q11" s="78">
        <v>0</v>
      </c>
      <c r="R11" s="3">
        <v>0</v>
      </c>
      <c r="S11" s="78">
        <v>0</v>
      </c>
      <c r="T11" s="3">
        <v>0</v>
      </c>
      <c r="U11" s="78">
        <v>0</v>
      </c>
      <c r="V11" s="3">
        <v>0</v>
      </c>
      <c r="W11" s="78">
        <v>0</v>
      </c>
      <c r="X11" s="3">
        <v>0</v>
      </c>
      <c r="Y11" s="78">
        <v>0</v>
      </c>
      <c r="Z11" s="3">
        <v>0</v>
      </c>
      <c r="AA11" s="78">
        <v>0</v>
      </c>
      <c r="AB11" s="3">
        <v>0</v>
      </c>
      <c r="AC11" s="78">
        <v>0</v>
      </c>
      <c r="AE11" s="78"/>
      <c r="AF11" s="78"/>
      <c r="AG11" s="78"/>
      <c r="AH11" s="78"/>
      <c r="AI11" s="78"/>
      <c r="AJ11" s="78"/>
      <c r="AK11" s="78"/>
      <c r="AM11" s="78"/>
      <c r="AN11" s="78"/>
      <c r="AO11" s="78"/>
      <c r="AP11" s="78"/>
      <c r="AQ11" s="78"/>
      <c r="AR11" s="78"/>
      <c r="AS11" s="78"/>
    </row>
    <row r="12" spans="2:45" ht="15" customHeight="1" x14ac:dyDescent="0.25">
      <c r="B12" s="47" t="s">
        <v>31</v>
      </c>
      <c r="C12" s="50" t="s">
        <v>171</v>
      </c>
      <c r="D12" s="91"/>
      <c r="E12" s="73">
        <v>0</v>
      </c>
      <c r="F12" s="3">
        <v>0</v>
      </c>
      <c r="G12" s="73">
        <v>0</v>
      </c>
      <c r="H12" s="3">
        <v>0</v>
      </c>
      <c r="I12" s="73">
        <v>0</v>
      </c>
      <c r="J12" s="3">
        <v>0</v>
      </c>
      <c r="K12" s="73">
        <v>0</v>
      </c>
      <c r="L12" s="3">
        <v>0</v>
      </c>
      <c r="M12" s="73">
        <v>0</v>
      </c>
      <c r="N12" s="3">
        <v>0</v>
      </c>
      <c r="O12" s="73">
        <v>0</v>
      </c>
      <c r="P12" s="3">
        <v>0</v>
      </c>
      <c r="Q12" s="73">
        <v>0</v>
      </c>
      <c r="R12" s="3">
        <v>0</v>
      </c>
      <c r="S12" s="73">
        <v>0</v>
      </c>
      <c r="T12" s="3">
        <v>0</v>
      </c>
      <c r="U12" s="73">
        <v>0</v>
      </c>
      <c r="V12" s="3">
        <v>0</v>
      </c>
      <c r="W12" s="73">
        <v>0</v>
      </c>
      <c r="X12" s="3">
        <v>0</v>
      </c>
      <c r="Y12" s="73">
        <v>0</v>
      </c>
      <c r="Z12" s="3">
        <v>0</v>
      </c>
      <c r="AA12" s="73">
        <v>0</v>
      </c>
      <c r="AB12" s="3">
        <v>0</v>
      </c>
      <c r="AC12" s="73">
        <v>0</v>
      </c>
      <c r="AE12" s="73"/>
      <c r="AF12" s="73"/>
      <c r="AG12" s="73"/>
      <c r="AH12" s="73"/>
      <c r="AI12" s="73"/>
      <c r="AJ12" s="73"/>
      <c r="AK12" s="73"/>
      <c r="AM12" s="73"/>
      <c r="AN12" s="73"/>
      <c r="AO12" s="73"/>
      <c r="AP12" s="73"/>
      <c r="AQ12" s="73"/>
      <c r="AR12" s="73"/>
      <c r="AS12" s="73"/>
    </row>
    <row r="13" spans="2:45" ht="15" customHeight="1" x14ac:dyDescent="0.25">
      <c r="B13" s="53" t="s">
        <v>32</v>
      </c>
      <c r="C13" s="75" t="s">
        <v>172</v>
      </c>
      <c r="D13" s="92"/>
      <c r="E13" s="78">
        <v>-707.61500000000001</v>
      </c>
      <c r="F13" s="3">
        <v>0</v>
      </c>
      <c r="G13" s="78">
        <v>-158.483</v>
      </c>
      <c r="H13" s="3">
        <v>0</v>
      </c>
      <c r="I13" s="78">
        <v>-333.67599999999999</v>
      </c>
      <c r="J13" s="3">
        <v>0</v>
      </c>
      <c r="K13" s="78">
        <v>-521.16600000000005</v>
      </c>
      <c r="L13" s="3">
        <v>0</v>
      </c>
      <c r="M13" s="78">
        <v>-699.87</v>
      </c>
      <c r="N13" s="3">
        <v>0</v>
      </c>
      <c r="O13" s="78">
        <v>-191.34800000000001</v>
      </c>
      <c r="P13" s="3">
        <v>0</v>
      </c>
      <c r="Q13" s="78">
        <v>-403.94900000000001</v>
      </c>
      <c r="R13" s="3">
        <v>0</v>
      </c>
      <c r="S13" s="78">
        <v>-639.14</v>
      </c>
      <c r="T13" s="3">
        <v>0</v>
      </c>
      <c r="U13" s="78">
        <v>-826.495</v>
      </c>
      <c r="V13" s="3">
        <v>0</v>
      </c>
      <c r="W13" s="78">
        <v>-251.875</v>
      </c>
      <c r="X13" s="3">
        <v>0</v>
      </c>
      <c r="Y13" s="78">
        <v>-481.53899999999999</v>
      </c>
      <c r="Z13" s="3">
        <v>0</v>
      </c>
      <c r="AA13" s="78">
        <v>-710.596</v>
      </c>
      <c r="AB13" s="3">
        <v>0</v>
      </c>
      <c r="AC13" s="78">
        <v>-936.28599999999994</v>
      </c>
      <c r="AE13" s="78">
        <v>-241.642</v>
      </c>
      <c r="AF13" s="3">
        <v>0</v>
      </c>
      <c r="AG13" s="78">
        <v>-484.58600000000001</v>
      </c>
      <c r="AH13" s="3">
        <v>0</v>
      </c>
      <c r="AI13" s="78">
        <v>-731.45299999999997</v>
      </c>
      <c r="AJ13" s="3">
        <v>0</v>
      </c>
      <c r="AK13" s="78">
        <v>-1012.808</v>
      </c>
      <c r="AM13" s="78">
        <v>-257</v>
      </c>
      <c r="AN13" s="77"/>
      <c r="AO13" s="78"/>
      <c r="AP13" s="78"/>
      <c r="AQ13" s="78"/>
      <c r="AR13" s="78"/>
      <c r="AS13" s="78"/>
    </row>
    <row r="14" spans="2:45" ht="15" customHeight="1" x14ac:dyDescent="0.25">
      <c r="B14" s="52" t="s">
        <v>33</v>
      </c>
      <c r="C14" s="72" t="s">
        <v>173</v>
      </c>
      <c r="D14" s="92"/>
      <c r="E14" s="73">
        <v>-1064.8689999999999</v>
      </c>
      <c r="F14" s="3">
        <v>0</v>
      </c>
      <c r="G14" s="73">
        <v>-245.97300000000001</v>
      </c>
      <c r="H14" s="3">
        <v>0</v>
      </c>
      <c r="I14" s="73">
        <v>-535.64599999999996</v>
      </c>
      <c r="J14" s="3">
        <v>0</v>
      </c>
      <c r="K14" s="73">
        <v>-853.70699999999999</v>
      </c>
      <c r="L14" s="3">
        <v>0</v>
      </c>
      <c r="M14" s="73">
        <v>-1242.8520000000001</v>
      </c>
      <c r="N14" s="3">
        <v>0</v>
      </c>
      <c r="O14" s="73">
        <v>-285.077</v>
      </c>
      <c r="P14" s="3">
        <v>0</v>
      </c>
      <c r="Q14" s="73">
        <v>-566.51800000000003</v>
      </c>
      <c r="R14" s="3">
        <v>0</v>
      </c>
      <c r="S14" s="73">
        <v>-868.31500000000005</v>
      </c>
      <c r="T14" s="3">
        <v>0</v>
      </c>
      <c r="U14" s="73">
        <v>-1246.4110000000001</v>
      </c>
      <c r="V14" s="3">
        <v>0</v>
      </c>
      <c r="W14" s="73">
        <v>-331.8</v>
      </c>
      <c r="X14" s="3">
        <v>0</v>
      </c>
      <c r="Y14" s="73">
        <v>-657.28399999999999</v>
      </c>
      <c r="Z14" s="3">
        <v>0</v>
      </c>
      <c r="AA14" s="73">
        <v>-1006.808</v>
      </c>
      <c r="AB14" s="3">
        <v>0</v>
      </c>
      <c r="AC14" s="73">
        <v>-1311.296</v>
      </c>
      <c r="AE14" s="73">
        <v>-343.09399999999999</v>
      </c>
      <c r="AF14" s="3">
        <v>0</v>
      </c>
      <c r="AG14" s="73">
        <v>-734.39700000000005</v>
      </c>
      <c r="AH14" s="3">
        <v>0</v>
      </c>
      <c r="AI14" s="73">
        <v>-1074.0319999999999</v>
      </c>
      <c r="AJ14" s="3">
        <v>0</v>
      </c>
      <c r="AK14" s="73">
        <v>-1508.808</v>
      </c>
      <c r="AM14" s="73">
        <v>-415</v>
      </c>
      <c r="AN14" s="74"/>
      <c r="AO14" s="73"/>
      <c r="AP14" s="73"/>
      <c r="AQ14" s="73"/>
      <c r="AR14" s="73"/>
      <c r="AS14" s="73"/>
    </row>
    <row r="15" spans="2:45" ht="15" customHeight="1" x14ac:dyDescent="0.25">
      <c r="B15" s="53" t="s">
        <v>73</v>
      </c>
      <c r="C15" s="75" t="s">
        <v>174</v>
      </c>
      <c r="D15" s="92"/>
      <c r="E15" s="76">
        <v>-141.19800000000001</v>
      </c>
      <c r="F15" s="3">
        <v>0</v>
      </c>
      <c r="G15" s="76">
        <v>77.016999999999996</v>
      </c>
      <c r="H15" s="3">
        <v>0</v>
      </c>
      <c r="I15" s="76">
        <v>357.298</v>
      </c>
      <c r="J15" s="3">
        <v>0</v>
      </c>
      <c r="K15" s="76">
        <v>514.54055946000005</v>
      </c>
      <c r="L15" s="3">
        <v>0</v>
      </c>
      <c r="M15" s="76">
        <v>364.65199999999999</v>
      </c>
      <c r="N15" s="3">
        <v>0</v>
      </c>
      <c r="O15" s="76">
        <v>31.387</v>
      </c>
      <c r="P15" s="3">
        <v>0</v>
      </c>
      <c r="Q15" s="76">
        <v>75.442999999999998</v>
      </c>
      <c r="R15" s="3">
        <v>0</v>
      </c>
      <c r="S15" s="76">
        <v>144.292</v>
      </c>
      <c r="T15" s="3">
        <v>0</v>
      </c>
      <c r="U15" s="76">
        <v>180.84100000000001</v>
      </c>
      <c r="V15" s="3">
        <v>0</v>
      </c>
      <c r="W15" s="76">
        <v>42.930999999999997</v>
      </c>
      <c r="X15" s="3">
        <v>0</v>
      </c>
      <c r="Y15" s="76">
        <v>129.28</v>
      </c>
      <c r="Z15" s="3">
        <v>0</v>
      </c>
      <c r="AA15" s="76">
        <v>205.304</v>
      </c>
      <c r="AB15" s="3">
        <v>0</v>
      </c>
      <c r="AC15" s="76">
        <v>361.56099999999998</v>
      </c>
      <c r="AE15" s="76">
        <v>51.414000000000001</v>
      </c>
      <c r="AF15" s="3">
        <v>0</v>
      </c>
      <c r="AG15" s="76">
        <v>133.46100000000001</v>
      </c>
      <c r="AH15" s="3">
        <v>0</v>
      </c>
      <c r="AI15" s="76">
        <v>287.33600000000001</v>
      </c>
      <c r="AJ15" s="3">
        <v>0</v>
      </c>
      <c r="AK15" s="76">
        <v>-679.73699999999997</v>
      </c>
      <c r="AM15" s="76">
        <v>172</v>
      </c>
      <c r="AN15" s="77"/>
      <c r="AO15" s="76"/>
      <c r="AP15" s="78"/>
      <c r="AQ15" s="76"/>
      <c r="AR15" s="78"/>
      <c r="AS15" s="76"/>
    </row>
    <row r="16" spans="2:45" ht="15" customHeight="1" x14ac:dyDescent="0.25">
      <c r="B16" s="45" t="s">
        <v>47</v>
      </c>
      <c r="C16" s="49"/>
      <c r="D16"/>
      <c r="E16" s="73">
        <f t="shared" ref="E16" si="17">SUM(E13:E15)</f>
        <v>-1913.682</v>
      </c>
      <c r="F16"/>
      <c r="G16" s="73">
        <f t="shared" ref="G16" si="18">SUM(G13:G15)</f>
        <v>-327.43900000000002</v>
      </c>
      <c r="H16"/>
      <c r="I16" s="73">
        <f t="shared" ref="I16" si="19">SUM(I13:I15)</f>
        <v>-512.02399999999989</v>
      </c>
      <c r="J16"/>
      <c r="K16" s="73">
        <f t="shared" ref="K16" si="20">SUM(K13:K15)</f>
        <v>-860.33244053999999</v>
      </c>
      <c r="M16" s="73">
        <f t="shared" ref="M16" si="21">SUM(M13:M15)</f>
        <v>-1578.0700000000002</v>
      </c>
      <c r="O16" s="73">
        <f t="shared" ref="O16" si="22">SUM(O13:O15)</f>
        <v>-445.03800000000001</v>
      </c>
      <c r="P16"/>
      <c r="Q16" s="73">
        <f t="shared" ref="Q16" si="23">SUM(Q13:Q15)</f>
        <v>-895.02400000000011</v>
      </c>
      <c r="R16"/>
      <c r="S16" s="73">
        <f t="shared" ref="S16" si="24">SUM(S13:S15)</f>
        <v>-1363.163</v>
      </c>
      <c r="U16" s="73">
        <f t="shared" ref="U16" si="25">SUM(U13:U15)</f>
        <v>-1892.0650000000001</v>
      </c>
      <c r="W16" s="73">
        <f t="shared" ref="W16" si="26">SUM(W13:W15)</f>
        <v>-540.74399999999991</v>
      </c>
      <c r="X16"/>
      <c r="Y16" s="73">
        <f t="shared" ref="Y16" si="27">SUM(Y13:Y15)</f>
        <v>-1009.5429999999999</v>
      </c>
      <c r="Z16"/>
      <c r="AA16" s="73">
        <f t="shared" ref="AA16" si="28">SUM(AA13:AA15)</f>
        <v>-1512.1</v>
      </c>
      <c r="AC16" s="73">
        <f t="shared" ref="AC16" si="29">SUM(AC13:AC15)</f>
        <v>-1886.021</v>
      </c>
      <c r="AE16" s="73">
        <f t="shared" ref="AE16" si="30">SUM(AE13:AE15)</f>
        <v>-533.322</v>
      </c>
      <c r="AF16"/>
      <c r="AG16" s="73">
        <f t="shared" ref="AG16" si="31">SUM(AG13:AG15)</f>
        <v>-1085.5220000000002</v>
      </c>
      <c r="AH16"/>
      <c r="AI16" s="73">
        <f t="shared" ref="AI16" si="32">SUM(AI13:AI15)</f>
        <v>-1518.1489999999999</v>
      </c>
      <c r="AK16" s="73">
        <f t="shared" ref="AK16" si="33">SUM(AK13:AK15)</f>
        <v>-3201.3530000000001</v>
      </c>
      <c r="AM16" s="73">
        <f>SUM(AM13:AM15)</f>
        <v>-500</v>
      </c>
      <c r="AN16" s="73"/>
      <c r="AO16" s="73">
        <f>SUM(AO13:AO15)</f>
        <v>0</v>
      </c>
      <c r="AP16" s="73"/>
      <c r="AQ16" s="73">
        <f>SUM(AQ13:AQ15)</f>
        <v>0</v>
      </c>
      <c r="AR16" s="73"/>
      <c r="AS16" s="73">
        <f>SUM(AS13:AS15)</f>
        <v>0</v>
      </c>
    </row>
    <row r="17" spans="2:45" ht="5.0999999999999996" customHeight="1" x14ac:dyDescent="0.25">
      <c r="C17" s="49"/>
      <c r="D17" s="91"/>
      <c r="E17" s="73">
        <v>0</v>
      </c>
      <c r="F17" s="3">
        <v>0</v>
      </c>
      <c r="G17" s="73">
        <v>0</v>
      </c>
      <c r="H17" s="3">
        <v>0</v>
      </c>
      <c r="I17" s="73">
        <v>0</v>
      </c>
      <c r="J17" s="3">
        <v>0</v>
      </c>
      <c r="K17" s="73">
        <v>0</v>
      </c>
      <c r="L17" s="3">
        <v>0</v>
      </c>
      <c r="M17" s="73">
        <v>0</v>
      </c>
      <c r="N17" s="3">
        <v>0</v>
      </c>
      <c r="O17" s="73">
        <v>0</v>
      </c>
      <c r="P17" s="3">
        <v>0</v>
      </c>
      <c r="Q17" s="73">
        <v>0</v>
      </c>
      <c r="R17" s="3">
        <v>0</v>
      </c>
      <c r="S17" s="73">
        <v>0</v>
      </c>
      <c r="T17" s="3">
        <v>0</v>
      </c>
      <c r="U17" s="73">
        <v>0</v>
      </c>
      <c r="V17" s="3">
        <v>0</v>
      </c>
      <c r="W17" s="73">
        <v>0</v>
      </c>
      <c r="X17" s="3">
        <v>0</v>
      </c>
      <c r="Y17" s="73">
        <v>0</v>
      </c>
      <c r="Z17" s="3">
        <v>0</v>
      </c>
      <c r="AA17" s="73">
        <v>0</v>
      </c>
      <c r="AB17" s="3">
        <v>0</v>
      </c>
      <c r="AC17" s="73">
        <v>0</v>
      </c>
      <c r="AE17" s="73"/>
      <c r="AF17" s="73"/>
      <c r="AG17" s="73"/>
      <c r="AH17" s="73"/>
      <c r="AI17" s="73"/>
      <c r="AJ17" s="73"/>
      <c r="AK17" s="73"/>
      <c r="AM17" s="73"/>
      <c r="AN17" s="73"/>
      <c r="AO17" s="73"/>
      <c r="AP17" s="73"/>
      <c r="AQ17" s="73"/>
      <c r="AR17" s="73"/>
      <c r="AS17" s="73"/>
    </row>
    <row r="18" spans="2:45" ht="15" customHeight="1" x14ac:dyDescent="0.25">
      <c r="B18" s="51" t="s">
        <v>74</v>
      </c>
      <c r="C18" s="81" t="s">
        <v>175</v>
      </c>
      <c r="D18" s="91"/>
      <c r="E18" s="78">
        <v>0</v>
      </c>
      <c r="F18" s="3">
        <v>0</v>
      </c>
      <c r="G18" s="78">
        <v>0</v>
      </c>
      <c r="H18" s="3">
        <v>0</v>
      </c>
      <c r="I18" s="78">
        <v>0</v>
      </c>
      <c r="J18" s="3">
        <v>0</v>
      </c>
      <c r="K18" s="78">
        <v>0</v>
      </c>
      <c r="L18" s="3">
        <v>0</v>
      </c>
      <c r="M18" s="78">
        <v>0</v>
      </c>
      <c r="N18" s="3">
        <v>0</v>
      </c>
      <c r="O18" s="78">
        <v>0</v>
      </c>
      <c r="P18" s="3">
        <v>0</v>
      </c>
      <c r="Q18" s="78">
        <v>0</v>
      </c>
      <c r="R18" s="3">
        <v>0</v>
      </c>
      <c r="S18" s="78">
        <v>0</v>
      </c>
      <c r="T18" s="3">
        <v>0</v>
      </c>
      <c r="U18" s="78">
        <v>0</v>
      </c>
      <c r="V18" s="3">
        <v>0</v>
      </c>
      <c r="W18" s="78">
        <v>0</v>
      </c>
      <c r="X18" s="3">
        <v>0</v>
      </c>
      <c r="Y18" s="78">
        <v>0</v>
      </c>
      <c r="Z18" s="3">
        <v>0</v>
      </c>
      <c r="AA18" s="78">
        <v>0</v>
      </c>
      <c r="AB18" s="3">
        <v>0</v>
      </c>
      <c r="AC18" s="78">
        <v>0</v>
      </c>
      <c r="AE18" s="78"/>
      <c r="AF18"/>
      <c r="AG18" s="78"/>
      <c r="AH18"/>
      <c r="AI18" s="78"/>
      <c r="AK18" s="78"/>
      <c r="AM18" s="78"/>
      <c r="AN18" s="78"/>
      <c r="AO18" s="78"/>
      <c r="AP18" s="78"/>
      <c r="AQ18" s="78"/>
      <c r="AR18" s="78"/>
      <c r="AS18" s="78"/>
    </row>
    <row r="19" spans="2:45" ht="15" customHeight="1" x14ac:dyDescent="0.25">
      <c r="B19" s="54" t="s">
        <v>69</v>
      </c>
      <c r="C19" s="82" t="s">
        <v>176</v>
      </c>
      <c r="D19"/>
      <c r="E19" s="76">
        <f t="shared" ref="E19:AK19" si="34">SUM(E10,E16)</f>
        <v>2009.982999999999</v>
      </c>
      <c r="F19"/>
      <c r="G19" s="76">
        <f t="shared" ref="G19:AK19" si="35">SUM(G10,G16)</f>
        <v>542.30400000000031</v>
      </c>
      <c r="H19"/>
      <c r="I19" s="76">
        <f t="shared" ref="I19:AK19" si="36">SUM(I10,I16)</f>
        <v>1803.1959999999995</v>
      </c>
      <c r="J19"/>
      <c r="K19" s="76">
        <f t="shared" ref="K19:AK19" si="37">SUM(K10,K16)</f>
        <v>3142.3125594600006</v>
      </c>
      <c r="M19" s="76">
        <f t="shared" ref="M19:AK19" si="38">SUM(M10,M16)</f>
        <v>3633.1569999999988</v>
      </c>
      <c r="O19" s="76">
        <f t="shared" ref="O19:AK19" si="39">SUM(O10,O16)</f>
        <v>-57.623000000000047</v>
      </c>
      <c r="P19"/>
      <c r="Q19" s="76">
        <f t="shared" ref="Q19:AK19" si="40">SUM(Q10,Q16)</f>
        <v>840.34199999999987</v>
      </c>
      <c r="R19"/>
      <c r="S19" s="76">
        <f t="shared" ref="S19:AK19" si="41">SUM(S10,S16)</f>
        <v>2128.1770000000001</v>
      </c>
      <c r="U19" s="76">
        <f t="shared" ref="U19:AK19" si="42">SUM(U10,U16)</f>
        <v>2922.7610000000009</v>
      </c>
      <c r="W19" s="76">
        <f t="shared" ref="W19:AK19" si="43">SUM(W10,W16)</f>
        <v>293.45500000000061</v>
      </c>
      <c r="X19"/>
      <c r="Y19" s="76">
        <f t="shared" ref="Y19:AK19" si="44">SUM(Y10,Y16)</f>
        <v>1410.6780000000015</v>
      </c>
      <c r="Z19"/>
      <c r="AA19" s="76">
        <f t="shared" ref="AA19:AK19" si="45">SUM(AA10,AA16)</f>
        <v>2852.4460000000004</v>
      </c>
      <c r="AC19" s="76">
        <f t="shared" ref="AC19:AK19" si="46">SUM(AC10,AC16)</f>
        <v>3675.0030000000015</v>
      </c>
      <c r="AE19" s="76">
        <f t="shared" ref="AE19:AK19" si="47">SUM(AE10,AE16)</f>
        <v>264.14400000000035</v>
      </c>
      <c r="AF19"/>
      <c r="AG19" s="76">
        <f t="shared" ref="AG19:AK19" si="48">SUM(AG10,AG16)</f>
        <v>1267.7760000000005</v>
      </c>
      <c r="AH19"/>
      <c r="AI19" s="76">
        <f t="shared" ref="AI19:AK19" si="49">SUM(AI10,AI16)</f>
        <v>2714.791999999999</v>
      </c>
      <c r="AK19" s="76">
        <f t="shared" ref="AK19" si="50">SUM(AK10,AK16)</f>
        <v>2669.808</v>
      </c>
      <c r="AM19" s="76">
        <f>SUM(AM10,AM16)</f>
        <v>-150</v>
      </c>
      <c r="AN19" s="78"/>
      <c r="AO19" s="76">
        <f>SUM(AO10,AO16)</f>
        <v>0</v>
      </c>
      <c r="AP19" s="78"/>
      <c r="AQ19" s="76">
        <f>SUM(AQ10,AQ16)</f>
        <v>0</v>
      </c>
      <c r="AR19" s="78"/>
      <c r="AS19" s="76">
        <f>SUM(AS10,AS16)</f>
        <v>0</v>
      </c>
    </row>
    <row r="20" spans="2:45" ht="15" customHeight="1" x14ac:dyDescent="0.25">
      <c r="B20" s="45" t="s">
        <v>47</v>
      </c>
      <c r="C20" s="49" t="s">
        <v>47</v>
      </c>
      <c r="D20" s="91"/>
      <c r="E20" s="73">
        <v>0</v>
      </c>
      <c r="F20" s="3">
        <v>0</v>
      </c>
      <c r="G20" s="73">
        <v>0</v>
      </c>
      <c r="H20" s="3">
        <v>0</v>
      </c>
      <c r="I20" s="73">
        <v>0</v>
      </c>
      <c r="J20" s="3">
        <v>0</v>
      </c>
      <c r="K20" s="73">
        <v>0</v>
      </c>
      <c r="L20" s="3">
        <v>0</v>
      </c>
      <c r="M20" s="73">
        <v>0</v>
      </c>
      <c r="N20" s="3">
        <v>0</v>
      </c>
      <c r="O20" s="73">
        <v>0</v>
      </c>
      <c r="P20" s="3">
        <v>0</v>
      </c>
      <c r="Q20" s="73">
        <v>0</v>
      </c>
      <c r="R20" s="3">
        <v>0</v>
      </c>
      <c r="S20" s="73">
        <v>0</v>
      </c>
      <c r="T20" s="3">
        <v>0</v>
      </c>
      <c r="U20" s="73">
        <v>0</v>
      </c>
      <c r="V20" s="3">
        <v>0</v>
      </c>
      <c r="W20" s="73">
        <v>0</v>
      </c>
      <c r="X20" s="3">
        <v>0</v>
      </c>
      <c r="Y20" s="73">
        <v>0</v>
      </c>
      <c r="Z20" s="3">
        <v>0</v>
      </c>
      <c r="AA20" s="73">
        <v>0</v>
      </c>
      <c r="AB20" s="3">
        <v>0</v>
      </c>
      <c r="AC20" s="73">
        <v>0</v>
      </c>
      <c r="AE20" s="73"/>
      <c r="AF20" s="73"/>
      <c r="AG20" s="73"/>
      <c r="AH20" s="73"/>
      <c r="AI20" s="73"/>
      <c r="AJ20" s="73"/>
      <c r="AK20" s="73"/>
      <c r="AM20" s="73"/>
      <c r="AN20" s="73"/>
      <c r="AO20" s="73"/>
      <c r="AP20" s="73"/>
      <c r="AQ20" s="73"/>
      <c r="AR20" s="73"/>
      <c r="AS20" s="73"/>
    </row>
    <row r="21" spans="2:45" ht="15" customHeight="1" x14ac:dyDescent="0.25">
      <c r="B21" s="51" t="s">
        <v>34</v>
      </c>
      <c r="C21" s="81" t="s">
        <v>177</v>
      </c>
      <c r="D21" s="91"/>
      <c r="E21" s="78">
        <v>0</v>
      </c>
      <c r="F21" s="3">
        <v>0</v>
      </c>
      <c r="G21" s="78">
        <v>0</v>
      </c>
      <c r="H21" s="3">
        <v>0</v>
      </c>
      <c r="I21" s="78">
        <v>0</v>
      </c>
      <c r="J21" s="3">
        <v>0</v>
      </c>
      <c r="K21" s="78">
        <v>0</v>
      </c>
      <c r="L21" s="3">
        <v>0</v>
      </c>
      <c r="M21" s="78">
        <v>0</v>
      </c>
      <c r="N21" s="3">
        <v>0</v>
      </c>
      <c r="O21" s="78">
        <v>0</v>
      </c>
      <c r="P21" s="3">
        <v>0</v>
      </c>
      <c r="Q21" s="78">
        <v>0</v>
      </c>
      <c r="R21" s="3">
        <v>0</v>
      </c>
      <c r="S21" s="78">
        <v>0</v>
      </c>
      <c r="T21" s="3">
        <v>0</v>
      </c>
      <c r="U21" s="78">
        <v>0</v>
      </c>
      <c r="V21" s="3">
        <v>0</v>
      </c>
      <c r="W21" s="78">
        <v>0</v>
      </c>
      <c r="X21" s="3">
        <v>0</v>
      </c>
      <c r="Y21" s="78">
        <v>0</v>
      </c>
      <c r="Z21" s="3">
        <v>0</v>
      </c>
      <c r="AA21" s="78">
        <v>0</v>
      </c>
      <c r="AB21" s="3">
        <v>0</v>
      </c>
      <c r="AC21" s="78">
        <v>0</v>
      </c>
      <c r="AE21" s="78"/>
      <c r="AF21" s="78"/>
      <c r="AG21" s="78"/>
      <c r="AH21" s="78"/>
      <c r="AI21" s="78"/>
      <c r="AJ21" s="78"/>
      <c r="AK21" s="78"/>
      <c r="AM21" s="78"/>
      <c r="AN21" s="78"/>
      <c r="AO21" s="78"/>
      <c r="AP21" s="78"/>
      <c r="AQ21" s="78"/>
      <c r="AR21" s="78"/>
      <c r="AS21" s="78"/>
    </row>
    <row r="22" spans="2:45" ht="15" customHeight="1" x14ac:dyDescent="0.25">
      <c r="B22" s="52" t="s">
        <v>35</v>
      </c>
      <c r="C22" s="72" t="s">
        <v>178</v>
      </c>
      <c r="D22" s="91"/>
      <c r="E22" s="73">
        <v>86.081000000000003</v>
      </c>
      <c r="F22" s="3">
        <v>0</v>
      </c>
      <c r="G22" s="73">
        <v>36.048999999999999</v>
      </c>
      <c r="H22" s="3">
        <v>0</v>
      </c>
      <c r="I22" s="73">
        <v>21.757999999999999</v>
      </c>
      <c r="J22" s="3">
        <v>0</v>
      </c>
      <c r="K22" s="73">
        <v>55.046999999999997</v>
      </c>
      <c r="L22" s="3">
        <v>0</v>
      </c>
      <c r="M22" s="73">
        <v>62.664999999999999</v>
      </c>
      <c r="N22" s="3">
        <v>0</v>
      </c>
      <c r="O22" s="73">
        <v>29.236000000000001</v>
      </c>
      <c r="P22" s="3">
        <v>0</v>
      </c>
      <c r="Q22" s="73">
        <v>37.911000000000001</v>
      </c>
      <c r="R22" s="3">
        <v>0</v>
      </c>
      <c r="S22" s="73">
        <v>81.424999999999997</v>
      </c>
      <c r="T22" s="3">
        <v>0</v>
      </c>
      <c r="U22" s="73">
        <v>52.1</v>
      </c>
      <c r="V22" s="3">
        <v>0</v>
      </c>
      <c r="W22" s="73">
        <v>28.651</v>
      </c>
      <c r="X22" s="3">
        <v>0</v>
      </c>
      <c r="Y22" s="73">
        <v>24.754000000000001</v>
      </c>
      <c r="Z22" s="3">
        <v>0</v>
      </c>
      <c r="AA22" s="73">
        <v>62.868000000000002</v>
      </c>
      <c r="AB22" s="3">
        <v>0</v>
      </c>
      <c r="AC22" s="73">
        <v>55.387</v>
      </c>
      <c r="AE22" s="73">
        <v>26.321999999999999</v>
      </c>
      <c r="AF22" s="3">
        <v>0</v>
      </c>
      <c r="AG22" s="73">
        <v>68.08</v>
      </c>
      <c r="AH22" s="3">
        <v>0</v>
      </c>
      <c r="AI22" s="73">
        <v>106.858</v>
      </c>
      <c r="AJ22" s="3">
        <v>0</v>
      </c>
      <c r="AK22" s="73">
        <v>157.279</v>
      </c>
      <c r="AM22" s="73">
        <v>27</v>
      </c>
      <c r="AN22" s="73"/>
      <c r="AO22" s="73"/>
      <c r="AP22" s="73"/>
      <c r="AQ22" s="73"/>
      <c r="AR22" s="73"/>
      <c r="AS22" s="73"/>
    </row>
    <row r="23" spans="2:45" ht="15" customHeight="1" x14ac:dyDescent="0.25">
      <c r="B23" s="48" t="s">
        <v>47</v>
      </c>
      <c r="C23" s="80"/>
      <c r="D23" s="91"/>
      <c r="E23" s="78">
        <v>0</v>
      </c>
      <c r="F23" s="3">
        <v>0</v>
      </c>
      <c r="G23" s="78">
        <v>0</v>
      </c>
      <c r="H23" s="3">
        <v>0</v>
      </c>
      <c r="I23" s="78">
        <v>0</v>
      </c>
      <c r="J23" s="3">
        <v>0</v>
      </c>
      <c r="K23" s="78">
        <v>0</v>
      </c>
      <c r="L23" s="3">
        <v>0</v>
      </c>
      <c r="M23" s="78">
        <v>0</v>
      </c>
      <c r="N23" s="3">
        <v>0</v>
      </c>
      <c r="O23" s="78">
        <v>0</v>
      </c>
      <c r="P23" s="3">
        <v>0</v>
      </c>
      <c r="Q23" s="78">
        <v>0</v>
      </c>
      <c r="R23" s="3">
        <v>0</v>
      </c>
      <c r="S23" s="78">
        <v>0</v>
      </c>
      <c r="T23" s="3">
        <v>0</v>
      </c>
      <c r="U23" s="78">
        <v>0</v>
      </c>
      <c r="V23" s="3">
        <v>0</v>
      </c>
      <c r="W23" s="78">
        <v>0</v>
      </c>
      <c r="X23" s="3">
        <v>0</v>
      </c>
      <c r="Y23" s="78">
        <v>0</v>
      </c>
      <c r="Z23" s="3">
        <v>0</v>
      </c>
      <c r="AA23" s="78">
        <v>0</v>
      </c>
      <c r="AB23" s="3">
        <v>0</v>
      </c>
      <c r="AC23" s="78">
        <v>0</v>
      </c>
      <c r="AE23" s="78">
        <v>0</v>
      </c>
      <c r="AF23" s="3">
        <v>0</v>
      </c>
      <c r="AG23" s="78">
        <v>0</v>
      </c>
      <c r="AH23" s="3">
        <v>0</v>
      </c>
      <c r="AI23" s="78">
        <v>0</v>
      </c>
      <c r="AJ23" s="3">
        <v>0</v>
      </c>
      <c r="AK23" s="78">
        <v>0</v>
      </c>
      <c r="AM23" s="78"/>
      <c r="AN23" s="78"/>
      <c r="AO23" s="78"/>
      <c r="AP23" s="78"/>
      <c r="AQ23" s="78"/>
      <c r="AR23" s="78"/>
      <c r="AS23" s="78"/>
    </row>
    <row r="24" spans="2:45" ht="15" customHeight="1" x14ac:dyDescent="0.25">
      <c r="B24" s="47" t="s">
        <v>70</v>
      </c>
      <c r="C24" s="50" t="s">
        <v>179</v>
      </c>
      <c r="D24" s="91"/>
      <c r="E24" s="73">
        <v>0</v>
      </c>
      <c r="F24" s="3">
        <v>0</v>
      </c>
      <c r="G24" s="73">
        <v>0</v>
      </c>
      <c r="H24" s="3">
        <v>0</v>
      </c>
      <c r="I24" s="73">
        <v>0</v>
      </c>
      <c r="J24" s="3">
        <v>0</v>
      </c>
      <c r="K24" s="73">
        <v>0</v>
      </c>
      <c r="L24" s="3">
        <v>0</v>
      </c>
      <c r="M24" s="73">
        <v>0</v>
      </c>
      <c r="N24" s="3">
        <v>0</v>
      </c>
      <c r="O24" s="73">
        <v>0</v>
      </c>
      <c r="P24" s="3">
        <v>0</v>
      </c>
      <c r="Q24" s="73">
        <v>0</v>
      </c>
      <c r="R24" s="3">
        <v>0</v>
      </c>
      <c r="S24" s="73">
        <v>0</v>
      </c>
      <c r="T24" s="3">
        <v>0</v>
      </c>
      <c r="U24" s="73">
        <v>0</v>
      </c>
      <c r="V24" s="3">
        <v>0</v>
      </c>
      <c r="W24" s="73">
        <v>0</v>
      </c>
      <c r="X24" s="3">
        <v>0</v>
      </c>
      <c r="Y24" s="73">
        <v>0</v>
      </c>
      <c r="Z24" s="3">
        <v>0</v>
      </c>
      <c r="AA24" s="73">
        <v>0</v>
      </c>
      <c r="AB24" s="3">
        <v>0</v>
      </c>
      <c r="AC24" s="73">
        <v>0</v>
      </c>
      <c r="AE24" s="73">
        <v>0</v>
      </c>
      <c r="AF24" s="3">
        <v>0</v>
      </c>
      <c r="AG24" s="73">
        <v>0</v>
      </c>
      <c r="AH24" s="3">
        <v>0</v>
      </c>
      <c r="AI24" s="73">
        <v>0</v>
      </c>
      <c r="AJ24" s="3">
        <v>0</v>
      </c>
      <c r="AK24" s="73">
        <v>0</v>
      </c>
      <c r="AM24" s="73"/>
      <c r="AN24" s="73"/>
      <c r="AO24" s="73"/>
      <c r="AP24" s="73"/>
      <c r="AQ24" s="73"/>
      <c r="AR24" s="73"/>
      <c r="AS24" s="73"/>
    </row>
    <row r="25" spans="2:45" ht="15" customHeight="1" x14ac:dyDescent="0.25">
      <c r="B25" s="55" t="s">
        <v>37</v>
      </c>
      <c r="C25" s="83" t="s">
        <v>180</v>
      </c>
      <c r="D25" s="93"/>
      <c r="E25" s="78">
        <v>571.947</v>
      </c>
      <c r="F25" s="3">
        <v>0</v>
      </c>
      <c r="G25" s="78">
        <v>190.69300000000001</v>
      </c>
      <c r="H25" s="3">
        <v>0</v>
      </c>
      <c r="I25" s="78">
        <v>145.107</v>
      </c>
      <c r="J25" s="3">
        <v>0</v>
      </c>
      <c r="K25" s="78">
        <v>313.00099999999998</v>
      </c>
      <c r="L25" s="3">
        <v>0</v>
      </c>
      <c r="M25" s="78">
        <v>532.84900000000005</v>
      </c>
      <c r="N25" s="3">
        <v>0</v>
      </c>
      <c r="O25" s="78">
        <v>210.607</v>
      </c>
      <c r="P25" s="3">
        <v>0</v>
      </c>
      <c r="Q25" s="78">
        <v>450.79899999999998</v>
      </c>
      <c r="R25" s="3">
        <v>0</v>
      </c>
      <c r="S25" s="78">
        <v>673.43</v>
      </c>
      <c r="T25" s="3">
        <v>0</v>
      </c>
      <c r="U25" s="78">
        <v>938.45799999999997</v>
      </c>
      <c r="V25" s="3">
        <v>0</v>
      </c>
      <c r="W25" s="78">
        <v>289.69400000000002</v>
      </c>
      <c r="X25" s="3">
        <v>0</v>
      </c>
      <c r="Y25" s="78">
        <v>545.34400000000005</v>
      </c>
      <c r="Z25" s="3">
        <v>0</v>
      </c>
      <c r="AA25" s="78">
        <v>660.62800000000004</v>
      </c>
      <c r="AB25" s="3">
        <v>0</v>
      </c>
      <c r="AC25" s="78">
        <v>936.91800000000001</v>
      </c>
      <c r="AE25" s="78">
        <v>188.69</v>
      </c>
      <c r="AF25" s="3">
        <v>0</v>
      </c>
      <c r="AG25" s="78">
        <v>575.05799999999999</v>
      </c>
      <c r="AH25" s="3">
        <v>0</v>
      </c>
      <c r="AI25" s="78">
        <v>835.98800000000006</v>
      </c>
      <c r="AJ25" s="3">
        <v>0</v>
      </c>
      <c r="AK25" s="78">
        <v>1324.222</v>
      </c>
      <c r="AM25" s="78">
        <v>504</v>
      </c>
      <c r="AN25" s="77"/>
      <c r="AO25" s="78"/>
      <c r="AP25" s="78"/>
      <c r="AQ25" s="78"/>
      <c r="AR25" s="78"/>
      <c r="AS25" s="78"/>
    </row>
    <row r="26" spans="2:45" ht="15" customHeight="1" x14ac:dyDescent="0.25">
      <c r="B26" s="56" t="s">
        <v>38</v>
      </c>
      <c r="C26" s="84" t="s">
        <v>181</v>
      </c>
      <c r="D26" s="93"/>
      <c r="E26" s="73">
        <v>-1360.41</v>
      </c>
      <c r="F26" s="3">
        <v>0</v>
      </c>
      <c r="G26" s="73">
        <v>-342.11099999999999</v>
      </c>
      <c r="H26" s="3">
        <v>0</v>
      </c>
      <c r="I26" s="73">
        <v>-785.54</v>
      </c>
      <c r="J26" s="3">
        <v>0</v>
      </c>
      <c r="K26" s="73">
        <v>-1088.7809999999999</v>
      </c>
      <c r="L26" s="3">
        <v>0</v>
      </c>
      <c r="M26" s="73">
        <v>-1630.903</v>
      </c>
      <c r="N26" s="3">
        <v>0</v>
      </c>
      <c r="O26" s="73">
        <v>-732.51599999999996</v>
      </c>
      <c r="P26" s="3">
        <v>0</v>
      </c>
      <c r="Q26" s="73">
        <v>-1314.8630000000001</v>
      </c>
      <c r="R26" s="3">
        <v>0</v>
      </c>
      <c r="S26" s="73">
        <v>-1807.184</v>
      </c>
      <c r="T26" s="3">
        <v>0</v>
      </c>
      <c r="U26" s="73">
        <v>-2346.8209999999999</v>
      </c>
      <c r="V26" s="3">
        <v>0</v>
      </c>
      <c r="W26" s="73">
        <v>-528.92600000000004</v>
      </c>
      <c r="X26" s="3">
        <v>0</v>
      </c>
      <c r="Y26" s="73">
        <v>-1091.9870000000001</v>
      </c>
      <c r="Z26" s="3">
        <v>0</v>
      </c>
      <c r="AA26" s="73">
        <v>-1450.867</v>
      </c>
      <c r="AB26" s="3">
        <v>0</v>
      </c>
      <c r="AC26" s="73">
        <v>-2034.5640000000001</v>
      </c>
      <c r="AE26" s="73">
        <v>-477.65600000000001</v>
      </c>
      <c r="AF26" s="3">
        <v>0</v>
      </c>
      <c r="AG26" s="73">
        <v>-981.81500000000005</v>
      </c>
      <c r="AH26" s="3">
        <v>0</v>
      </c>
      <c r="AI26" s="73">
        <v>-1619.279</v>
      </c>
      <c r="AJ26" s="3">
        <v>0</v>
      </c>
      <c r="AK26" s="73">
        <v>-2243.6790000000001</v>
      </c>
      <c r="AM26" s="73">
        <v>-916</v>
      </c>
      <c r="AN26" s="74"/>
      <c r="AO26" s="73"/>
      <c r="AP26" s="73"/>
      <c r="AQ26" s="73"/>
      <c r="AR26" s="73"/>
      <c r="AS26" s="73"/>
    </row>
    <row r="27" spans="2:45" ht="15" customHeight="1" x14ac:dyDescent="0.25">
      <c r="B27" s="55" t="s">
        <v>39</v>
      </c>
      <c r="C27" s="83" t="s">
        <v>182</v>
      </c>
      <c r="D27" s="93"/>
      <c r="E27" s="76">
        <v>-276.529</v>
      </c>
      <c r="F27" s="3">
        <v>0</v>
      </c>
      <c r="G27" s="76">
        <v>-140.501</v>
      </c>
      <c r="H27" s="3">
        <v>0</v>
      </c>
      <c r="I27" s="76">
        <v>36.725999999999999</v>
      </c>
      <c r="J27" s="3">
        <v>0</v>
      </c>
      <c r="K27" s="76">
        <v>-152.73400000000001</v>
      </c>
      <c r="L27" s="3">
        <v>0</v>
      </c>
      <c r="M27" s="76">
        <v>-397.65699999999998</v>
      </c>
      <c r="N27" s="3">
        <v>0</v>
      </c>
      <c r="O27" s="76">
        <v>230.92099999999999</v>
      </c>
      <c r="P27" s="3">
        <v>0</v>
      </c>
      <c r="Q27" s="76">
        <v>136.05000000000001</v>
      </c>
      <c r="R27" s="3">
        <v>0</v>
      </c>
      <c r="S27" s="76">
        <v>4.1760000000000002</v>
      </c>
      <c r="T27" s="3">
        <v>0</v>
      </c>
      <c r="U27" s="76">
        <v>112.938</v>
      </c>
      <c r="V27" s="3">
        <v>0</v>
      </c>
      <c r="W27" s="76">
        <v>57.63</v>
      </c>
      <c r="X27" s="3">
        <v>0</v>
      </c>
      <c r="Y27" s="76">
        <v>47.381999999999998</v>
      </c>
      <c r="Z27" s="3">
        <v>0</v>
      </c>
      <c r="AA27" s="76">
        <v>-67.808999999999997</v>
      </c>
      <c r="AB27" s="3">
        <v>0</v>
      </c>
      <c r="AC27" s="76">
        <v>98.057000000000002</v>
      </c>
      <c r="AE27" s="76">
        <v>-60.786000000000001</v>
      </c>
      <c r="AF27" s="3">
        <v>0</v>
      </c>
      <c r="AG27" s="76">
        <v>-304.01</v>
      </c>
      <c r="AH27" s="3">
        <v>0</v>
      </c>
      <c r="AI27" s="76">
        <v>-275.44499999999999</v>
      </c>
      <c r="AJ27" s="3">
        <v>0</v>
      </c>
      <c r="AK27" s="76">
        <v>-507.33199999999999</v>
      </c>
      <c r="AM27" s="76">
        <v>132</v>
      </c>
      <c r="AN27" s="77"/>
      <c r="AO27" s="76"/>
      <c r="AP27" s="78"/>
      <c r="AQ27" s="76"/>
      <c r="AR27" s="78"/>
      <c r="AS27" s="76"/>
    </row>
    <row r="28" spans="2:45" ht="15" customHeight="1" x14ac:dyDescent="0.25">
      <c r="C28" s="49"/>
      <c r="D28"/>
      <c r="E28" s="79">
        <f t="shared" ref="E28" si="51">SUM(E25:E27)</f>
        <v>-1064.9920000000002</v>
      </c>
      <c r="F28"/>
      <c r="G28" s="79">
        <f t="shared" ref="G28" si="52">SUM(G25:G27)</f>
        <v>-291.91899999999998</v>
      </c>
      <c r="H28"/>
      <c r="I28" s="79">
        <f t="shared" ref="I28" si="53">SUM(I25:I27)</f>
        <v>-603.70699999999999</v>
      </c>
      <c r="J28"/>
      <c r="K28" s="79">
        <f t="shared" ref="K28" si="54">SUM(K25:K27)</f>
        <v>-928.51400000000001</v>
      </c>
      <c r="M28" s="79">
        <f t="shared" ref="M28" si="55">SUM(M25:M27)</f>
        <v>-1495.711</v>
      </c>
      <c r="O28" s="79">
        <f t="shared" ref="O28" si="56">SUM(O25:O27)</f>
        <v>-290.988</v>
      </c>
      <c r="P28"/>
      <c r="Q28" s="79">
        <f t="shared" ref="Q28" si="57">SUM(Q25:Q27)</f>
        <v>-728.01400000000012</v>
      </c>
      <c r="R28"/>
      <c r="S28" s="79">
        <f t="shared" ref="S28" si="58">SUM(S25:S27)</f>
        <v>-1129.578</v>
      </c>
      <c r="U28" s="79">
        <f t="shared" ref="U28" si="59">SUM(U25:U27)</f>
        <v>-1295.4249999999997</v>
      </c>
      <c r="W28" s="79">
        <f t="shared" ref="W28" si="60">SUM(W25:W27)</f>
        <v>-181.60200000000003</v>
      </c>
      <c r="X28"/>
      <c r="Y28" s="79">
        <f t="shared" ref="Y28" si="61">SUM(Y25:Y27)</f>
        <v>-499.26100000000002</v>
      </c>
      <c r="Z28"/>
      <c r="AA28" s="79">
        <f t="shared" ref="AA28" si="62">SUM(AA25:AA27)</f>
        <v>-858.04799999999989</v>
      </c>
      <c r="AC28" s="79">
        <f t="shared" ref="AC28" si="63">SUM(AC25:AC27)</f>
        <v>-999.58900000000017</v>
      </c>
      <c r="AE28" s="79">
        <f t="shared" ref="AE28" si="64">SUM(AE25:AE27)</f>
        <v>-349.75200000000001</v>
      </c>
      <c r="AF28"/>
      <c r="AG28" s="79">
        <f t="shared" ref="AG28" si="65">SUM(AG25:AG27)</f>
        <v>-710.76700000000005</v>
      </c>
      <c r="AH28"/>
      <c r="AI28" s="79">
        <f t="shared" ref="AI28" si="66">SUM(AI25:AI27)</f>
        <v>-1058.7359999999999</v>
      </c>
      <c r="AK28" s="79">
        <f t="shared" ref="AK28" si="67">SUM(AK25:AK27)</f>
        <v>-1426.7890000000002</v>
      </c>
      <c r="AM28" s="79">
        <f>SUM(AM25:AM27)</f>
        <v>-280</v>
      </c>
      <c r="AN28" s="73"/>
      <c r="AO28" s="79">
        <f>SUM(AO25:AO27)</f>
        <v>0</v>
      </c>
      <c r="AP28" s="73"/>
      <c r="AQ28" s="79">
        <f>SUM(AQ25:AQ27)</f>
        <v>0</v>
      </c>
      <c r="AR28" s="73"/>
      <c r="AS28" s="79">
        <f>SUM(AS25:AS27)</f>
        <v>0</v>
      </c>
    </row>
    <row r="29" spans="2:45" ht="15" customHeight="1" x14ac:dyDescent="0.25">
      <c r="B29" s="57"/>
      <c r="C29" s="85"/>
      <c r="D29" s="93"/>
      <c r="E29" s="86">
        <v>0</v>
      </c>
      <c r="F29" s="3">
        <v>0</v>
      </c>
      <c r="G29" s="86">
        <v>0</v>
      </c>
      <c r="H29" s="3">
        <v>0</v>
      </c>
      <c r="I29" s="86">
        <v>0</v>
      </c>
      <c r="J29" s="3">
        <v>0</v>
      </c>
      <c r="K29" s="86">
        <v>0</v>
      </c>
      <c r="L29" s="3">
        <v>0</v>
      </c>
      <c r="M29" s="86">
        <v>0</v>
      </c>
      <c r="N29" s="3">
        <v>0</v>
      </c>
      <c r="O29" s="86">
        <v>0</v>
      </c>
      <c r="P29" s="3">
        <v>0</v>
      </c>
      <c r="Q29" s="86">
        <v>0</v>
      </c>
      <c r="R29" s="3">
        <v>0</v>
      </c>
      <c r="S29" s="86">
        <v>0</v>
      </c>
      <c r="T29" s="3">
        <v>0</v>
      </c>
      <c r="U29" s="86">
        <v>0</v>
      </c>
      <c r="V29" s="3">
        <v>0</v>
      </c>
      <c r="W29" s="86">
        <v>0</v>
      </c>
      <c r="X29" s="3">
        <v>0</v>
      </c>
      <c r="Y29" s="86">
        <v>0</v>
      </c>
      <c r="Z29" s="3">
        <v>0</v>
      </c>
      <c r="AA29" s="86">
        <v>0</v>
      </c>
      <c r="AB29" s="3">
        <v>0</v>
      </c>
      <c r="AC29" s="86">
        <v>0</v>
      </c>
      <c r="AE29" s="86">
        <v>0</v>
      </c>
      <c r="AF29" s="3">
        <v>0</v>
      </c>
      <c r="AG29" s="86">
        <v>0</v>
      </c>
      <c r="AH29" s="3">
        <v>0</v>
      </c>
      <c r="AI29" s="86">
        <v>0</v>
      </c>
      <c r="AJ29" s="3">
        <v>0</v>
      </c>
      <c r="AK29" s="86">
        <v>0</v>
      </c>
      <c r="AM29" s="86"/>
      <c r="AN29" s="86"/>
      <c r="AO29" s="86"/>
      <c r="AP29" s="86"/>
      <c r="AQ29" s="86"/>
      <c r="AR29" s="86"/>
      <c r="AS29" s="86"/>
    </row>
    <row r="30" spans="2:45" ht="15" customHeight="1" x14ac:dyDescent="0.25">
      <c r="B30" s="58" t="s">
        <v>40</v>
      </c>
      <c r="C30" s="87" t="s">
        <v>183</v>
      </c>
      <c r="D30" s="93"/>
      <c r="E30" s="79">
        <f>(SUM(E19,E22,E28))/1000</f>
        <v>1.0310719999999987</v>
      </c>
      <c r="F30" s="3">
        <v>0</v>
      </c>
      <c r="G30" s="79">
        <f>(SUM(G19,G22,G28))/1000</f>
        <v>0.2864340000000003</v>
      </c>
      <c r="H30"/>
      <c r="I30" s="79">
        <f t="shared" ref="I30:AK30" si="68">SUM(I19,I22,I28)</f>
        <v>1221.2469999999994</v>
      </c>
      <c r="J30"/>
      <c r="K30" s="79">
        <f t="shared" ref="K30:AK30" si="69">SUM(K19,K22,K28)</f>
        <v>2268.8455594600005</v>
      </c>
      <c r="M30" s="79">
        <f t="shared" ref="M30:AK30" si="70">SUM(M19,M22,M28)</f>
        <v>2200.110999999999</v>
      </c>
      <c r="O30" s="79">
        <f t="shared" ref="O30:AK30" si="71">SUM(O19,O22,O28)</f>
        <v>-319.37500000000006</v>
      </c>
      <c r="P30"/>
      <c r="Q30" s="79">
        <f t="shared" ref="Q30:AK30" si="72">SUM(Q19,Q22,Q28)</f>
        <v>150.23899999999981</v>
      </c>
      <c r="R30"/>
      <c r="S30" s="79">
        <f t="shared" ref="S30:AK30" si="73">SUM(S19,S22,S28)</f>
        <v>1080.0240000000003</v>
      </c>
      <c r="U30" s="79">
        <f t="shared" ref="U30:AK30" si="74">SUM(U19,U22,U28)</f>
        <v>1679.4360000000011</v>
      </c>
      <c r="W30" s="79">
        <f t="shared" ref="W30:AK30" si="75">SUM(W19,W22,W28)</f>
        <v>140.50400000000059</v>
      </c>
      <c r="X30"/>
      <c r="Y30" s="79">
        <f t="shared" ref="Y30:AK30" si="76">SUM(Y19,Y22,Y28)</f>
        <v>936.17100000000141</v>
      </c>
      <c r="Z30"/>
      <c r="AA30" s="79">
        <f t="shared" ref="AA30:AK30" si="77">SUM(AA19,AA22,AA28)</f>
        <v>2057.2660000000005</v>
      </c>
      <c r="AC30" s="79">
        <f t="shared" ref="AC30:AK30" si="78">SUM(AC19,AC22,AC28)</f>
        <v>2730.8010000000013</v>
      </c>
      <c r="AE30" s="79">
        <f t="shared" ref="AE30:AK30" si="79">SUM(AE19,AE22,AE28)</f>
        <v>-59.28599999999966</v>
      </c>
      <c r="AF30"/>
      <c r="AG30" s="79">
        <f t="shared" ref="AG30:AK30" si="80">SUM(AG19,AG22,AG28)</f>
        <v>625.0890000000004</v>
      </c>
      <c r="AH30"/>
      <c r="AI30" s="79">
        <f t="shared" ref="AI30:AK30" si="81">SUM(AI19,AI22,AI28)</f>
        <v>1762.9139999999993</v>
      </c>
      <c r="AK30" s="79">
        <f t="shared" ref="AK30" si="82">SUM(AK19,AK22,AK28)</f>
        <v>1400.2979999999998</v>
      </c>
      <c r="AM30" s="79">
        <f>SUM(AM19,AM22,AM28)</f>
        <v>-403</v>
      </c>
      <c r="AN30" s="73"/>
      <c r="AO30" s="79">
        <f>SUM(AO19,AO22,AO28)</f>
        <v>0</v>
      </c>
      <c r="AP30" s="73"/>
      <c r="AQ30" s="79">
        <f>SUM(AQ19,AQ22,AQ28)</f>
        <v>0</v>
      </c>
      <c r="AR30" s="73"/>
      <c r="AS30" s="79">
        <f>SUM(AS19,AS22,AS28)</f>
        <v>0</v>
      </c>
    </row>
    <row r="31" spans="2:45" ht="15" customHeight="1" x14ac:dyDescent="0.25">
      <c r="B31" s="48"/>
      <c r="C31" s="80"/>
      <c r="D31" s="91"/>
      <c r="E31" s="78">
        <v>0</v>
      </c>
      <c r="F31" s="3">
        <v>0</v>
      </c>
      <c r="G31" s="78">
        <v>0</v>
      </c>
      <c r="H31" s="3">
        <v>0</v>
      </c>
      <c r="I31" s="78">
        <v>0</v>
      </c>
      <c r="J31" s="3">
        <v>0</v>
      </c>
      <c r="K31" s="78">
        <v>0</v>
      </c>
      <c r="L31" s="3">
        <v>0</v>
      </c>
      <c r="M31" s="78">
        <v>0</v>
      </c>
      <c r="N31" s="3">
        <v>0</v>
      </c>
      <c r="O31" s="78">
        <v>0</v>
      </c>
      <c r="P31" s="3">
        <v>0</v>
      </c>
      <c r="Q31" s="78">
        <v>0</v>
      </c>
      <c r="R31" s="3">
        <v>0</v>
      </c>
      <c r="S31" s="78">
        <v>0</v>
      </c>
      <c r="T31" s="3">
        <v>0</v>
      </c>
      <c r="U31" s="78">
        <v>0</v>
      </c>
      <c r="V31" s="3">
        <v>0</v>
      </c>
      <c r="W31" s="78">
        <v>0</v>
      </c>
      <c r="X31" s="3">
        <v>0</v>
      </c>
      <c r="Y31" s="78">
        <v>0</v>
      </c>
      <c r="Z31" s="3">
        <v>0</v>
      </c>
      <c r="AA31" s="78">
        <v>0</v>
      </c>
      <c r="AB31" s="3">
        <v>0</v>
      </c>
      <c r="AC31" s="78">
        <v>0</v>
      </c>
      <c r="AE31" s="78">
        <v>0</v>
      </c>
      <c r="AF31" s="3">
        <v>0</v>
      </c>
      <c r="AG31" s="78">
        <v>0</v>
      </c>
      <c r="AH31" s="3">
        <v>0</v>
      </c>
      <c r="AI31" s="78">
        <v>0</v>
      </c>
      <c r="AJ31" s="3">
        <v>0</v>
      </c>
      <c r="AK31" s="78">
        <v>0</v>
      </c>
      <c r="AM31" s="78"/>
      <c r="AN31" s="78"/>
      <c r="AO31" s="78"/>
      <c r="AP31" s="78"/>
      <c r="AQ31" s="78"/>
      <c r="AR31" s="78"/>
      <c r="AS31" s="78"/>
    </row>
    <row r="32" spans="2:45" ht="15" customHeight="1" x14ac:dyDescent="0.25">
      <c r="B32" s="47" t="s">
        <v>41</v>
      </c>
      <c r="C32" s="50" t="s">
        <v>184</v>
      </c>
      <c r="D32" s="92"/>
      <c r="E32" s="73">
        <v>-558.61599999999999</v>
      </c>
      <c r="F32" s="3">
        <v>0</v>
      </c>
      <c r="G32" s="73">
        <v>-59.667999999999999</v>
      </c>
      <c r="H32" s="3">
        <v>0</v>
      </c>
      <c r="I32" s="73">
        <v>-302.88099999999997</v>
      </c>
      <c r="J32" s="3">
        <v>0</v>
      </c>
      <c r="K32" s="73">
        <v>-268.61255946</v>
      </c>
      <c r="L32" s="3">
        <v>0</v>
      </c>
      <c r="M32" s="73">
        <v>-573.399</v>
      </c>
      <c r="N32" s="3">
        <v>0</v>
      </c>
      <c r="O32" s="73">
        <v>2.8460000000000001</v>
      </c>
      <c r="P32" s="3">
        <v>0</v>
      </c>
      <c r="Q32" s="73">
        <v>-100.61</v>
      </c>
      <c r="R32" s="3">
        <v>0</v>
      </c>
      <c r="S32" s="73">
        <v>-426.35700000000003</v>
      </c>
      <c r="T32" s="3">
        <v>0</v>
      </c>
      <c r="U32" s="73">
        <v>-533.98199999999997</v>
      </c>
      <c r="V32" s="3">
        <v>0</v>
      </c>
      <c r="W32" s="73">
        <v>-62.247</v>
      </c>
      <c r="X32" s="3">
        <v>0</v>
      </c>
      <c r="Y32" s="73">
        <v>-387.87099999999998</v>
      </c>
      <c r="Z32" s="3">
        <v>0</v>
      </c>
      <c r="AA32" s="73">
        <v>-685.36599999999999</v>
      </c>
      <c r="AB32" s="3">
        <v>0</v>
      </c>
      <c r="AC32" s="73">
        <v>-301.03899999999999</v>
      </c>
      <c r="AE32" s="73">
        <v>76.774000000000001</v>
      </c>
      <c r="AF32" s="3">
        <v>0</v>
      </c>
      <c r="AG32" s="73">
        <v>-92.667000000000002</v>
      </c>
      <c r="AH32" s="3">
        <v>0</v>
      </c>
      <c r="AI32" s="73">
        <v>-399.13400000000001</v>
      </c>
      <c r="AJ32" s="3">
        <v>0</v>
      </c>
      <c r="AK32" s="73">
        <v>-545.08100000000002</v>
      </c>
      <c r="AM32" s="73">
        <v>82</v>
      </c>
      <c r="AN32" s="73"/>
      <c r="AO32" s="73"/>
      <c r="AP32" s="73"/>
      <c r="AQ32" s="73"/>
      <c r="AR32" s="73"/>
      <c r="AS32" s="73"/>
    </row>
    <row r="33" spans="2:45" ht="15" customHeight="1" x14ac:dyDescent="0.25">
      <c r="B33" s="53"/>
      <c r="C33" s="75"/>
      <c r="D33" s="91"/>
      <c r="E33" s="78">
        <v>0</v>
      </c>
      <c r="F33" s="3">
        <v>0</v>
      </c>
      <c r="G33" s="78">
        <v>0</v>
      </c>
      <c r="H33" s="3">
        <v>0</v>
      </c>
      <c r="I33" s="78">
        <v>0</v>
      </c>
      <c r="J33" s="3">
        <v>0</v>
      </c>
      <c r="K33" s="78">
        <v>0</v>
      </c>
      <c r="L33" s="3">
        <v>0</v>
      </c>
      <c r="M33" s="78">
        <v>0</v>
      </c>
      <c r="N33" s="3">
        <v>0</v>
      </c>
      <c r="O33" s="78">
        <v>0</v>
      </c>
      <c r="P33" s="3">
        <v>0</v>
      </c>
      <c r="Q33" s="78">
        <v>0</v>
      </c>
      <c r="R33" s="3">
        <v>0</v>
      </c>
      <c r="S33" s="78">
        <v>0</v>
      </c>
      <c r="T33" s="3">
        <v>0</v>
      </c>
      <c r="U33" s="78">
        <v>0</v>
      </c>
      <c r="V33" s="3">
        <v>0</v>
      </c>
      <c r="W33" s="78">
        <v>0</v>
      </c>
      <c r="X33" s="3">
        <v>0</v>
      </c>
      <c r="Y33" s="78">
        <v>0</v>
      </c>
      <c r="Z33" s="3">
        <v>0</v>
      </c>
      <c r="AA33" s="78">
        <v>0</v>
      </c>
      <c r="AB33" s="3">
        <v>0</v>
      </c>
      <c r="AC33" s="78">
        <v>0</v>
      </c>
      <c r="AE33" s="78">
        <v>0</v>
      </c>
      <c r="AF33" s="3">
        <v>0</v>
      </c>
      <c r="AG33" s="78">
        <v>0</v>
      </c>
      <c r="AH33" s="3">
        <v>0</v>
      </c>
      <c r="AI33" s="78">
        <v>0</v>
      </c>
      <c r="AJ33" s="3">
        <v>0</v>
      </c>
      <c r="AK33" s="78">
        <v>0</v>
      </c>
      <c r="AM33" s="78"/>
      <c r="AN33" s="78"/>
      <c r="AO33" s="78"/>
      <c r="AP33" s="78"/>
      <c r="AQ33" s="78"/>
      <c r="AR33" s="78"/>
      <c r="AS33" s="78"/>
    </row>
    <row r="34" spans="2:45" ht="15" customHeight="1" thickBot="1" x14ac:dyDescent="0.3">
      <c r="B34" s="47" t="s">
        <v>288</v>
      </c>
      <c r="C34" s="50" t="s">
        <v>185</v>
      </c>
      <c r="D34"/>
      <c r="E34" s="88">
        <f t="shared" ref="E34:AK34" si="83">SUM(E30,E32)</f>
        <v>-557.58492799999999</v>
      </c>
      <c r="F34"/>
      <c r="G34" s="88">
        <f t="shared" ref="G34:AK34" si="84">SUM(G30,G32)</f>
        <v>-59.381565999999999</v>
      </c>
      <c r="H34"/>
      <c r="I34" s="88">
        <f t="shared" ref="I34:AK34" si="85">SUM(I30,I32)</f>
        <v>918.36599999999942</v>
      </c>
      <c r="J34"/>
      <c r="K34" s="88">
        <f t="shared" ref="K34:AK34" si="86">SUM(K30,K32)</f>
        <v>2000.2330000000004</v>
      </c>
      <c r="M34" s="88">
        <f t="shared" ref="M34:AK34" si="87">SUM(M30,M32)</f>
        <v>1626.7119999999991</v>
      </c>
      <c r="O34" s="88">
        <f t="shared" ref="O34:AK34" si="88">SUM(O30,O32)</f>
        <v>-316.52900000000005</v>
      </c>
      <c r="P34"/>
      <c r="Q34" s="88">
        <f t="shared" ref="Q34:AK34" si="89">SUM(Q30,Q32)</f>
        <v>49.628999999999806</v>
      </c>
      <c r="R34"/>
      <c r="S34" s="88">
        <f t="shared" ref="S34:AK34" si="90">SUM(S30,S32)</f>
        <v>653.66700000000037</v>
      </c>
      <c r="U34" s="88">
        <f t="shared" ref="U34:AK34" si="91">SUM(U30,U32)</f>
        <v>1145.4540000000011</v>
      </c>
      <c r="W34" s="88">
        <f t="shared" ref="W34:AK34" si="92">SUM(W30,W32)</f>
        <v>78.257000000000588</v>
      </c>
      <c r="X34"/>
      <c r="Y34" s="88">
        <f t="shared" ref="Y34:AK34" si="93">SUM(Y30,Y32)</f>
        <v>548.30000000000143</v>
      </c>
      <c r="Z34"/>
      <c r="AA34" s="88">
        <f t="shared" ref="AA34:AK34" si="94">SUM(AA30,AA32)</f>
        <v>1371.9000000000005</v>
      </c>
      <c r="AC34" s="88">
        <f t="shared" ref="AC34:AK34" si="95">SUM(AC30,AC32)</f>
        <v>2429.7620000000015</v>
      </c>
      <c r="AE34" s="88">
        <f t="shared" ref="AE34:AK34" si="96">SUM(AE30,AE32)</f>
        <v>17.488000000000341</v>
      </c>
      <c r="AF34"/>
      <c r="AG34" s="88">
        <f t="shared" ref="AG34:AK34" si="97">SUM(AG30,AG32)</f>
        <v>532.42200000000037</v>
      </c>
      <c r="AH34"/>
      <c r="AI34" s="88">
        <f t="shared" ref="AI34:AK34" si="98">SUM(AI30,AI32)</f>
        <v>1363.7799999999993</v>
      </c>
      <c r="AK34" s="88">
        <f t="shared" ref="AK34" si="99">SUM(AK30,AK32)</f>
        <v>855.21699999999976</v>
      </c>
      <c r="AM34" s="88">
        <f>SUM(AM30,AM32)</f>
        <v>-321</v>
      </c>
      <c r="AN34" s="73"/>
      <c r="AO34" s="88">
        <f>SUM(AO30,AO32)</f>
        <v>0</v>
      </c>
      <c r="AP34" s="73"/>
      <c r="AQ34" s="88">
        <f>SUM(AQ30,AQ32)</f>
        <v>0</v>
      </c>
      <c r="AR34" s="73"/>
      <c r="AS34" s="88">
        <f>SUM(AS30,AS32)</f>
        <v>0</v>
      </c>
    </row>
    <row r="35" spans="2:45" ht="15" customHeight="1" thickTop="1" x14ac:dyDescent="0.25">
      <c r="B35" s="47"/>
      <c r="C35" s="50"/>
      <c r="D35" s="91"/>
      <c r="E35" s="73">
        <v>0</v>
      </c>
      <c r="F35" s="3">
        <v>0</v>
      </c>
      <c r="G35" s="73">
        <v>0</v>
      </c>
      <c r="H35" s="3">
        <v>0</v>
      </c>
      <c r="I35" s="73">
        <v>0</v>
      </c>
      <c r="J35" s="3">
        <v>0</v>
      </c>
      <c r="K35" s="73">
        <v>0</v>
      </c>
      <c r="L35" s="3">
        <v>0</v>
      </c>
      <c r="M35" s="73">
        <v>0</v>
      </c>
      <c r="N35" s="3">
        <v>0</v>
      </c>
      <c r="O35" s="73">
        <v>0</v>
      </c>
      <c r="P35" s="3">
        <v>0</v>
      </c>
      <c r="Q35" s="73">
        <v>0</v>
      </c>
      <c r="R35" s="3">
        <v>0</v>
      </c>
      <c r="S35" s="73">
        <v>0</v>
      </c>
      <c r="T35" s="3">
        <v>0</v>
      </c>
      <c r="U35" s="73">
        <v>0</v>
      </c>
      <c r="V35" s="3">
        <v>0</v>
      </c>
      <c r="W35" s="73">
        <v>0</v>
      </c>
      <c r="X35" s="3">
        <v>0</v>
      </c>
      <c r="Y35" s="73">
        <v>0</v>
      </c>
      <c r="Z35" s="3">
        <v>0</v>
      </c>
      <c r="AA35" s="73">
        <v>0</v>
      </c>
      <c r="AB35" s="3">
        <v>0</v>
      </c>
      <c r="AC35" s="73">
        <v>0</v>
      </c>
      <c r="AE35" s="73"/>
      <c r="AF35" s="73"/>
      <c r="AG35" s="73"/>
      <c r="AH35" s="73"/>
      <c r="AI35" s="73"/>
      <c r="AJ35" s="73"/>
      <c r="AK35" s="73"/>
      <c r="AM35" s="73"/>
      <c r="AN35" s="73"/>
      <c r="AO35" s="73"/>
      <c r="AP35" s="73"/>
      <c r="AQ35" s="73"/>
      <c r="AR35" s="73"/>
      <c r="AS35" s="73"/>
    </row>
    <row r="36" spans="2:45" ht="15" customHeight="1" x14ac:dyDescent="0.25">
      <c r="B36" s="51" t="s">
        <v>287</v>
      </c>
      <c r="C36" s="81"/>
      <c r="D36" s="124"/>
      <c r="E36" s="78">
        <v>0</v>
      </c>
      <c r="F36" s="3">
        <v>0</v>
      </c>
      <c r="G36" s="78">
        <v>0</v>
      </c>
      <c r="H36" s="3">
        <v>0</v>
      </c>
      <c r="I36" s="78">
        <v>0</v>
      </c>
      <c r="J36" s="3">
        <v>0</v>
      </c>
      <c r="K36" s="78">
        <v>0</v>
      </c>
      <c r="L36" s="3">
        <v>0</v>
      </c>
      <c r="M36" s="78">
        <v>0</v>
      </c>
      <c r="N36" s="3">
        <v>0</v>
      </c>
      <c r="O36" s="78">
        <v>0</v>
      </c>
      <c r="P36" s="3">
        <v>0</v>
      </c>
      <c r="Q36" s="78">
        <v>0</v>
      </c>
      <c r="R36" s="3">
        <v>0</v>
      </c>
      <c r="S36" s="78">
        <v>0</v>
      </c>
      <c r="T36" s="3">
        <v>0</v>
      </c>
      <c r="U36" s="78">
        <v>0</v>
      </c>
      <c r="V36" s="3">
        <v>0</v>
      </c>
      <c r="W36" s="78">
        <v>0</v>
      </c>
      <c r="X36" s="3">
        <v>0</v>
      </c>
      <c r="Y36" s="78">
        <v>0</v>
      </c>
      <c r="Z36" s="3">
        <v>0</v>
      </c>
      <c r="AA36" s="78">
        <v>0</v>
      </c>
      <c r="AB36" s="3">
        <v>0</v>
      </c>
      <c r="AC36" s="78">
        <v>188.11799999999999</v>
      </c>
      <c r="AD36" s="122"/>
      <c r="AE36" s="78"/>
      <c r="AF36" s="78"/>
      <c r="AG36" s="78"/>
      <c r="AH36" s="78"/>
      <c r="AI36" s="78">
        <f>189414/1000</f>
        <v>189.41399999999999</v>
      </c>
      <c r="AJ36" s="78"/>
      <c r="AK36" s="78">
        <f>218479/1000</f>
        <v>218.47900000000001</v>
      </c>
      <c r="AM36" s="78">
        <v>-4</v>
      </c>
      <c r="AN36" s="78"/>
      <c r="AO36" s="78"/>
      <c r="AP36" s="78"/>
      <c r="AQ36" s="78"/>
      <c r="AR36" s="78"/>
      <c r="AS36" s="78"/>
    </row>
    <row r="37" spans="2:45" s="109" customFormat="1" ht="15" customHeight="1" x14ac:dyDescent="0.25">
      <c r="B37" s="111"/>
      <c r="C37" s="112"/>
      <c r="D37" s="113"/>
      <c r="E37" s="114">
        <v>0</v>
      </c>
      <c r="F37" s="3">
        <v>0</v>
      </c>
      <c r="G37" s="114">
        <v>0</v>
      </c>
      <c r="H37" s="3">
        <v>0</v>
      </c>
      <c r="I37" s="114">
        <v>0</v>
      </c>
      <c r="J37" s="3">
        <v>0</v>
      </c>
      <c r="K37" s="114">
        <v>0</v>
      </c>
      <c r="L37" s="3">
        <v>0</v>
      </c>
      <c r="M37" s="114">
        <v>0</v>
      </c>
      <c r="N37" s="3">
        <v>0</v>
      </c>
      <c r="O37" s="114">
        <v>0</v>
      </c>
      <c r="P37" s="3">
        <v>0</v>
      </c>
      <c r="Q37" s="114">
        <v>0</v>
      </c>
      <c r="R37" s="3">
        <v>0</v>
      </c>
      <c r="S37" s="114">
        <v>0</v>
      </c>
      <c r="T37" s="3">
        <v>0</v>
      </c>
      <c r="U37" s="114">
        <v>0</v>
      </c>
      <c r="V37" s="3">
        <v>0</v>
      </c>
      <c r="W37" s="114">
        <v>0</v>
      </c>
      <c r="X37" s="3">
        <v>0</v>
      </c>
      <c r="Y37" s="114">
        <v>0</v>
      </c>
      <c r="Z37" s="3">
        <v>0</v>
      </c>
      <c r="AA37" s="114">
        <v>0</v>
      </c>
      <c r="AB37" s="3">
        <v>0</v>
      </c>
      <c r="AC37" s="114">
        <v>0</v>
      </c>
      <c r="AE37" s="114"/>
      <c r="AF37" s="114"/>
      <c r="AG37" s="114"/>
      <c r="AH37" s="114"/>
      <c r="AI37" s="114"/>
      <c r="AJ37" s="114"/>
      <c r="AK37" s="114"/>
      <c r="AM37" s="114"/>
      <c r="AN37" s="114"/>
      <c r="AO37" s="114"/>
      <c r="AP37" s="114"/>
      <c r="AQ37" s="114"/>
      <c r="AR37" s="114"/>
      <c r="AS37" s="114"/>
    </row>
    <row r="38" spans="2:45" s="109" customFormat="1" ht="15" customHeight="1" thickBot="1" x14ac:dyDescent="0.3">
      <c r="B38" s="47" t="s">
        <v>44</v>
      </c>
      <c r="C38" s="50" t="s">
        <v>185</v>
      </c>
      <c r="D38" s="91"/>
      <c r="E38" s="88">
        <f>SUM(E34,E36)</f>
        <v>-557.58492799999999</v>
      </c>
      <c r="F38" s="3">
        <v>0</v>
      </c>
      <c r="G38" s="88">
        <f>SUM(G34,G36)</f>
        <v>-59.381565999999999</v>
      </c>
      <c r="H38" s="3">
        <v>0</v>
      </c>
      <c r="I38" s="88">
        <f>SUM(I34,I36)</f>
        <v>918.36599999999942</v>
      </c>
      <c r="J38" s="3">
        <v>0</v>
      </c>
      <c r="K38" s="88">
        <f>SUM(K34,K36)</f>
        <v>2000.2330000000004</v>
      </c>
      <c r="L38" s="3">
        <v>0</v>
      </c>
      <c r="M38" s="88">
        <f>SUM(M34,M36)</f>
        <v>1626.7119999999991</v>
      </c>
      <c r="N38" s="3">
        <v>0</v>
      </c>
      <c r="O38" s="88">
        <f>SUM(O34,O36)</f>
        <v>-316.52900000000005</v>
      </c>
      <c r="P38" s="3">
        <v>0</v>
      </c>
      <c r="Q38" s="88">
        <f>SUM(Q34,Q36)</f>
        <v>49.628999999999806</v>
      </c>
      <c r="R38" s="3">
        <v>0</v>
      </c>
      <c r="S38" s="88">
        <f>SUM(S34,S36)</f>
        <v>653.66700000000037</v>
      </c>
      <c r="T38" s="3">
        <v>0</v>
      </c>
      <c r="U38" s="88">
        <f>SUM(U34,U36)</f>
        <v>1145.4540000000011</v>
      </c>
      <c r="V38" s="3">
        <v>0</v>
      </c>
      <c r="W38" s="88">
        <f>SUM(W34,W36)</f>
        <v>78.257000000000588</v>
      </c>
      <c r="X38" s="3">
        <v>0</v>
      </c>
      <c r="Y38" s="88">
        <f>SUM(Y34,Y36)</f>
        <v>548.30000000000143</v>
      </c>
      <c r="Z38" s="3">
        <v>0</v>
      </c>
      <c r="AA38" s="88">
        <f>SUM(AA34,AA36)</f>
        <v>1371.9000000000005</v>
      </c>
      <c r="AB38" s="3">
        <v>0</v>
      </c>
      <c r="AC38" s="88">
        <f>SUM(AC34,AC36)</f>
        <v>2617.8800000000015</v>
      </c>
      <c r="AD38"/>
      <c r="AE38" s="88">
        <f>SUM(AE34,AE36)</f>
        <v>17.488000000000341</v>
      </c>
      <c r="AF38" s="73"/>
      <c r="AG38" s="88">
        <f>SUM(AG34,AG36)</f>
        <v>532.42200000000037</v>
      </c>
      <c r="AH38" s="73"/>
      <c r="AI38" s="88">
        <f>SUM(AI34,AI36)</f>
        <v>1553.1939999999993</v>
      </c>
      <c r="AJ38" s="73"/>
      <c r="AK38" s="88">
        <f>SUM(AK34,AK36)</f>
        <v>1073.6959999999997</v>
      </c>
      <c r="AM38" s="88">
        <f>SUM(AM34,AM36)</f>
        <v>-325</v>
      </c>
      <c r="AN38" s="73"/>
      <c r="AO38" s="88">
        <f>SUM(AO34,AO36)</f>
        <v>0</v>
      </c>
      <c r="AP38" s="73"/>
      <c r="AQ38" s="88">
        <f>SUM(AQ34,AQ36)</f>
        <v>0</v>
      </c>
      <c r="AR38" s="73"/>
      <c r="AS38" s="88">
        <f>SUM(AS34,AS36)</f>
        <v>0</v>
      </c>
    </row>
    <row r="39" spans="2:45" s="109" customFormat="1" ht="15" customHeight="1" thickTop="1" x14ac:dyDescent="0.25">
      <c r="B39" s="47"/>
      <c r="C39" s="50"/>
      <c r="D39" s="91"/>
      <c r="E39" s="73">
        <v>0</v>
      </c>
      <c r="F39" s="3">
        <v>0</v>
      </c>
      <c r="G39" s="73">
        <v>0</v>
      </c>
      <c r="H39" s="3">
        <v>0</v>
      </c>
      <c r="I39" s="73">
        <v>0</v>
      </c>
      <c r="J39" s="3">
        <v>0</v>
      </c>
      <c r="K39" s="73">
        <v>0</v>
      </c>
      <c r="L39" s="3">
        <v>0</v>
      </c>
      <c r="M39" s="73">
        <v>0</v>
      </c>
      <c r="N39" s="3">
        <v>0</v>
      </c>
      <c r="O39" s="73">
        <v>0</v>
      </c>
      <c r="P39" s="3">
        <v>0</v>
      </c>
      <c r="Q39" s="73">
        <v>0</v>
      </c>
      <c r="R39" s="3">
        <v>0</v>
      </c>
      <c r="S39" s="73">
        <v>0</v>
      </c>
      <c r="T39" s="3">
        <v>0</v>
      </c>
      <c r="U39" s="73">
        <v>0</v>
      </c>
      <c r="V39" s="3">
        <v>0</v>
      </c>
      <c r="W39" s="73">
        <v>0</v>
      </c>
      <c r="X39" s="3">
        <v>0</v>
      </c>
      <c r="Y39" s="73">
        <v>0</v>
      </c>
      <c r="Z39" s="3">
        <v>0</v>
      </c>
      <c r="AA39" s="73">
        <v>0</v>
      </c>
      <c r="AB39" s="3">
        <v>0</v>
      </c>
      <c r="AC39" s="73">
        <v>0</v>
      </c>
      <c r="AD39"/>
      <c r="AE39" s="73"/>
      <c r="AF39" s="73"/>
      <c r="AG39" s="73"/>
      <c r="AH39" s="73"/>
      <c r="AI39" s="73"/>
      <c r="AJ39" s="73"/>
      <c r="AK39" s="73"/>
      <c r="AM39" s="73"/>
      <c r="AN39" s="73"/>
      <c r="AO39" s="73"/>
      <c r="AP39" s="73"/>
      <c r="AQ39" s="73"/>
      <c r="AR39" s="73"/>
      <c r="AS39" s="73"/>
    </row>
    <row r="40" spans="2:45" s="109" customFormat="1" ht="15" customHeight="1" x14ac:dyDescent="0.25">
      <c r="B40" s="125" t="s">
        <v>289</v>
      </c>
      <c r="C40" s="126" t="s">
        <v>186</v>
      </c>
      <c r="D40" s="113"/>
      <c r="E40" s="114">
        <v>0</v>
      </c>
      <c r="F40" s="3">
        <v>0</v>
      </c>
      <c r="G40" s="114">
        <v>0</v>
      </c>
      <c r="H40" s="3">
        <v>0</v>
      </c>
      <c r="I40" s="114">
        <v>0</v>
      </c>
      <c r="J40" s="3">
        <v>0</v>
      </c>
      <c r="K40" s="114">
        <v>0</v>
      </c>
      <c r="L40" s="3">
        <v>0</v>
      </c>
      <c r="M40" s="114">
        <v>0</v>
      </c>
      <c r="N40" s="3">
        <v>0</v>
      </c>
      <c r="O40" s="114">
        <v>0</v>
      </c>
      <c r="P40" s="3">
        <v>0</v>
      </c>
      <c r="Q40" s="114">
        <v>0</v>
      </c>
      <c r="R40" s="3">
        <v>0</v>
      </c>
      <c r="S40" s="114">
        <v>0</v>
      </c>
      <c r="T40" s="3">
        <v>0</v>
      </c>
      <c r="U40" s="114">
        <v>0</v>
      </c>
      <c r="V40" s="3">
        <v>0</v>
      </c>
      <c r="W40" s="114">
        <v>0</v>
      </c>
      <c r="X40" s="3">
        <v>0</v>
      </c>
      <c r="Y40" s="114">
        <v>0</v>
      </c>
      <c r="Z40" s="3">
        <v>0</v>
      </c>
      <c r="AA40" s="114">
        <v>0</v>
      </c>
      <c r="AB40" s="3">
        <v>0</v>
      </c>
      <c r="AC40" s="114">
        <v>0</v>
      </c>
      <c r="AE40" s="114"/>
      <c r="AF40" s="114"/>
      <c r="AG40" s="114"/>
      <c r="AH40" s="114"/>
      <c r="AI40" s="114"/>
      <c r="AJ40" s="114"/>
      <c r="AK40" s="114"/>
      <c r="AM40" s="114"/>
      <c r="AN40" s="114"/>
      <c r="AO40" s="114"/>
      <c r="AP40" s="114"/>
      <c r="AQ40" s="114"/>
      <c r="AR40" s="114"/>
      <c r="AS40" s="114"/>
    </row>
    <row r="41" spans="2:45" ht="15" customHeight="1" x14ac:dyDescent="0.25">
      <c r="B41" s="53" t="s">
        <v>71</v>
      </c>
      <c r="C41" s="75" t="s">
        <v>187</v>
      </c>
      <c r="D41" s="124"/>
      <c r="E41" s="78">
        <v>427.88900000000001</v>
      </c>
      <c r="F41" s="3">
        <v>0</v>
      </c>
      <c r="G41" s="78">
        <v>183.39</v>
      </c>
      <c r="H41" s="3">
        <v>0</v>
      </c>
      <c r="I41" s="78">
        <v>802.73099999999999</v>
      </c>
      <c r="J41" s="3">
        <v>0</v>
      </c>
      <c r="K41" s="78">
        <v>1765.67</v>
      </c>
      <c r="L41" s="3">
        <v>0</v>
      </c>
      <c r="M41" s="78">
        <v>1343.6489999999999</v>
      </c>
      <c r="N41" s="3">
        <v>0</v>
      </c>
      <c r="O41" s="78">
        <v>-271.84199999999998</v>
      </c>
      <c r="P41" s="3">
        <v>0</v>
      </c>
      <c r="Q41" s="78">
        <v>33.793999999999997</v>
      </c>
      <c r="R41" s="3">
        <v>0</v>
      </c>
      <c r="S41" s="78">
        <v>552.74099999999999</v>
      </c>
      <c r="T41" s="3">
        <v>0</v>
      </c>
      <c r="U41" s="78">
        <v>999.28700000000003</v>
      </c>
      <c r="V41" s="3">
        <v>0</v>
      </c>
      <c r="W41" s="78">
        <v>106.96</v>
      </c>
      <c r="X41" s="3">
        <v>0</v>
      </c>
      <c r="Y41" s="78">
        <v>516.38199999999995</v>
      </c>
      <c r="Z41" s="3">
        <v>0</v>
      </c>
      <c r="AA41" s="78">
        <v>1268.5260000000001</v>
      </c>
      <c r="AB41" s="3">
        <v>0</v>
      </c>
      <c r="AC41" s="78">
        <v>2283.9740000000002</v>
      </c>
      <c r="AD41" s="122"/>
      <c r="AE41" s="78">
        <f>42055/1000</f>
        <v>42.055</v>
      </c>
      <c r="AF41" s="78"/>
      <c r="AG41" s="78">
        <f>515394/1000</f>
        <v>515.39400000000001</v>
      </c>
      <c r="AH41" s="78"/>
      <c r="AI41" s="78">
        <f>1284036/1000</f>
        <v>1284.0360000000001</v>
      </c>
      <c r="AJ41" s="78"/>
      <c r="AK41" s="78">
        <f>723515/1000</f>
        <v>723.51499999999999</v>
      </c>
      <c r="AM41" s="78">
        <v>-309</v>
      </c>
      <c r="AN41" s="78"/>
      <c r="AO41" s="78"/>
      <c r="AP41" s="78"/>
      <c r="AQ41" s="78"/>
      <c r="AR41" s="78"/>
      <c r="AS41" s="78"/>
    </row>
    <row r="42" spans="2:45" ht="15" customHeight="1" x14ac:dyDescent="0.25">
      <c r="B42" s="117" t="s">
        <v>72</v>
      </c>
      <c r="C42" s="118" t="s">
        <v>165</v>
      </c>
      <c r="D42" s="119"/>
      <c r="E42" s="127">
        <v>44.567</v>
      </c>
      <c r="F42" s="3">
        <v>0</v>
      </c>
      <c r="G42" s="127">
        <v>43.375999999999998</v>
      </c>
      <c r="H42" s="3">
        <v>0</v>
      </c>
      <c r="I42" s="127">
        <v>115.63500000000001</v>
      </c>
      <c r="J42" s="3">
        <v>0</v>
      </c>
      <c r="K42" s="127">
        <v>234.56299999999999</v>
      </c>
      <c r="L42" s="3">
        <v>0</v>
      </c>
      <c r="M42" s="127">
        <v>283.06299999999999</v>
      </c>
      <c r="N42" s="3">
        <v>0</v>
      </c>
      <c r="O42" s="127">
        <v>-44.686999999999998</v>
      </c>
      <c r="P42" s="3">
        <v>0</v>
      </c>
      <c r="Q42" s="127">
        <v>15.835000000000001</v>
      </c>
      <c r="R42" s="3">
        <v>0</v>
      </c>
      <c r="S42" s="127">
        <v>100.926</v>
      </c>
      <c r="T42" s="3">
        <v>0</v>
      </c>
      <c r="U42" s="127">
        <v>146.167</v>
      </c>
      <c r="V42" s="3">
        <v>0</v>
      </c>
      <c r="W42" s="127">
        <v>-28.702999999999999</v>
      </c>
      <c r="X42" s="3">
        <v>0</v>
      </c>
      <c r="Y42" s="127">
        <v>31.917999999999999</v>
      </c>
      <c r="Z42" s="3">
        <v>0</v>
      </c>
      <c r="AA42" s="127">
        <v>103.374</v>
      </c>
      <c r="AB42" s="3">
        <v>0</v>
      </c>
      <c r="AC42" s="127">
        <v>145.78800000000001</v>
      </c>
      <c r="AD42" s="109"/>
      <c r="AE42" s="127">
        <f>-24567/1000</f>
        <v>-24.567</v>
      </c>
      <c r="AF42" s="114"/>
      <c r="AG42" s="127">
        <f>17028/1000</f>
        <v>17.027999999999999</v>
      </c>
      <c r="AH42" s="114"/>
      <c r="AI42" s="127">
        <f>79744/1000</f>
        <v>79.744</v>
      </c>
      <c r="AJ42" s="114"/>
      <c r="AK42" s="127">
        <f>131702/1000</f>
        <v>131.702</v>
      </c>
      <c r="AM42" s="127">
        <v>13</v>
      </c>
      <c r="AN42" s="114"/>
      <c r="AO42" s="127"/>
      <c r="AP42" s="114"/>
      <c r="AQ42" s="127"/>
      <c r="AR42" s="114"/>
      <c r="AS42" s="127"/>
    </row>
    <row r="43" spans="2:45" ht="15" customHeight="1" x14ac:dyDescent="0.25">
      <c r="B43" s="117"/>
      <c r="C43" s="118"/>
      <c r="D43" s="119"/>
      <c r="E43" s="114">
        <v>0</v>
      </c>
      <c r="F43" s="3">
        <v>0</v>
      </c>
      <c r="G43" s="114">
        <v>0</v>
      </c>
      <c r="H43" s="3">
        <v>0</v>
      </c>
      <c r="I43" s="114">
        <v>0</v>
      </c>
      <c r="J43" s="3">
        <v>0</v>
      </c>
      <c r="K43" s="114">
        <v>0</v>
      </c>
      <c r="L43" s="3">
        <v>0</v>
      </c>
      <c r="M43" s="114">
        <v>0</v>
      </c>
      <c r="N43" s="3">
        <v>0</v>
      </c>
      <c r="O43" s="114">
        <v>0</v>
      </c>
      <c r="P43" s="3">
        <v>0</v>
      </c>
      <c r="Q43" s="114">
        <v>0</v>
      </c>
      <c r="R43" s="3">
        <v>0</v>
      </c>
      <c r="S43" s="114">
        <v>0</v>
      </c>
      <c r="T43" s="3">
        <v>0</v>
      </c>
      <c r="U43" s="114">
        <v>0</v>
      </c>
      <c r="V43" s="3">
        <v>0</v>
      </c>
      <c r="W43" s="114">
        <v>0</v>
      </c>
      <c r="X43" s="3">
        <v>0</v>
      </c>
      <c r="Y43" s="114">
        <v>0</v>
      </c>
      <c r="Z43" s="3">
        <v>0</v>
      </c>
      <c r="AA43" s="114">
        <v>0</v>
      </c>
      <c r="AB43" s="3">
        <v>0</v>
      </c>
      <c r="AC43" s="114">
        <v>0</v>
      </c>
      <c r="AD43" s="109"/>
      <c r="AE43" s="114"/>
      <c r="AF43" s="114"/>
      <c r="AG43" s="114"/>
      <c r="AH43" s="114"/>
      <c r="AI43" s="114"/>
      <c r="AJ43" s="114"/>
      <c r="AK43" s="114"/>
      <c r="AM43" s="114"/>
      <c r="AN43" s="114"/>
      <c r="AO43" s="114"/>
      <c r="AP43" s="114"/>
      <c r="AQ43" s="114"/>
      <c r="AR43" s="114"/>
      <c r="AS43" s="114"/>
    </row>
    <row r="44" spans="2:45" s="109" customFormat="1" ht="15" customHeight="1" x14ac:dyDescent="0.25">
      <c r="B44" s="125" t="s">
        <v>290</v>
      </c>
      <c r="C44" s="126" t="s">
        <v>186</v>
      </c>
      <c r="D44" s="113"/>
      <c r="E44" s="114">
        <v>0</v>
      </c>
      <c r="F44" s="3">
        <v>0</v>
      </c>
      <c r="G44" s="114">
        <v>0</v>
      </c>
      <c r="H44" s="3">
        <v>0</v>
      </c>
      <c r="I44" s="114">
        <v>0</v>
      </c>
      <c r="J44" s="3">
        <v>0</v>
      </c>
      <c r="K44" s="114">
        <v>0</v>
      </c>
      <c r="L44" s="3">
        <v>0</v>
      </c>
      <c r="M44" s="114">
        <v>0</v>
      </c>
      <c r="N44" s="3">
        <v>0</v>
      </c>
      <c r="O44" s="114">
        <v>0</v>
      </c>
      <c r="P44" s="3">
        <v>0</v>
      </c>
      <c r="Q44" s="114">
        <v>0</v>
      </c>
      <c r="R44" s="3">
        <v>0</v>
      </c>
      <c r="S44" s="114">
        <v>0</v>
      </c>
      <c r="T44" s="3">
        <v>0</v>
      </c>
      <c r="U44" s="114">
        <v>0</v>
      </c>
      <c r="V44" s="3">
        <v>0</v>
      </c>
      <c r="W44" s="114">
        <v>0</v>
      </c>
      <c r="X44" s="3">
        <v>0</v>
      </c>
      <c r="Y44" s="114">
        <v>0</v>
      </c>
      <c r="Z44" s="3">
        <v>0</v>
      </c>
      <c r="AA44" s="114">
        <v>0</v>
      </c>
      <c r="AB44" s="3">
        <v>0</v>
      </c>
      <c r="AC44" s="114">
        <v>0</v>
      </c>
      <c r="AE44" s="114"/>
      <c r="AF44" s="114"/>
      <c r="AG44" s="114"/>
      <c r="AH44" s="114"/>
      <c r="AI44" s="114"/>
      <c r="AJ44" s="114"/>
      <c r="AK44" s="114"/>
      <c r="AM44" s="114"/>
      <c r="AN44" s="114"/>
      <c r="AO44" s="114"/>
      <c r="AP44" s="114"/>
      <c r="AQ44" s="114"/>
      <c r="AR44" s="114"/>
      <c r="AS44" s="114"/>
    </row>
    <row r="45" spans="2:45" ht="15" customHeight="1" x14ac:dyDescent="0.25">
      <c r="B45" s="53" t="s">
        <v>71</v>
      </c>
      <c r="C45" s="75" t="s">
        <v>187</v>
      </c>
      <c r="D45" s="124"/>
      <c r="E45" s="78">
        <v>0</v>
      </c>
      <c r="F45" s="3">
        <v>0</v>
      </c>
      <c r="G45" s="78">
        <v>0</v>
      </c>
      <c r="H45" s="3">
        <v>0</v>
      </c>
      <c r="I45" s="78">
        <v>0</v>
      </c>
      <c r="J45" s="3">
        <v>0</v>
      </c>
      <c r="K45" s="78">
        <v>0</v>
      </c>
      <c r="L45" s="3">
        <v>0</v>
      </c>
      <c r="M45" s="78">
        <v>0</v>
      </c>
      <c r="N45" s="3">
        <v>0</v>
      </c>
      <c r="O45" s="78">
        <v>0</v>
      </c>
      <c r="P45" s="3">
        <v>0</v>
      </c>
      <c r="Q45" s="78">
        <v>0</v>
      </c>
      <c r="R45" s="3">
        <v>0</v>
      </c>
      <c r="S45" s="78">
        <v>0</v>
      </c>
      <c r="T45" s="3">
        <v>0</v>
      </c>
      <c r="U45" s="78">
        <v>0</v>
      </c>
      <c r="V45" s="3">
        <v>0</v>
      </c>
      <c r="W45" s="78">
        <v>0</v>
      </c>
      <c r="X45" s="3">
        <v>0</v>
      </c>
      <c r="Y45" s="78">
        <v>0</v>
      </c>
      <c r="Z45" s="3">
        <v>0</v>
      </c>
      <c r="AA45" s="78">
        <v>0</v>
      </c>
      <c r="AB45" s="3">
        <v>0</v>
      </c>
      <c r="AC45" s="78">
        <v>149.726</v>
      </c>
      <c r="AD45" s="122"/>
      <c r="AE45" s="78"/>
      <c r="AF45" s="78"/>
      <c r="AG45" s="78"/>
      <c r="AH45" s="78"/>
      <c r="AI45" s="78">
        <f>159220/1000</f>
        <v>159.22</v>
      </c>
      <c r="AJ45" s="78"/>
      <c r="AK45" s="78">
        <f>174644/1000</f>
        <v>174.64400000000001</v>
      </c>
      <c r="AM45" s="78">
        <v>-12</v>
      </c>
      <c r="AN45" s="78"/>
      <c r="AO45" s="78"/>
      <c r="AP45" s="78"/>
      <c r="AQ45" s="78"/>
      <c r="AR45" s="78"/>
      <c r="AS45" s="78"/>
    </row>
    <row r="46" spans="2:45" ht="15" customHeight="1" x14ac:dyDescent="0.25">
      <c r="B46" s="117" t="s">
        <v>72</v>
      </c>
      <c r="C46" s="118" t="s">
        <v>165</v>
      </c>
      <c r="D46" s="119"/>
      <c r="E46" s="127">
        <v>0</v>
      </c>
      <c r="F46" s="3">
        <v>0</v>
      </c>
      <c r="G46" s="127">
        <v>0</v>
      </c>
      <c r="H46" s="3">
        <v>0</v>
      </c>
      <c r="I46" s="127">
        <v>0</v>
      </c>
      <c r="J46" s="3">
        <v>0</v>
      </c>
      <c r="K46" s="127">
        <v>0</v>
      </c>
      <c r="L46" s="3">
        <v>0</v>
      </c>
      <c r="M46" s="127">
        <v>0</v>
      </c>
      <c r="N46" s="3">
        <v>0</v>
      </c>
      <c r="O46" s="127">
        <v>0</v>
      </c>
      <c r="P46" s="3">
        <v>0</v>
      </c>
      <c r="Q46" s="127">
        <v>0</v>
      </c>
      <c r="R46" s="3">
        <v>0</v>
      </c>
      <c r="S46" s="127">
        <v>0</v>
      </c>
      <c r="T46" s="3">
        <v>0</v>
      </c>
      <c r="U46" s="127">
        <v>0</v>
      </c>
      <c r="V46" s="3">
        <v>0</v>
      </c>
      <c r="W46" s="127">
        <v>0</v>
      </c>
      <c r="X46" s="3">
        <v>0</v>
      </c>
      <c r="Y46" s="127">
        <v>0</v>
      </c>
      <c r="Z46" s="3">
        <v>0</v>
      </c>
      <c r="AA46" s="127">
        <v>0</v>
      </c>
      <c r="AB46" s="3">
        <v>0</v>
      </c>
      <c r="AC46" s="127">
        <v>38.392000000000003</v>
      </c>
      <c r="AD46" s="109"/>
      <c r="AE46" s="127"/>
      <c r="AF46" s="114"/>
      <c r="AG46" s="127"/>
      <c r="AH46" s="114"/>
      <c r="AI46" s="127">
        <f>30194/1000</f>
        <v>30.193999999999999</v>
      </c>
      <c r="AJ46" s="114"/>
      <c r="AK46" s="127">
        <f>43835/1000</f>
        <v>43.835000000000001</v>
      </c>
      <c r="AM46" s="127">
        <v>-17</v>
      </c>
      <c r="AN46" s="114"/>
      <c r="AO46" s="127"/>
      <c r="AP46" s="114"/>
      <c r="AQ46" s="127"/>
      <c r="AR46" s="114"/>
      <c r="AS46" s="127"/>
    </row>
    <row r="47" spans="2:45" ht="15" customHeight="1" x14ac:dyDescent="0.25">
      <c r="B47" s="117"/>
      <c r="C47" s="118"/>
      <c r="D47" s="119"/>
      <c r="E47" s="114">
        <v>0</v>
      </c>
      <c r="F47" s="3">
        <v>0</v>
      </c>
      <c r="G47" s="114">
        <v>0</v>
      </c>
      <c r="H47" s="3">
        <v>0</v>
      </c>
      <c r="I47" s="114">
        <v>0</v>
      </c>
      <c r="J47" s="3">
        <v>0</v>
      </c>
      <c r="K47" s="114">
        <v>0</v>
      </c>
      <c r="L47" s="3">
        <v>0</v>
      </c>
      <c r="M47" s="114">
        <v>0</v>
      </c>
      <c r="N47" s="3">
        <v>0</v>
      </c>
      <c r="O47" s="114">
        <v>0</v>
      </c>
      <c r="P47" s="3">
        <v>0</v>
      </c>
      <c r="Q47" s="114">
        <v>0</v>
      </c>
      <c r="R47" s="3">
        <v>0</v>
      </c>
      <c r="S47" s="114">
        <v>0</v>
      </c>
      <c r="T47" s="3">
        <v>0</v>
      </c>
      <c r="U47" s="114">
        <v>0</v>
      </c>
      <c r="V47" s="3">
        <v>0</v>
      </c>
      <c r="W47" s="114">
        <v>0</v>
      </c>
      <c r="X47" s="3">
        <v>0</v>
      </c>
      <c r="Y47" s="114">
        <v>0</v>
      </c>
      <c r="Z47" s="3">
        <v>0</v>
      </c>
      <c r="AA47" s="114">
        <v>0</v>
      </c>
      <c r="AB47" s="3">
        <v>0</v>
      </c>
      <c r="AC47" s="114">
        <v>0</v>
      </c>
      <c r="AD47" s="109"/>
      <c r="AE47" s="114"/>
      <c r="AF47" s="114"/>
      <c r="AG47" s="114"/>
      <c r="AH47" s="114"/>
      <c r="AI47" s="114"/>
      <c r="AJ47" s="114"/>
      <c r="AK47" s="114"/>
      <c r="AM47" s="114"/>
      <c r="AN47" s="114"/>
      <c r="AO47" s="114"/>
      <c r="AP47" s="114"/>
      <c r="AQ47" s="114"/>
      <c r="AR47" s="114"/>
      <c r="AS47" s="114"/>
    </row>
    <row r="48" spans="2:45" ht="15" customHeight="1" x14ac:dyDescent="0.25">
      <c r="B48" s="45" t="s">
        <v>47</v>
      </c>
      <c r="C48" s="49" t="s">
        <v>47</v>
      </c>
      <c r="D48" s="92"/>
      <c r="E48" s="73">
        <v>0</v>
      </c>
      <c r="F48" s="3">
        <v>0</v>
      </c>
      <c r="G48" s="73">
        <v>0</v>
      </c>
      <c r="H48" s="3">
        <v>0</v>
      </c>
      <c r="I48" s="73">
        <v>0</v>
      </c>
      <c r="J48" s="3">
        <v>0</v>
      </c>
      <c r="K48" s="73">
        <v>0</v>
      </c>
      <c r="L48" s="3">
        <v>0</v>
      </c>
      <c r="M48" s="73">
        <v>0</v>
      </c>
      <c r="N48" s="3">
        <v>0</v>
      </c>
      <c r="O48" s="73">
        <v>0</v>
      </c>
      <c r="P48" s="3">
        <v>0</v>
      </c>
      <c r="Q48" s="73">
        <v>0</v>
      </c>
      <c r="R48" s="3">
        <v>0</v>
      </c>
      <c r="S48" s="73">
        <v>0</v>
      </c>
      <c r="T48" s="3">
        <v>0</v>
      </c>
      <c r="U48" s="73">
        <v>0</v>
      </c>
      <c r="V48" s="3">
        <v>0</v>
      </c>
      <c r="W48" s="73">
        <v>0</v>
      </c>
      <c r="X48" s="3">
        <v>0</v>
      </c>
      <c r="Y48" s="73">
        <v>0</v>
      </c>
      <c r="Z48" s="3">
        <v>0</v>
      </c>
      <c r="AA48" s="73">
        <v>0</v>
      </c>
      <c r="AB48" s="3">
        <v>0</v>
      </c>
      <c r="AC48" s="73">
        <v>0</v>
      </c>
      <c r="AE48" s="73"/>
      <c r="AF48" s="73"/>
      <c r="AG48" s="73"/>
      <c r="AH48" s="73"/>
      <c r="AI48" s="73"/>
      <c r="AJ48" s="73"/>
      <c r="AK48" s="73"/>
      <c r="AM48" s="73"/>
      <c r="AN48" s="73"/>
      <c r="AO48" s="73"/>
      <c r="AP48" s="73"/>
      <c r="AQ48" s="73"/>
      <c r="AR48" s="73"/>
      <c r="AS48" s="73"/>
    </row>
    <row r="49" spans="2:45" ht="15" customHeight="1" thickBot="1" x14ac:dyDescent="0.3">
      <c r="B49" s="51" t="s">
        <v>44</v>
      </c>
      <c r="C49" s="81" t="s">
        <v>165</v>
      </c>
      <c r="D49" s="91"/>
      <c r="E49" s="89">
        <f>(SUM(E41:E42))</f>
        <v>472.45600000000002</v>
      </c>
      <c r="F49" s="3">
        <v>0</v>
      </c>
      <c r="G49" s="89">
        <f>(SUM(G41:G42))</f>
        <v>226.76599999999999</v>
      </c>
      <c r="H49" s="3">
        <v>0</v>
      </c>
      <c r="I49" s="89">
        <f>(SUM(I41:I42))</f>
        <v>918.36599999999999</v>
      </c>
      <c r="J49" s="3">
        <v>0</v>
      </c>
      <c r="K49" s="89">
        <f>(SUM(K41:K42))</f>
        <v>2000.2330000000002</v>
      </c>
      <c r="L49" s="3">
        <v>0</v>
      </c>
      <c r="M49" s="89">
        <f>(SUM(M41:M42))</f>
        <v>1626.712</v>
      </c>
      <c r="N49" s="3">
        <v>0</v>
      </c>
      <c r="O49" s="89">
        <f>(SUM(O41:O42))</f>
        <v>-316.529</v>
      </c>
      <c r="P49" s="3">
        <v>0</v>
      </c>
      <c r="Q49" s="89">
        <f>(SUM(Q41:Q42))</f>
        <v>49.628999999999998</v>
      </c>
      <c r="R49" s="3">
        <v>0</v>
      </c>
      <c r="S49" s="89">
        <f>(SUM(S41:S42))</f>
        <v>653.66700000000003</v>
      </c>
      <c r="T49" s="3">
        <v>0</v>
      </c>
      <c r="U49" s="89">
        <f>(SUM(U41:U42))</f>
        <v>1145.454</v>
      </c>
      <c r="V49" s="3">
        <v>0</v>
      </c>
      <c r="W49" s="89">
        <f>(SUM(W41:W42))</f>
        <v>78.256999999999991</v>
      </c>
      <c r="X49" s="3">
        <v>0</v>
      </c>
      <c r="Y49" s="89">
        <f>(SUM(Y41:Y42))</f>
        <v>548.29999999999995</v>
      </c>
      <c r="Z49" s="3">
        <v>0</v>
      </c>
      <c r="AA49" s="89">
        <f>(SUM(AA41:AA42))</f>
        <v>1371.9</v>
      </c>
      <c r="AB49" s="3">
        <v>0</v>
      </c>
      <c r="AC49" s="89">
        <f>(SUM(AC41:AC42,AC45:AC46))</f>
        <v>2617.88</v>
      </c>
      <c r="AE49" s="89">
        <f>(SUM(AE41:AE42,AE45:AE46))</f>
        <v>17.488</v>
      </c>
      <c r="AF49" s="78"/>
      <c r="AG49" s="89">
        <f>(SUM(AG41:AG42,AG45:AG46))</f>
        <v>532.42200000000003</v>
      </c>
      <c r="AH49" s="78"/>
      <c r="AI49" s="89">
        <f>(SUM(AI41:AI42,AI45:AI46))</f>
        <v>1553.194</v>
      </c>
      <c r="AJ49" s="78"/>
      <c r="AK49" s="89">
        <f>(SUM(AK41:AK42,AK45:AK46))</f>
        <v>1073.6959999999999</v>
      </c>
      <c r="AM49" s="89">
        <f>(SUM(AM41:AM42,AM45:AM46))</f>
        <v>-325</v>
      </c>
      <c r="AN49" s="78"/>
      <c r="AO49" s="89">
        <f>SUM(AO41:AO42)</f>
        <v>0</v>
      </c>
      <c r="AP49" s="78"/>
      <c r="AQ49" s="89">
        <f>SUM(AQ41:AQ42,AQ45:AQ46)</f>
        <v>0</v>
      </c>
      <c r="AR49" s="78"/>
      <c r="AS49" s="89">
        <f>SUM(AS41:AS42,AS45:AS46)</f>
        <v>0</v>
      </c>
    </row>
    <row r="50" spans="2:45" ht="15" customHeight="1" thickTop="1" x14ac:dyDescent="0.25">
      <c r="B50" s="47" t="s">
        <v>47</v>
      </c>
      <c r="C50" s="47" t="s">
        <v>47</v>
      </c>
      <c r="E50" s="1"/>
      <c r="F50" s="1"/>
      <c r="G50" s="1"/>
      <c r="H50" s="1"/>
      <c r="I50" s="1"/>
      <c r="J50" s="1"/>
      <c r="K50" s="1"/>
      <c r="L50" s="1"/>
      <c r="M50" s="1"/>
      <c r="N50" s="1"/>
      <c r="O50" s="1"/>
      <c r="P50" s="1"/>
      <c r="Q50" s="1"/>
      <c r="R50" s="1"/>
      <c r="S50" s="1"/>
      <c r="T50" s="1"/>
      <c r="U50" s="1"/>
      <c r="W50" s="1"/>
      <c r="X50" s="1"/>
      <c r="Y50" s="1"/>
      <c r="Z50" s="1"/>
      <c r="AA50" s="1"/>
      <c r="AB50" s="1"/>
      <c r="AC50" s="1"/>
      <c r="AE50" s="1"/>
      <c r="AF50" s="1"/>
      <c r="AG50" s="1"/>
      <c r="AH50" s="1"/>
      <c r="AI50" s="1"/>
      <c r="AJ50" s="1"/>
      <c r="AK50" s="1"/>
      <c r="AM50" s="1"/>
      <c r="AN50" s="1"/>
      <c r="AO50" s="1"/>
      <c r="AP50" s="1"/>
      <c r="AQ50" s="1"/>
      <c r="AR50" s="1"/>
      <c r="AS50" s="1"/>
    </row>
    <row r="51" spans="2:45" ht="15" customHeight="1" x14ac:dyDescent="0.25">
      <c r="C51" s="110"/>
      <c r="D51" s="110"/>
      <c r="E51" s="110"/>
      <c r="F51" s="110"/>
      <c r="G51" s="110"/>
      <c r="H51" s="110"/>
      <c r="I51" s="110"/>
      <c r="J51" s="110"/>
      <c r="K51" s="110"/>
      <c r="L51" s="110"/>
      <c r="M51" s="110"/>
      <c r="N51" s="110"/>
      <c r="O51" s="110"/>
      <c r="P51" s="110"/>
      <c r="Q51" s="110"/>
      <c r="R51" s="110"/>
      <c r="S51" s="110"/>
      <c r="T51" s="110"/>
      <c r="U51" s="110"/>
      <c r="W51"/>
      <c r="X51"/>
      <c r="Y51"/>
      <c r="Z51"/>
      <c r="AA51"/>
      <c r="AC51"/>
      <c r="AE51"/>
      <c r="AF51"/>
      <c r="AG51"/>
      <c r="AH51"/>
      <c r="AI51"/>
      <c r="AK51"/>
      <c r="AM51"/>
      <c r="AN51"/>
      <c r="AO51"/>
      <c r="AP51"/>
      <c r="AQ51"/>
      <c r="AS51"/>
    </row>
    <row r="52" spans="2:45" ht="15" customHeight="1" x14ac:dyDescent="0.25">
      <c r="C52" s="110"/>
      <c r="D52" s="110"/>
      <c r="E52" s="110"/>
      <c r="F52" s="110"/>
      <c r="G52" s="110"/>
      <c r="H52" s="110"/>
      <c r="I52" s="110"/>
      <c r="J52" s="110"/>
      <c r="K52" s="110"/>
      <c r="L52" s="110"/>
      <c r="M52" s="110"/>
      <c r="N52" s="110"/>
      <c r="O52" s="110"/>
      <c r="P52" s="110"/>
      <c r="Q52" s="110"/>
      <c r="R52" s="110"/>
      <c r="S52" s="110"/>
      <c r="T52" s="110"/>
      <c r="U52" s="110"/>
      <c r="W52"/>
      <c r="X52"/>
      <c r="Y52"/>
      <c r="Z52"/>
      <c r="AA52"/>
      <c r="AC52"/>
      <c r="AE52"/>
      <c r="AF52"/>
      <c r="AG52"/>
      <c r="AH52"/>
      <c r="AI52"/>
      <c r="AK52"/>
      <c r="AM52"/>
      <c r="AN52"/>
      <c r="AO52"/>
      <c r="AP52"/>
      <c r="AQ52"/>
      <c r="AS52"/>
    </row>
  </sheetData>
  <mergeCells count="5">
    <mergeCell ref="G5:M5"/>
    <mergeCell ref="O5:U5"/>
    <mergeCell ref="W5:AC5"/>
    <mergeCell ref="AE5:AK5"/>
    <mergeCell ref="AM5:AS5"/>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E014-484B-468D-A453-E8B85526431A}">
  <dimension ref="A1:AT95"/>
  <sheetViews>
    <sheetView showGridLines="0" zoomScale="80" zoomScaleNormal="80" workbookViewId="0">
      <pane xSplit="3" ySplit="6" topLeftCell="X82" activePane="bottomRight" state="frozen"/>
      <selection pane="topRight" activeCell="D1" sqref="D1"/>
      <selection pane="bottomLeft" activeCell="A10" sqref="A10"/>
      <selection pane="bottomRight" activeCell="AM95" sqref="AM95"/>
    </sheetView>
  </sheetViews>
  <sheetFormatPr defaultColWidth="8.7109375" defaultRowHeight="15" outlineLevelCol="1" x14ac:dyDescent="0.25"/>
  <cols>
    <col min="1" max="1" width="3.7109375" customWidth="1"/>
    <col min="2" max="2" width="76.85546875" style="45" customWidth="1"/>
    <col min="3" max="3" width="25.5703125" style="45" hidden="1" customWidth="1"/>
    <col min="4" max="4" width="1.42578125" style="5" customWidth="1"/>
    <col min="5" max="5" width="12.7109375" style="3" customWidth="1" outlineLevel="1"/>
    <col min="6" max="6" width="9.42578125" style="3" customWidth="1"/>
    <col min="7" max="7" width="12.28515625" style="3" bestFit="1" customWidth="1" outlineLevel="1"/>
    <col min="8" max="8" width="4.42578125" style="3" bestFit="1" customWidth="1" outlineLevel="1"/>
    <col min="9" max="9" width="12.7109375" style="3" customWidth="1" outlineLevel="1"/>
    <col min="10" max="10" width="4.42578125" style="3" bestFit="1" customWidth="1" outlineLevel="1"/>
    <col min="11" max="11" width="12.7109375" style="3" customWidth="1" outlineLevel="1"/>
    <col min="12" max="12" width="4.42578125" style="3" bestFit="1" customWidth="1" outlineLevel="1"/>
    <col min="13" max="13" width="12" style="3" bestFit="1" customWidth="1" outlineLevel="1"/>
    <col min="14" max="14" width="1.42578125" customWidth="1"/>
    <col min="15" max="15" width="12.7109375" style="3" customWidth="1" outlineLevel="1"/>
    <col min="16" max="16" width="1.42578125" style="3" customWidth="1" outlineLevel="1"/>
    <col min="17" max="17" width="12.7109375" style="3" customWidth="1" outlineLevel="1"/>
    <col min="18" max="18" width="1.42578125" style="3" customWidth="1" outlineLevel="1"/>
    <col min="19" max="19" width="12.7109375" style="3" customWidth="1" outlineLevel="1"/>
    <col min="20" max="20" width="1.42578125" customWidth="1" outlineLevel="1"/>
    <col min="21" max="21" width="12.7109375" style="3" customWidth="1"/>
    <col min="22" max="22" width="1.5703125" customWidth="1"/>
    <col min="23" max="23" width="12.7109375" style="3" customWidth="1" outlineLevel="1"/>
    <col min="24" max="24" width="1.42578125" style="3" customWidth="1" outlineLevel="1"/>
    <col min="25" max="25" width="12.7109375" style="3" customWidth="1" outlineLevel="1"/>
    <col min="26" max="26" width="1.42578125" style="3" customWidth="1" outlineLevel="1"/>
    <col min="27" max="27" width="12.7109375" style="3" customWidth="1" outlineLevel="1"/>
    <col min="28" max="28" width="1.42578125" customWidth="1" outlineLevel="1"/>
    <col min="29" max="29" width="17.7109375" style="3" customWidth="1"/>
    <col min="30" max="30" width="1.5703125" customWidth="1"/>
    <col min="31" max="31" width="12.7109375" style="3" customWidth="1" outlineLevel="1"/>
    <col min="32" max="32" width="1.42578125" style="3" customWidth="1" outlineLevel="1"/>
    <col min="33" max="33" width="12.7109375" style="3" customWidth="1" outlineLevel="1"/>
    <col min="34" max="34" width="1.42578125" style="3" customWidth="1" outlineLevel="1"/>
    <col min="35" max="35" width="12.7109375" style="3" customWidth="1" outlineLevel="1"/>
    <col min="36" max="36" width="1.42578125" customWidth="1" outlineLevel="1"/>
    <col min="37" max="37" width="12.7109375" style="3" customWidth="1"/>
    <col min="38" max="38" width="0.5703125" style="109" customWidth="1"/>
    <col min="39" max="39" width="12.7109375" style="3" customWidth="1" outlineLevel="1"/>
    <col min="40" max="40" width="1.42578125" style="3" customWidth="1" outlineLevel="1"/>
    <col min="41" max="41" width="12.7109375" style="3" customWidth="1" outlineLevel="1"/>
    <col min="42" max="42" width="1.42578125" style="3" customWidth="1" outlineLevel="1"/>
    <col min="43" max="43" width="12.7109375" style="3" customWidth="1" outlineLevel="1"/>
    <col min="44" max="44" width="1.42578125" customWidth="1" outlineLevel="1"/>
    <col min="45" max="45" width="12.7109375" style="3" hidden="1" customWidth="1"/>
    <col min="46" max="16384" width="8.7109375" style="109"/>
  </cols>
  <sheetData>
    <row r="1" spans="1:45" x14ac:dyDescent="0.25">
      <c r="B1" s="46"/>
      <c r="C1" s="46"/>
      <c r="U1"/>
      <c r="AC1"/>
      <c r="AK1"/>
      <c r="AS1"/>
    </row>
    <row r="2" spans="1:45" x14ac:dyDescent="0.25">
      <c r="B2" s="47" t="s">
        <v>58</v>
      </c>
      <c r="C2" s="47" t="s">
        <v>237</v>
      </c>
      <c r="E2" s="3">
        <v>1000</v>
      </c>
      <c r="U2"/>
      <c r="AC2"/>
      <c r="AK2"/>
      <c r="AS2"/>
    </row>
    <row r="3" spans="1:45" x14ac:dyDescent="0.25">
      <c r="B3" s="47" t="s">
        <v>107</v>
      </c>
      <c r="C3" s="47" t="s">
        <v>252</v>
      </c>
      <c r="N3" s="3"/>
      <c r="T3" s="3"/>
      <c r="AB3" s="3"/>
      <c r="AJ3" s="3"/>
      <c r="AR3" s="3"/>
    </row>
    <row r="4" spans="1:45" x14ac:dyDescent="0.25">
      <c r="B4" s="45" t="s">
        <v>59</v>
      </c>
      <c r="C4" s="45" t="s">
        <v>240</v>
      </c>
      <c r="N4" s="3"/>
      <c r="T4" s="3"/>
      <c r="AB4" s="3"/>
      <c r="AJ4" s="3"/>
      <c r="AR4" s="3"/>
    </row>
    <row r="5" spans="1:45" ht="15.75" thickBot="1" x14ac:dyDescent="0.3">
      <c r="B5" s="48"/>
      <c r="C5" s="48"/>
      <c r="E5" s="69">
        <v>2020</v>
      </c>
      <c r="F5" s="70"/>
      <c r="G5" s="137">
        <v>2021</v>
      </c>
      <c r="H5" s="137"/>
      <c r="I5" s="137"/>
      <c r="J5" s="137"/>
      <c r="K5" s="137"/>
      <c r="L5" s="137"/>
      <c r="M5" s="137"/>
      <c r="N5" s="70"/>
      <c r="O5" s="137">
        <v>2022</v>
      </c>
      <c r="P5" s="137"/>
      <c r="Q5" s="137"/>
      <c r="R5" s="137"/>
      <c r="S5" s="137"/>
      <c r="T5" s="137"/>
      <c r="U5" s="137"/>
      <c r="W5" s="137">
        <v>2023</v>
      </c>
      <c r="X5" s="137"/>
      <c r="Y5" s="137"/>
      <c r="Z5" s="137"/>
      <c r="AA5" s="137"/>
      <c r="AB5" s="137"/>
      <c r="AC5" s="137"/>
      <c r="AE5" s="137">
        <v>2024</v>
      </c>
      <c r="AF5" s="137"/>
      <c r="AG5" s="137"/>
      <c r="AH5" s="137"/>
      <c r="AI5" s="137"/>
      <c r="AJ5" s="137"/>
      <c r="AK5" s="137"/>
      <c r="AM5" s="137">
        <v>2025</v>
      </c>
      <c r="AN5" s="137"/>
      <c r="AO5" s="137"/>
      <c r="AP5" s="137"/>
      <c r="AQ5" s="137"/>
      <c r="AR5" s="137"/>
      <c r="AS5" s="137"/>
    </row>
    <row r="6" spans="1:45" ht="15.75" thickBot="1" x14ac:dyDescent="0.3">
      <c r="B6" s="50"/>
      <c r="C6" s="50"/>
      <c r="D6" s="91"/>
      <c r="E6" s="64">
        <v>44196</v>
      </c>
      <c r="F6" s="70"/>
      <c r="G6" s="64">
        <v>44286</v>
      </c>
      <c r="H6" s="64"/>
      <c r="I6" s="64">
        <v>44377</v>
      </c>
      <c r="J6" s="64"/>
      <c r="K6" s="64">
        <v>44469</v>
      </c>
      <c r="L6" s="64"/>
      <c r="M6" s="64">
        <v>44561</v>
      </c>
      <c r="N6" s="70"/>
      <c r="O6" s="97">
        <v>44651</v>
      </c>
      <c r="P6" s="70"/>
      <c r="Q6" s="64">
        <v>44742</v>
      </c>
      <c r="R6" s="70"/>
      <c r="S6" s="64">
        <v>44834</v>
      </c>
      <c r="T6" s="70"/>
      <c r="U6" s="64">
        <v>44926</v>
      </c>
      <c r="W6" s="97">
        <v>45016</v>
      </c>
      <c r="X6" s="70"/>
      <c r="Y6" s="97">
        <v>45107</v>
      </c>
      <c r="Z6" s="70"/>
      <c r="AA6" s="97">
        <v>45199</v>
      </c>
      <c r="AB6" s="70"/>
      <c r="AC6" s="97">
        <v>45291</v>
      </c>
      <c r="AE6" s="97">
        <v>45382</v>
      </c>
      <c r="AF6" s="70"/>
      <c r="AG6" s="97">
        <v>45473</v>
      </c>
      <c r="AH6" s="70"/>
      <c r="AI6" s="97">
        <v>45565</v>
      </c>
      <c r="AJ6" s="70"/>
      <c r="AK6" s="97">
        <v>45657</v>
      </c>
      <c r="AM6" s="97">
        <v>45747</v>
      </c>
      <c r="AN6" s="70"/>
      <c r="AO6" s="97">
        <v>45838</v>
      </c>
      <c r="AP6" s="70"/>
      <c r="AQ6" s="97">
        <v>45930</v>
      </c>
      <c r="AR6" s="70"/>
      <c r="AS6" s="97">
        <v>46022</v>
      </c>
    </row>
    <row r="7" spans="1:45" x14ac:dyDescent="0.25">
      <c r="B7" s="51"/>
      <c r="C7" s="51"/>
      <c r="D7" s="62"/>
      <c r="E7" s="71"/>
      <c r="F7" s="90"/>
      <c r="G7" s="71"/>
      <c r="H7" s="71"/>
      <c r="I7" s="71"/>
      <c r="J7" s="71"/>
      <c r="K7" s="71"/>
      <c r="L7" s="71"/>
      <c r="M7" s="71"/>
      <c r="N7" s="90"/>
      <c r="O7" s="71"/>
      <c r="P7" s="63"/>
      <c r="Q7" s="71"/>
      <c r="R7" s="71"/>
      <c r="S7" s="71"/>
      <c r="T7" s="71"/>
      <c r="U7" s="71"/>
      <c r="W7" s="71"/>
      <c r="X7" s="63"/>
      <c r="Y7" s="71"/>
      <c r="Z7" s="71"/>
      <c r="AA7" s="71"/>
      <c r="AB7" s="71"/>
      <c r="AC7" s="71" t="s">
        <v>294</v>
      </c>
      <c r="AE7" s="71"/>
      <c r="AF7" s="63"/>
      <c r="AG7" s="71"/>
      <c r="AH7" s="71"/>
      <c r="AI7" s="71"/>
      <c r="AJ7" s="71"/>
      <c r="AK7" s="71"/>
      <c r="AM7" s="71"/>
      <c r="AN7" s="63"/>
      <c r="AO7" s="71"/>
      <c r="AP7" s="71"/>
      <c r="AQ7" s="71"/>
      <c r="AR7" s="71"/>
      <c r="AS7" s="71"/>
    </row>
    <row r="8" spans="1:45" ht="18.75" customHeight="1" x14ac:dyDescent="0.25">
      <c r="B8" s="47"/>
      <c r="C8" s="47"/>
      <c r="D8" s="62"/>
      <c r="E8" s="10"/>
      <c r="F8" s="10"/>
      <c r="G8" s="10"/>
      <c r="H8" s="10"/>
      <c r="I8" s="10"/>
      <c r="J8" s="10"/>
      <c r="K8" s="10"/>
      <c r="L8" s="10"/>
      <c r="M8" s="10"/>
      <c r="N8" s="10"/>
      <c r="O8" s="10"/>
      <c r="P8" s="10"/>
      <c r="Q8" s="10"/>
      <c r="R8" s="10"/>
      <c r="S8" s="10"/>
      <c r="T8" s="10"/>
      <c r="U8" s="10"/>
      <c r="W8" s="10"/>
      <c r="X8" s="10"/>
      <c r="Y8" s="10"/>
      <c r="Z8" s="10"/>
      <c r="AA8" s="10"/>
      <c r="AB8" s="10"/>
      <c r="AC8" s="10"/>
      <c r="AE8" s="10"/>
      <c r="AF8" s="10"/>
      <c r="AG8" s="10"/>
      <c r="AH8" s="10"/>
      <c r="AI8" s="10"/>
      <c r="AJ8" s="10"/>
      <c r="AK8" s="10"/>
      <c r="AM8" s="10"/>
      <c r="AN8" s="10"/>
      <c r="AO8" s="10"/>
      <c r="AP8" s="10"/>
      <c r="AQ8" s="10"/>
      <c r="AR8" s="10"/>
      <c r="AS8" s="10"/>
    </row>
    <row r="9" spans="1:45" x14ac:dyDescent="0.25">
      <c r="B9" s="51" t="s">
        <v>40</v>
      </c>
      <c r="C9" s="81" t="s">
        <v>183</v>
      </c>
      <c r="D9" s="91"/>
      <c r="E9" s="78"/>
      <c r="F9" s="74"/>
      <c r="G9" s="78"/>
      <c r="H9" s="78"/>
      <c r="I9" s="78"/>
      <c r="J9" s="78"/>
      <c r="K9" s="78"/>
      <c r="L9" s="78"/>
      <c r="M9" s="78"/>
      <c r="N9" s="73"/>
      <c r="O9" s="78"/>
      <c r="P9" s="77"/>
      <c r="Q9" s="78"/>
      <c r="R9" s="78"/>
      <c r="S9" s="78"/>
      <c r="T9" s="78"/>
      <c r="U9" s="78"/>
      <c r="W9" s="78"/>
      <c r="X9" s="77"/>
      <c r="Y9" s="78"/>
      <c r="Z9" s="78"/>
      <c r="AA9" s="78"/>
      <c r="AB9" s="78"/>
      <c r="AC9" s="78"/>
      <c r="AE9" s="78"/>
      <c r="AF9" s="77"/>
      <c r="AG9" s="78"/>
      <c r="AH9" s="78"/>
      <c r="AI9" s="78"/>
      <c r="AJ9" s="78"/>
      <c r="AK9" s="78"/>
      <c r="AM9" s="78"/>
      <c r="AN9" s="77"/>
      <c r="AO9" s="78"/>
      <c r="AP9" s="78"/>
      <c r="AQ9" s="78"/>
      <c r="AR9" s="78"/>
      <c r="AS9" s="78"/>
    </row>
    <row r="10" spans="1:45" x14ac:dyDescent="0.25">
      <c r="A10" s="109"/>
      <c r="B10" s="131" t="s">
        <v>284</v>
      </c>
      <c r="C10" s="112"/>
      <c r="D10" s="113"/>
      <c r="E10" s="114">
        <v>1031.0719999999999</v>
      </c>
      <c r="F10" s="115"/>
      <c r="G10" s="114">
        <v>286.43400000000003</v>
      </c>
      <c r="H10" s="114">
        <v>0</v>
      </c>
      <c r="I10" s="114">
        <v>1221.2470000000001</v>
      </c>
      <c r="J10" s="114">
        <v>0</v>
      </c>
      <c r="K10" s="114">
        <v>2268.84555946</v>
      </c>
      <c r="L10" s="114">
        <v>0</v>
      </c>
      <c r="M10" s="114">
        <v>2200.1109999999999</v>
      </c>
      <c r="N10" s="114"/>
      <c r="O10" s="114">
        <v>-319.375</v>
      </c>
      <c r="P10" s="3">
        <v>0</v>
      </c>
      <c r="Q10" s="114">
        <v>150.239</v>
      </c>
      <c r="R10" s="3">
        <v>0</v>
      </c>
      <c r="S10" s="114">
        <v>1080.0239999999999</v>
      </c>
      <c r="T10" s="3">
        <v>0</v>
      </c>
      <c r="U10" s="114">
        <v>1679.4359999999999</v>
      </c>
      <c r="V10" s="3">
        <v>0</v>
      </c>
      <c r="W10" s="114">
        <v>140.50399999999999</v>
      </c>
      <c r="X10" s="3">
        <v>0</v>
      </c>
      <c r="Y10" s="114">
        <v>936.17100000000005</v>
      </c>
      <c r="Z10" s="3">
        <v>0</v>
      </c>
      <c r="AA10" s="114">
        <v>2057.2660000000001</v>
      </c>
      <c r="AB10" s="3">
        <v>0</v>
      </c>
      <c r="AC10" s="114">
        <v>2730.8009999999999</v>
      </c>
      <c r="AD10" s="3">
        <v>0</v>
      </c>
      <c r="AE10" s="114">
        <v>-59.286000000000001</v>
      </c>
      <c r="AF10" s="3">
        <v>0</v>
      </c>
      <c r="AG10" s="114">
        <v>625.08900000000006</v>
      </c>
      <c r="AH10" s="3">
        <v>0</v>
      </c>
      <c r="AI10" s="114">
        <v>1762.914</v>
      </c>
      <c r="AJ10" s="3">
        <v>0</v>
      </c>
      <c r="AK10" s="114">
        <v>1400.298</v>
      </c>
      <c r="AM10" s="114">
        <v>-403</v>
      </c>
      <c r="AN10" s="115"/>
      <c r="AO10" s="114"/>
      <c r="AP10" s="114"/>
      <c r="AQ10" s="116"/>
      <c r="AR10" s="114"/>
      <c r="AS10" s="114"/>
    </row>
    <row r="11" spans="1:45" x14ac:dyDescent="0.25">
      <c r="B11" s="53" t="s">
        <v>285</v>
      </c>
      <c r="C11" s="75"/>
      <c r="D11" s="91"/>
      <c r="E11" s="78">
        <v>0</v>
      </c>
      <c r="F11" s="73"/>
      <c r="G11" s="78">
        <v>0</v>
      </c>
      <c r="H11" s="78">
        <v>0</v>
      </c>
      <c r="I11" s="78">
        <v>0</v>
      </c>
      <c r="J11" s="78">
        <v>0</v>
      </c>
      <c r="K11" s="78">
        <v>0</v>
      </c>
      <c r="L11" s="78">
        <v>0</v>
      </c>
      <c r="M11" s="78">
        <v>0</v>
      </c>
      <c r="N11" s="73"/>
      <c r="O11" s="78">
        <v>0</v>
      </c>
      <c r="P11" s="3">
        <v>0</v>
      </c>
      <c r="Q11" s="78">
        <v>0</v>
      </c>
      <c r="R11" s="3">
        <v>0</v>
      </c>
      <c r="S11" s="78">
        <v>0</v>
      </c>
      <c r="T11" s="3">
        <v>0</v>
      </c>
      <c r="U11" s="78">
        <v>0</v>
      </c>
      <c r="V11" s="3">
        <v>0</v>
      </c>
      <c r="W11" s="78">
        <v>0</v>
      </c>
      <c r="X11" s="3">
        <v>0</v>
      </c>
      <c r="Y11" s="78">
        <v>0</v>
      </c>
      <c r="Z11" s="3">
        <v>0</v>
      </c>
      <c r="AA11" s="78">
        <v>0</v>
      </c>
      <c r="AB11" s="3">
        <v>0</v>
      </c>
      <c r="AC11" s="78">
        <v>267.399</v>
      </c>
      <c r="AD11" s="3">
        <v>0</v>
      </c>
      <c r="AE11" s="78">
        <v>0</v>
      </c>
      <c r="AF11" s="3">
        <v>0</v>
      </c>
      <c r="AG11" s="78">
        <v>0</v>
      </c>
      <c r="AH11" s="3">
        <v>0</v>
      </c>
      <c r="AI11" s="78">
        <v>254.47900000000001</v>
      </c>
      <c r="AJ11" s="3">
        <v>0</v>
      </c>
      <c r="AK11" s="78">
        <v>327.13099999999997</v>
      </c>
      <c r="AM11" s="78">
        <v>28</v>
      </c>
      <c r="AN11" s="78"/>
      <c r="AO11" s="78"/>
      <c r="AP11" s="78"/>
      <c r="AQ11" s="86"/>
      <c r="AR11" s="78"/>
      <c r="AS11" s="78"/>
    </row>
    <row r="12" spans="1:45" x14ac:dyDescent="0.25">
      <c r="B12" s="45" t="s">
        <v>45</v>
      </c>
      <c r="C12" s="49" t="s">
        <v>188</v>
      </c>
      <c r="D12" s="91"/>
      <c r="E12" s="73">
        <v>0</v>
      </c>
      <c r="F12" s="73"/>
      <c r="G12" s="73">
        <v>0</v>
      </c>
      <c r="H12" s="73">
        <v>0</v>
      </c>
      <c r="I12" s="73">
        <v>0</v>
      </c>
      <c r="J12" s="73">
        <v>0</v>
      </c>
      <c r="K12" s="73">
        <v>0</v>
      </c>
      <c r="L12" s="73">
        <v>0</v>
      </c>
      <c r="M12" s="73">
        <v>0</v>
      </c>
      <c r="N12" s="73"/>
      <c r="O12" s="73">
        <v>0</v>
      </c>
      <c r="P12" s="3">
        <v>0</v>
      </c>
      <c r="Q12" s="73">
        <v>0</v>
      </c>
      <c r="R12" s="3">
        <v>0</v>
      </c>
      <c r="S12" s="73">
        <v>0</v>
      </c>
      <c r="T12" s="3">
        <v>0</v>
      </c>
      <c r="U12" s="73">
        <v>0</v>
      </c>
      <c r="V12" s="3">
        <v>0</v>
      </c>
      <c r="W12" s="73">
        <v>0</v>
      </c>
      <c r="X12" s="3">
        <v>0</v>
      </c>
      <c r="Y12" s="73">
        <v>0</v>
      </c>
      <c r="Z12" s="3">
        <v>0</v>
      </c>
      <c r="AA12" s="73">
        <v>0</v>
      </c>
      <c r="AB12" s="3">
        <v>0</v>
      </c>
      <c r="AC12" s="73">
        <v>0</v>
      </c>
      <c r="AD12" s="3">
        <v>0</v>
      </c>
      <c r="AE12" s="73">
        <v>0</v>
      </c>
      <c r="AF12" s="3">
        <v>0</v>
      </c>
      <c r="AG12" s="73">
        <v>0</v>
      </c>
      <c r="AH12" s="3">
        <v>0</v>
      </c>
      <c r="AI12" s="73">
        <v>0</v>
      </c>
      <c r="AJ12" s="3">
        <v>0</v>
      </c>
      <c r="AK12" s="73">
        <v>0</v>
      </c>
      <c r="AM12" s="73">
        <v>0</v>
      </c>
      <c r="AN12" s="73"/>
      <c r="AO12" s="73"/>
      <c r="AP12" s="73"/>
      <c r="AQ12" s="73"/>
      <c r="AR12" s="73"/>
      <c r="AS12" s="73"/>
    </row>
    <row r="13" spans="1:45" x14ac:dyDescent="0.25">
      <c r="B13" s="53" t="s">
        <v>76</v>
      </c>
      <c r="C13" s="75" t="s">
        <v>189</v>
      </c>
      <c r="D13" s="91"/>
      <c r="E13" s="78">
        <v>1421.134</v>
      </c>
      <c r="F13" s="73"/>
      <c r="G13" s="78">
        <v>370.50700000000001</v>
      </c>
      <c r="H13" s="78">
        <v>0</v>
      </c>
      <c r="I13" s="78">
        <v>780.97900000000004</v>
      </c>
      <c r="J13" s="78">
        <v>0</v>
      </c>
      <c r="K13" s="78">
        <v>1186.0340000000001</v>
      </c>
      <c r="L13" s="78">
        <v>0</v>
      </c>
      <c r="M13" s="78">
        <v>1666.3150000000001</v>
      </c>
      <c r="N13" s="73"/>
      <c r="O13" s="78">
        <v>461.16199999999998</v>
      </c>
      <c r="P13" s="3">
        <v>0</v>
      </c>
      <c r="Q13" s="78">
        <v>887.39599999999996</v>
      </c>
      <c r="R13" s="3">
        <v>0</v>
      </c>
      <c r="S13" s="78">
        <v>1347.585</v>
      </c>
      <c r="T13" s="3">
        <v>0</v>
      </c>
      <c r="U13" s="78">
        <v>1846.855</v>
      </c>
      <c r="V13" s="3">
        <v>0</v>
      </c>
      <c r="W13" s="78">
        <v>468.52</v>
      </c>
      <c r="X13" s="3">
        <v>0</v>
      </c>
      <c r="Y13" s="78">
        <v>932.077</v>
      </c>
      <c r="Z13" s="3">
        <v>0</v>
      </c>
      <c r="AA13" s="78">
        <v>1385.114</v>
      </c>
      <c r="AB13" s="3">
        <v>0</v>
      </c>
      <c r="AC13" s="78">
        <v>1868.614</v>
      </c>
      <c r="AD13" s="3">
        <v>0</v>
      </c>
      <c r="AE13" s="78">
        <v>468.45800000000003</v>
      </c>
      <c r="AF13" s="3">
        <v>0</v>
      </c>
      <c r="AG13" s="78">
        <v>1047.9739999999999</v>
      </c>
      <c r="AH13" s="3">
        <v>0</v>
      </c>
      <c r="AI13" s="78">
        <v>1595.5419999999999</v>
      </c>
      <c r="AJ13" s="3">
        <v>0</v>
      </c>
      <c r="AK13" s="78">
        <v>2362.4169999999999</v>
      </c>
      <c r="AM13" s="78">
        <v>742</v>
      </c>
      <c r="AN13" s="78"/>
      <c r="AO13" s="78"/>
      <c r="AP13" s="78"/>
      <c r="AQ13" s="78"/>
      <c r="AR13" s="78"/>
      <c r="AS13" s="78"/>
    </row>
    <row r="14" spans="1:45" x14ac:dyDescent="0.25">
      <c r="B14" s="52" t="s">
        <v>314</v>
      </c>
      <c r="C14" s="72"/>
      <c r="D14" s="91"/>
      <c r="E14" s="73">
        <v>0</v>
      </c>
      <c r="F14" s="73"/>
      <c r="G14" s="73">
        <v>0</v>
      </c>
      <c r="H14" s="73">
        <v>0</v>
      </c>
      <c r="I14" s="73">
        <v>0</v>
      </c>
      <c r="J14" s="73">
        <v>0</v>
      </c>
      <c r="K14" s="73">
        <v>0</v>
      </c>
      <c r="L14" s="73">
        <v>0</v>
      </c>
      <c r="M14" s="73">
        <v>0</v>
      </c>
      <c r="N14" s="73"/>
      <c r="O14" s="73">
        <v>0</v>
      </c>
      <c r="P14" s="3">
        <v>0</v>
      </c>
      <c r="Q14" s="73">
        <v>0</v>
      </c>
      <c r="R14" s="3">
        <v>0</v>
      </c>
      <c r="S14" s="73">
        <v>0</v>
      </c>
      <c r="T14" s="3">
        <v>0</v>
      </c>
      <c r="U14" s="73">
        <v>0</v>
      </c>
      <c r="V14" s="3">
        <v>0</v>
      </c>
      <c r="W14" s="73">
        <v>0</v>
      </c>
      <c r="X14" s="3">
        <v>0</v>
      </c>
      <c r="Y14" s="73">
        <v>0</v>
      </c>
      <c r="Z14" s="3">
        <v>0</v>
      </c>
      <c r="AA14" s="73">
        <v>0</v>
      </c>
      <c r="AB14" s="3">
        <v>0</v>
      </c>
      <c r="AC14" s="73">
        <v>819.02300000000002</v>
      </c>
      <c r="AD14" s="3">
        <v>0</v>
      </c>
      <c r="AE14" s="73">
        <v>222.64500000000001</v>
      </c>
      <c r="AF14" s="3">
        <v>0</v>
      </c>
      <c r="AG14" s="73">
        <v>467.46699999999998</v>
      </c>
      <c r="AH14" s="3">
        <v>0</v>
      </c>
      <c r="AI14" s="73">
        <v>722.09699999999998</v>
      </c>
      <c r="AJ14" s="3">
        <v>0</v>
      </c>
      <c r="AK14" s="73">
        <v>988.05700000000002</v>
      </c>
      <c r="AM14" s="73">
        <v>277</v>
      </c>
      <c r="AN14" s="73"/>
      <c r="AO14" s="73"/>
      <c r="AP14" s="73"/>
      <c r="AQ14" s="73"/>
      <c r="AR14" s="73"/>
      <c r="AS14" s="73"/>
    </row>
    <row r="15" spans="1:45" x14ac:dyDescent="0.25">
      <c r="B15" s="53" t="s">
        <v>35</v>
      </c>
      <c r="C15" s="75" t="s">
        <v>227</v>
      </c>
      <c r="D15" s="91"/>
      <c r="E15" s="78">
        <v>-86.081000000000003</v>
      </c>
      <c r="F15" s="73"/>
      <c r="G15" s="78">
        <v>-36.048999999999999</v>
      </c>
      <c r="H15" s="78">
        <v>0</v>
      </c>
      <c r="I15" s="78">
        <v>-21.757999999999999</v>
      </c>
      <c r="J15" s="78">
        <v>0</v>
      </c>
      <c r="K15" s="78">
        <v>-55.046999999999997</v>
      </c>
      <c r="L15" s="78">
        <v>0</v>
      </c>
      <c r="M15" s="78">
        <v>-62.664999999999999</v>
      </c>
      <c r="N15" s="73"/>
      <c r="O15" s="78">
        <v>-29.236000000000001</v>
      </c>
      <c r="P15" s="3">
        <v>0</v>
      </c>
      <c r="Q15" s="78">
        <v>-37.911000000000001</v>
      </c>
      <c r="R15" s="3">
        <v>0</v>
      </c>
      <c r="S15" s="78">
        <v>-81.424999999999997</v>
      </c>
      <c r="T15" s="3">
        <v>0</v>
      </c>
      <c r="U15" s="78">
        <v>-52.1</v>
      </c>
      <c r="V15" s="3">
        <v>0</v>
      </c>
      <c r="W15" s="78">
        <v>-28.651</v>
      </c>
      <c r="X15" s="3">
        <v>0</v>
      </c>
      <c r="Y15" s="78">
        <v>-24.754000000000001</v>
      </c>
      <c r="Z15" s="3">
        <v>0</v>
      </c>
      <c r="AA15" s="78">
        <v>-62.868000000000002</v>
      </c>
      <c r="AB15" s="3">
        <v>0</v>
      </c>
      <c r="AC15" s="78">
        <v>-55.078000000000003</v>
      </c>
      <c r="AD15" s="3">
        <v>0</v>
      </c>
      <c r="AE15" s="78">
        <v>-26.321999999999999</v>
      </c>
      <c r="AF15" s="3">
        <v>0</v>
      </c>
      <c r="AG15" s="78">
        <v>-68.08</v>
      </c>
      <c r="AH15" s="3">
        <v>0</v>
      </c>
      <c r="AI15" s="78">
        <v>-106.858</v>
      </c>
      <c r="AJ15" s="3">
        <v>0</v>
      </c>
      <c r="AK15" s="78">
        <v>-157.279</v>
      </c>
      <c r="AM15" s="78">
        <v>-27</v>
      </c>
      <c r="AN15" s="78"/>
      <c r="AO15" s="78"/>
      <c r="AP15" s="78"/>
      <c r="AQ15" s="78"/>
      <c r="AR15" s="78"/>
      <c r="AS15" s="78"/>
    </row>
    <row r="16" spans="1:45" x14ac:dyDescent="0.25">
      <c r="A16" s="109"/>
      <c r="B16" s="117" t="s">
        <v>317</v>
      </c>
      <c r="C16" s="118"/>
      <c r="D16" s="113"/>
      <c r="E16" s="114">
        <v>0</v>
      </c>
      <c r="F16" s="114"/>
      <c r="G16" s="114">
        <v>0</v>
      </c>
      <c r="H16" s="114">
        <v>0</v>
      </c>
      <c r="I16" s="114">
        <v>0</v>
      </c>
      <c r="J16" s="114">
        <v>0</v>
      </c>
      <c r="K16" s="114">
        <v>0</v>
      </c>
      <c r="L16" s="114">
        <v>0</v>
      </c>
      <c r="M16" s="114">
        <v>0</v>
      </c>
      <c r="N16" s="114"/>
      <c r="O16" s="114">
        <v>0</v>
      </c>
      <c r="P16" s="3">
        <v>0</v>
      </c>
      <c r="Q16" s="114">
        <v>0</v>
      </c>
      <c r="R16" s="3">
        <v>0</v>
      </c>
      <c r="S16" s="114">
        <v>0</v>
      </c>
      <c r="T16" s="3">
        <v>0</v>
      </c>
      <c r="U16" s="114">
        <v>0</v>
      </c>
      <c r="V16" s="3">
        <v>0</v>
      </c>
      <c r="W16" s="114">
        <v>0</v>
      </c>
      <c r="X16" s="3">
        <v>0</v>
      </c>
      <c r="Y16" s="114">
        <v>0</v>
      </c>
      <c r="Z16" s="3">
        <v>0</v>
      </c>
      <c r="AA16" s="114">
        <v>0</v>
      </c>
      <c r="AB16" s="3">
        <v>0</v>
      </c>
      <c r="AC16" s="114">
        <v>0</v>
      </c>
      <c r="AD16" s="3">
        <v>0</v>
      </c>
      <c r="AE16" s="114">
        <v>0</v>
      </c>
      <c r="AF16" s="3">
        <v>0</v>
      </c>
      <c r="AG16" s="114">
        <v>0</v>
      </c>
      <c r="AH16" s="3">
        <v>0</v>
      </c>
      <c r="AI16" s="114">
        <v>0</v>
      </c>
      <c r="AJ16" s="3">
        <v>0</v>
      </c>
      <c r="AK16" s="114">
        <v>0</v>
      </c>
      <c r="AM16" s="114">
        <v>279</v>
      </c>
      <c r="AN16" s="114"/>
      <c r="AO16" s="114"/>
      <c r="AP16" s="114"/>
      <c r="AQ16" s="114"/>
      <c r="AR16" s="114"/>
      <c r="AS16" s="114"/>
    </row>
    <row r="17" spans="2:46" x14ac:dyDescent="0.25">
      <c r="B17" s="53" t="s">
        <v>318</v>
      </c>
      <c r="C17" s="75"/>
      <c r="D17" s="91"/>
      <c r="E17" s="78">
        <v>0</v>
      </c>
      <c r="F17" s="73"/>
      <c r="G17" s="78">
        <v>0</v>
      </c>
      <c r="H17" s="78">
        <v>0</v>
      </c>
      <c r="I17" s="78">
        <v>0</v>
      </c>
      <c r="J17" s="78">
        <v>0</v>
      </c>
      <c r="K17" s="78">
        <v>0</v>
      </c>
      <c r="L17" s="78">
        <v>0</v>
      </c>
      <c r="M17" s="78">
        <v>0</v>
      </c>
      <c r="N17" s="73"/>
      <c r="O17" s="78">
        <v>0</v>
      </c>
      <c r="P17" s="3">
        <v>0</v>
      </c>
      <c r="Q17" s="78">
        <v>0</v>
      </c>
      <c r="R17" s="3">
        <v>0</v>
      </c>
      <c r="S17" s="78">
        <v>0</v>
      </c>
      <c r="T17" s="3">
        <v>0</v>
      </c>
      <c r="U17" s="78">
        <v>0</v>
      </c>
      <c r="V17" s="3">
        <v>0</v>
      </c>
      <c r="W17" s="78">
        <v>0</v>
      </c>
      <c r="X17" s="3">
        <v>0</v>
      </c>
      <c r="Y17" s="78">
        <v>0</v>
      </c>
      <c r="Z17" s="3">
        <v>0</v>
      </c>
      <c r="AA17" s="78">
        <v>0</v>
      </c>
      <c r="AB17" s="3">
        <v>0</v>
      </c>
      <c r="AC17" s="78">
        <v>0</v>
      </c>
      <c r="AD17" s="3">
        <v>0</v>
      </c>
      <c r="AE17" s="78">
        <v>0</v>
      </c>
      <c r="AF17" s="3">
        <v>0</v>
      </c>
      <c r="AG17" s="78">
        <v>0</v>
      </c>
      <c r="AH17" s="3">
        <v>0</v>
      </c>
      <c r="AI17" s="78">
        <v>0</v>
      </c>
      <c r="AJ17" s="3">
        <v>0</v>
      </c>
      <c r="AK17" s="78">
        <v>0</v>
      </c>
      <c r="AM17" s="78">
        <v>-198</v>
      </c>
      <c r="AN17" s="78"/>
      <c r="AO17" s="78"/>
      <c r="AP17" s="78"/>
      <c r="AQ17" s="78"/>
      <c r="AR17" s="78"/>
      <c r="AS17" s="78"/>
    </row>
    <row r="18" spans="2:46" x14ac:dyDescent="0.25">
      <c r="B18" s="52" t="s">
        <v>101</v>
      </c>
      <c r="C18" s="72" t="s">
        <v>228</v>
      </c>
      <c r="D18" s="91"/>
      <c r="E18" s="73">
        <v>215.422</v>
      </c>
      <c r="F18" s="73"/>
      <c r="G18" s="73">
        <v>0</v>
      </c>
      <c r="H18" s="73">
        <v>0</v>
      </c>
      <c r="I18" s="73">
        <v>0.33800000000000002</v>
      </c>
      <c r="J18" s="73">
        <v>0</v>
      </c>
      <c r="K18" s="73">
        <v>35.917000000000002</v>
      </c>
      <c r="L18" s="73">
        <v>0</v>
      </c>
      <c r="M18" s="73">
        <v>2.31</v>
      </c>
      <c r="N18" s="73"/>
      <c r="O18" s="73">
        <v>0</v>
      </c>
      <c r="P18" s="3">
        <v>0</v>
      </c>
      <c r="Q18" s="73">
        <v>-9.6519999999999992</v>
      </c>
      <c r="R18" s="3">
        <v>0</v>
      </c>
      <c r="S18" s="73">
        <v>0</v>
      </c>
      <c r="T18" s="3">
        <v>0</v>
      </c>
      <c r="U18" s="73">
        <v>4.3159999999999998</v>
      </c>
      <c r="V18" s="3">
        <v>0</v>
      </c>
      <c r="W18" s="73">
        <v>0</v>
      </c>
      <c r="X18" s="3">
        <v>0</v>
      </c>
      <c r="Y18" s="73">
        <v>0.216</v>
      </c>
      <c r="Z18" s="3">
        <v>0</v>
      </c>
      <c r="AA18" s="73">
        <v>0</v>
      </c>
      <c r="AB18" s="3">
        <v>0</v>
      </c>
      <c r="AC18" s="73">
        <v>-53.015999999999998</v>
      </c>
      <c r="AD18" s="3">
        <v>0</v>
      </c>
      <c r="AE18" s="73">
        <v>0</v>
      </c>
      <c r="AF18" s="3">
        <v>0</v>
      </c>
      <c r="AG18" s="73">
        <v>0</v>
      </c>
      <c r="AH18" s="3">
        <v>0</v>
      </c>
      <c r="AI18" s="73">
        <v>0</v>
      </c>
      <c r="AJ18" s="3">
        <v>0</v>
      </c>
      <c r="AK18" s="73">
        <v>9.5459999999999994</v>
      </c>
      <c r="AM18" s="73">
        <v>0</v>
      </c>
      <c r="AN18" s="73"/>
      <c r="AO18" s="73"/>
      <c r="AP18" s="73"/>
      <c r="AQ18" s="73"/>
      <c r="AR18" s="73"/>
      <c r="AS18" s="73"/>
      <c r="AT18" s="109" t="s">
        <v>316</v>
      </c>
    </row>
    <row r="19" spans="2:46" x14ac:dyDescent="0.25">
      <c r="B19" s="53" t="s">
        <v>297</v>
      </c>
      <c r="C19" s="75" t="s">
        <v>190</v>
      </c>
      <c r="D19" s="91"/>
      <c r="E19" s="78">
        <v>33.917999999999999</v>
      </c>
      <c r="F19" s="73"/>
      <c r="G19" s="78">
        <v>-77.254999999999995</v>
      </c>
      <c r="H19" s="78">
        <v>0</v>
      </c>
      <c r="I19" s="78">
        <v>-113.99299999999999</v>
      </c>
      <c r="J19" s="78">
        <v>0</v>
      </c>
      <c r="K19" s="78">
        <v>-119.825</v>
      </c>
      <c r="L19" s="78">
        <v>0</v>
      </c>
      <c r="M19" s="78">
        <v>-111.407</v>
      </c>
      <c r="N19" s="73"/>
      <c r="O19" s="78">
        <v>-17.297000000000001</v>
      </c>
      <c r="P19" s="3">
        <v>0</v>
      </c>
      <c r="Q19" s="78">
        <v>-13.145</v>
      </c>
      <c r="R19" s="3">
        <v>0</v>
      </c>
      <c r="S19" s="78">
        <v>-22.376000000000001</v>
      </c>
      <c r="T19" s="3">
        <v>0</v>
      </c>
      <c r="U19" s="78">
        <v>-42.484999999999999</v>
      </c>
      <c r="V19" s="3">
        <v>0</v>
      </c>
      <c r="W19" s="78">
        <v>-2.5009999999999999</v>
      </c>
      <c r="X19" s="3">
        <v>0</v>
      </c>
      <c r="Y19" s="78">
        <v>-3.65</v>
      </c>
      <c r="Z19" s="3">
        <v>0</v>
      </c>
      <c r="AA19" s="78">
        <v>-17.039000000000001</v>
      </c>
      <c r="AB19" s="3">
        <v>0</v>
      </c>
      <c r="AC19" s="78">
        <v>-16.105</v>
      </c>
      <c r="AD19" s="3">
        <v>0</v>
      </c>
      <c r="AE19" s="78">
        <v>-3.173</v>
      </c>
      <c r="AF19" s="3">
        <v>0</v>
      </c>
      <c r="AG19" s="78">
        <v>-2.6779999999999999</v>
      </c>
      <c r="AH19" s="3">
        <v>0</v>
      </c>
      <c r="AI19" s="78">
        <v>-76.111000000000004</v>
      </c>
      <c r="AJ19" s="3">
        <v>0</v>
      </c>
      <c r="AK19" s="78">
        <v>-77.971000000000004</v>
      </c>
      <c r="AM19" s="78">
        <v>-7</v>
      </c>
      <c r="AN19" s="78"/>
      <c r="AO19" s="78"/>
      <c r="AP19" s="78"/>
      <c r="AQ19" s="78"/>
      <c r="AR19" s="78"/>
      <c r="AS19" s="78"/>
      <c r="AT19" s="109" t="s">
        <v>315</v>
      </c>
    </row>
    <row r="20" spans="2:46" x14ac:dyDescent="0.25">
      <c r="B20" s="52" t="s">
        <v>77</v>
      </c>
      <c r="C20" s="72" t="s">
        <v>191</v>
      </c>
      <c r="D20" s="91"/>
      <c r="E20" s="73">
        <v>0</v>
      </c>
      <c r="F20" s="73"/>
      <c r="G20" s="73">
        <v>0</v>
      </c>
      <c r="H20" s="73">
        <v>0</v>
      </c>
      <c r="I20" s="73">
        <v>0</v>
      </c>
      <c r="J20" s="73">
        <v>0</v>
      </c>
      <c r="K20" s="73">
        <v>0</v>
      </c>
      <c r="L20" s="73">
        <v>0</v>
      </c>
      <c r="M20" s="73">
        <v>0</v>
      </c>
      <c r="N20" s="73"/>
      <c r="O20" s="73">
        <v>0</v>
      </c>
      <c r="P20" s="3">
        <v>0</v>
      </c>
      <c r="Q20" s="73">
        <v>0</v>
      </c>
      <c r="R20" s="3">
        <v>0</v>
      </c>
      <c r="S20" s="73">
        <v>0</v>
      </c>
      <c r="T20" s="3">
        <v>0</v>
      </c>
      <c r="U20" s="73">
        <v>0</v>
      </c>
      <c r="V20" s="3">
        <v>0</v>
      </c>
      <c r="W20" s="73">
        <v>0</v>
      </c>
      <c r="X20" s="3">
        <v>0</v>
      </c>
      <c r="Y20" s="73">
        <v>0</v>
      </c>
      <c r="Z20" s="3">
        <v>0</v>
      </c>
      <c r="AA20" s="73">
        <v>0</v>
      </c>
      <c r="AB20" s="3">
        <v>0</v>
      </c>
      <c r="AC20" s="73">
        <v>0</v>
      </c>
      <c r="AD20" s="3">
        <v>0</v>
      </c>
      <c r="AE20" s="73">
        <v>0</v>
      </c>
      <c r="AF20" s="3">
        <v>0</v>
      </c>
      <c r="AG20" s="73">
        <v>0</v>
      </c>
      <c r="AH20" s="3">
        <v>0</v>
      </c>
      <c r="AI20" s="73">
        <v>0</v>
      </c>
      <c r="AJ20" s="3">
        <v>0</v>
      </c>
      <c r="AK20" s="73">
        <v>0</v>
      </c>
      <c r="AM20" s="73">
        <v>0</v>
      </c>
      <c r="AN20" s="73"/>
      <c r="AO20" s="73"/>
      <c r="AP20" s="73"/>
      <c r="AQ20" s="73"/>
      <c r="AR20" s="73"/>
      <c r="AS20" s="73"/>
    </row>
    <row r="21" spans="2:46" x14ac:dyDescent="0.25">
      <c r="B21" s="53" t="s">
        <v>296</v>
      </c>
      <c r="C21" s="75" t="s">
        <v>192</v>
      </c>
      <c r="D21" s="91"/>
      <c r="E21" s="78">
        <v>27.106999999999999</v>
      </c>
      <c r="F21" s="73"/>
      <c r="G21" s="78">
        <v>-3.7410000000000001</v>
      </c>
      <c r="H21" s="78">
        <v>0</v>
      </c>
      <c r="I21" s="78">
        <v>-0.98699999999999999</v>
      </c>
      <c r="J21" s="78">
        <v>0</v>
      </c>
      <c r="K21" s="78">
        <v>4.2210000000000001</v>
      </c>
      <c r="L21" s="78">
        <v>0</v>
      </c>
      <c r="M21" s="78">
        <v>2.9780000000000002</v>
      </c>
      <c r="N21" s="73"/>
      <c r="O21" s="78">
        <v>6.7480000000000002</v>
      </c>
      <c r="P21" s="3">
        <v>0</v>
      </c>
      <c r="Q21" s="78">
        <v>9.7070000000000007</v>
      </c>
      <c r="R21" s="3">
        <v>0</v>
      </c>
      <c r="S21" s="78">
        <v>15.29</v>
      </c>
      <c r="T21" s="3">
        <v>0</v>
      </c>
      <c r="U21" s="78">
        <v>21.314</v>
      </c>
      <c r="V21" s="3">
        <v>0</v>
      </c>
      <c r="W21" s="78">
        <v>3.3170000000000002</v>
      </c>
      <c r="X21" s="3">
        <v>0</v>
      </c>
      <c r="Y21" s="78">
        <v>16.451000000000001</v>
      </c>
      <c r="Z21" s="3">
        <v>0</v>
      </c>
      <c r="AA21" s="78">
        <v>20.882000000000001</v>
      </c>
      <c r="AB21" s="3">
        <v>0</v>
      </c>
      <c r="AC21" s="78">
        <v>25.783999999999999</v>
      </c>
      <c r="AD21" s="3">
        <v>0</v>
      </c>
      <c r="AE21" s="78">
        <v>5.7160000000000002</v>
      </c>
      <c r="AF21" s="3">
        <v>0</v>
      </c>
      <c r="AG21" s="78">
        <v>16.302</v>
      </c>
      <c r="AH21" s="3">
        <v>0</v>
      </c>
      <c r="AI21" s="78">
        <v>22.033999999999999</v>
      </c>
      <c r="AJ21" s="3">
        <v>0</v>
      </c>
      <c r="AK21" s="78">
        <v>21.829000000000001</v>
      </c>
      <c r="AM21" s="78">
        <v>7</v>
      </c>
      <c r="AN21" s="78"/>
      <c r="AO21" s="78"/>
      <c r="AP21" s="78"/>
      <c r="AQ21" s="78"/>
      <c r="AR21" s="78"/>
      <c r="AS21" s="78"/>
    </row>
    <row r="22" spans="2:46" x14ac:dyDescent="0.25">
      <c r="B22" s="52" t="s">
        <v>298</v>
      </c>
      <c r="C22" s="72" t="s">
        <v>193</v>
      </c>
      <c r="D22" s="91"/>
      <c r="E22" s="73">
        <v>23.390999999999998</v>
      </c>
      <c r="F22" s="73"/>
      <c r="G22" s="73">
        <v>-8.2040000000000006</v>
      </c>
      <c r="H22" s="73">
        <v>0</v>
      </c>
      <c r="I22" s="73">
        <v>-16.148</v>
      </c>
      <c r="J22" s="73">
        <v>0</v>
      </c>
      <c r="K22" s="73">
        <v>-23.03</v>
      </c>
      <c r="L22" s="73">
        <v>0</v>
      </c>
      <c r="M22" s="73">
        <v>-0.95</v>
      </c>
      <c r="N22" s="73"/>
      <c r="O22" s="73">
        <v>-5.0289999999999999</v>
      </c>
      <c r="P22" s="3">
        <v>0</v>
      </c>
      <c r="Q22" s="73">
        <v>-3.9260000000000002</v>
      </c>
      <c r="R22" s="3">
        <v>0</v>
      </c>
      <c r="S22" s="73">
        <v>1.486</v>
      </c>
      <c r="T22" s="3">
        <v>0</v>
      </c>
      <c r="U22" s="73">
        <v>-11.087</v>
      </c>
      <c r="V22" s="3">
        <v>0</v>
      </c>
      <c r="W22" s="73">
        <v>-3.577</v>
      </c>
      <c r="X22" s="3">
        <v>0</v>
      </c>
      <c r="Y22" s="73">
        <v>13.759</v>
      </c>
      <c r="Z22" s="3">
        <v>0</v>
      </c>
      <c r="AA22" s="73">
        <v>0</v>
      </c>
      <c r="AB22" s="3">
        <v>0</v>
      </c>
      <c r="AC22" s="73">
        <v>40.341000000000001</v>
      </c>
      <c r="AD22" s="3">
        <v>0</v>
      </c>
      <c r="AE22" s="73">
        <v>2.3119999999999998</v>
      </c>
      <c r="AF22" s="3">
        <v>0</v>
      </c>
      <c r="AG22" s="73">
        <v>25.488</v>
      </c>
      <c r="AH22" s="3">
        <v>0</v>
      </c>
      <c r="AI22" s="73">
        <v>6.0060000000000002</v>
      </c>
      <c r="AJ22" s="3">
        <v>0</v>
      </c>
      <c r="AK22" s="73">
        <v>-9.8279999999999994</v>
      </c>
      <c r="AM22" s="73">
        <v>-8</v>
      </c>
      <c r="AN22" s="73"/>
      <c r="AO22" s="73"/>
      <c r="AP22" s="73"/>
      <c r="AQ22" s="73"/>
      <c r="AR22" s="73"/>
      <c r="AS22" s="73"/>
    </row>
    <row r="23" spans="2:46" x14ac:dyDescent="0.25">
      <c r="B23" s="53" t="s">
        <v>276</v>
      </c>
      <c r="C23" s="75" t="s">
        <v>229</v>
      </c>
      <c r="D23" s="91"/>
      <c r="E23" s="78">
        <v>22.140999999999998</v>
      </c>
      <c r="F23" s="73"/>
      <c r="G23" s="78">
        <v>17.173999999999999</v>
      </c>
      <c r="H23" s="78">
        <v>0</v>
      </c>
      <c r="I23" s="78">
        <v>46.064999999999998</v>
      </c>
      <c r="J23" s="78">
        <v>0</v>
      </c>
      <c r="K23" s="78">
        <v>44.932000000000002</v>
      </c>
      <c r="L23" s="78">
        <v>0</v>
      </c>
      <c r="M23" s="78">
        <v>54.511000000000003</v>
      </c>
      <c r="N23" s="73"/>
      <c r="O23" s="78">
        <v>17.466000000000001</v>
      </c>
      <c r="P23" s="3">
        <v>0</v>
      </c>
      <c r="Q23" s="78">
        <v>15.109</v>
      </c>
      <c r="R23" s="3">
        <v>0</v>
      </c>
      <c r="S23" s="78">
        <v>18.495000000000001</v>
      </c>
      <c r="T23" s="3">
        <v>0</v>
      </c>
      <c r="U23" s="78">
        <v>100.96899999999999</v>
      </c>
      <c r="V23" s="3">
        <v>0</v>
      </c>
      <c r="W23" s="78">
        <v>0.65900000000000003</v>
      </c>
      <c r="X23" s="3">
        <v>0</v>
      </c>
      <c r="Y23" s="78">
        <v>5.9909999999999997</v>
      </c>
      <c r="Z23" s="3">
        <v>0</v>
      </c>
      <c r="AA23" s="78">
        <v>15.433999999999999</v>
      </c>
      <c r="AB23" s="3">
        <v>0</v>
      </c>
      <c r="AC23" s="78">
        <v>32.494999999999997</v>
      </c>
      <c r="AD23" s="3">
        <v>0</v>
      </c>
      <c r="AE23" s="78">
        <v>-5.484</v>
      </c>
      <c r="AF23" s="3">
        <v>0</v>
      </c>
      <c r="AG23" s="78">
        <v>-9.1219999999999999</v>
      </c>
      <c r="AH23" s="3">
        <v>0</v>
      </c>
      <c r="AI23" s="78">
        <v>-32.497</v>
      </c>
      <c r="AJ23" s="3">
        <v>0</v>
      </c>
      <c r="AK23" s="78">
        <v>-158.411</v>
      </c>
      <c r="AM23" s="78">
        <v>-49</v>
      </c>
      <c r="AN23" s="78"/>
      <c r="AO23" s="78"/>
      <c r="AP23" s="78"/>
      <c r="AQ23" s="78"/>
      <c r="AR23" s="78"/>
      <c r="AS23" s="78"/>
    </row>
    <row r="24" spans="2:46" x14ac:dyDescent="0.25">
      <c r="B24" s="52" t="s">
        <v>102</v>
      </c>
      <c r="C24" s="72" t="s">
        <v>224</v>
      </c>
      <c r="D24" s="91"/>
      <c r="E24" s="73">
        <v>0</v>
      </c>
      <c r="F24" s="73"/>
      <c r="G24" s="73">
        <v>0</v>
      </c>
      <c r="H24" s="73">
        <v>0</v>
      </c>
      <c r="I24" s="73">
        <v>-236.886</v>
      </c>
      <c r="J24" s="73">
        <v>0</v>
      </c>
      <c r="K24" s="73">
        <v>-422.40300000000002</v>
      </c>
      <c r="L24" s="73">
        <v>0</v>
      </c>
      <c r="M24" s="73">
        <v>-243.56</v>
      </c>
      <c r="N24" s="73"/>
      <c r="O24" s="73">
        <v>0</v>
      </c>
      <c r="P24" s="3">
        <v>0</v>
      </c>
      <c r="Q24" s="73">
        <v>0</v>
      </c>
      <c r="R24" s="3">
        <v>0</v>
      </c>
      <c r="S24" s="73">
        <v>0</v>
      </c>
      <c r="T24" s="3">
        <v>0</v>
      </c>
      <c r="U24" s="73">
        <v>-6.7149999999999999</v>
      </c>
      <c r="V24" s="3">
        <v>0</v>
      </c>
      <c r="W24" s="73">
        <v>0</v>
      </c>
      <c r="X24" s="3">
        <v>0</v>
      </c>
      <c r="Y24" s="73">
        <v>0</v>
      </c>
      <c r="Z24" s="3">
        <v>0</v>
      </c>
      <c r="AA24" s="73">
        <v>0</v>
      </c>
      <c r="AB24" s="3">
        <v>0</v>
      </c>
      <c r="AC24" s="73">
        <v>0</v>
      </c>
      <c r="AD24" s="3">
        <v>0</v>
      </c>
      <c r="AE24" s="73">
        <v>0</v>
      </c>
      <c r="AF24" s="3">
        <v>0</v>
      </c>
      <c r="AG24" s="73">
        <v>0</v>
      </c>
      <c r="AH24" s="3">
        <v>0</v>
      </c>
      <c r="AI24" s="73">
        <v>0</v>
      </c>
      <c r="AJ24" s="3">
        <v>0</v>
      </c>
      <c r="AK24" s="73">
        <v>0</v>
      </c>
      <c r="AM24" s="73"/>
      <c r="AN24" s="73"/>
      <c r="AO24" s="73"/>
      <c r="AP24" s="73"/>
      <c r="AQ24" s="73"/>
      <c r="AR24" s="73"/>
      <c r="AS24" s="73"/>
    </row>
    <row r="25" spans="2:46" x14ac:dyDescent="0.25">
      <c r="B25" s="53" t="s">
        <v>248</v>
      </c>
      <c r="C25" s="75" t="s">
        <v>249</v>
      </c>
      <c r="D25" s="91"/>
      <c r="E25" s="78">
        <f>(-278935)/1000</f>
        <v>-278.935</v>
      </c>
      <c r="F25" s="73"/>
      <c r="G25" s="78">
        <v>0</v>
      </c>
      <c r="H25" s="78">
        <v>0</v>
      </c>
      <c r="I25" s="78">
        <v>92.393000000000001</v>
      </c>
      <c r="J25" s="78">
        <v>0</v>
      </c>
      <c r="K25" s="78">
        <v>-21.498999999999999</v>
      </c>
      <c r="L25" s="78">
        <v>0</v>
      </c>
      <c r="M25" s="78">
        <f>(-37355)/1000</f>
        <v>-37.354999999999997</v>
      </c>
      <c r="N25" s="73"/>
      <c r="O25" s="78">
        <v>0</v>
      </c>
      <c r="P25" s="3">
        <v>0</v>
      </c>
      <c r="Q25" s="78">
        <v>291.37</v>
      </c>
      <c r="R25" s="3">
        <v>0</v>
      </c>
      <c r="S25" s="78">
        <v>432.34800000000001</v>
      </c>
      <c r="T25" s="3">
        <v>0</v>
      </c>
      <c r="U25" s="78">
        <v>539.16499999999996</v>
      </c>
      <c r="V25" s="3">
        <v>0</v>
      </c>
      <c r="W25" s="78">
        <v>83.992999999999995</v>
      </c>
      <c r="X25" s="3">
        <v>0</v>
      </c>
      <c r="Y25" s="78">
        <v>185.50899999999999</v>
      </c>
      <c r="Z25" s="3">
        <v>0</v>
      </c>
      <c r="AA25" s="78">
        <v>241.07300000000001</v>
      </c>
      <c r="AB25" s="3">
        <v>0</v>
      </c>
      <c r="AC25" s="78">
        <v>310.71899999999999</v>
      </c>
      <c r="AD25" s="3">
        <v>0</v>
      </c>
      <c r="AE25" s="78">
        <v>25.706</v>
      </c>
      <c r="AF25" s="3">
        <v>0</v>
      </c>
      <c r="AG25" s="78">
        <v>-114.17100000000001</v>
      </c>
      <c r="AH25" s="3">
        <v>0</v>
      </c>
      <c r="AI25" s="78">
        <v>-82.424000000000007</v>
      </c>
      <c r="AJ25" s="3">
        <v>0</v>
      </c>
      <c r="AK25" s="78">
        <v>-130.28700000000001</v>
      </c>
      <c r="AM25" s="78">
        <v>114</v>
      </c>
      <c r="AN25" s="78"/>
      <c r="AO25" s="78"/>
      <c r="AP25" s="78"/>
      <c r="AQ25" s="78"/>
      <c r="AR25" s="78"/>
      <c r="AS25" s="78"/>
    </row>
    <row r="26" spans="2:46" x14ac:dyDescent="0.25">
      <c r="B26" s="52" t="s">
        <v>78</v>
      </c>
      <c r="C26" s="72" t="s">
        <v>225</v>
      </c>
      <c r="D26" s="91"/>
      <c r="E26" s="73">
        <v>0</v>
      </c>
      <c r="F26" s="73"/>
      <c r="G26" s="73">
        <v>0</v>
      </c>
      <c r="H26" s="73">
        <v>0</v>
      </c>
      <c r="I26" s="73">
        <v>0</v>
      </c>
      <c r="J26" s="73">
        <v>0</v>
      </c>
      <c r="K26" s="73">
        <v>0</v>
      </c>
      <c r="L26" s="73">
        <v>0</v>
      </c>
      <c r="M26" s="73">
        <v>-126.045</v>
      </c>
      <c r="N26" s="73"/>
      <c r="O26" s="73">
        <v>0</v>
      </c>
      <c r="P26" s="3">
        <v>0</v>
      </c>
      <c r="Q26" s="73">
        <v>0</v>
      </c>
      <c r="R26" s="3">
        <v>0</v>
      </c>
      <c r="S26" s="73">
        <v>0</v>
      </c>
      <c r="T26" s="3">
        <v>0</v>
      </c>
      <c r="U26" s="73">
        <v>0</v>
      </c>
      <c r="V26" s="3">
        <v>0</v>
      </c>
      <c r="W26" s="73">
        <v>0</v>
      </c>
      <c r="X26" s="3">
        <v>0</v>
      </c>
      <c r="Y26" s="73">
        <v>0</v>
      </c>
      <c r="Z26" s="3">
        <v>0</v>
      </c>
      <c r="AA26" s="73">
        <v>0</v>
      </c>
      <c r="AB26" s="3">
        <v>0</v>
      </c>
      <c r="AC26" s="73">
        <v>0</v>
      </c>
      <c r="AD26" s="3">
        <v>0</v>
      </c>
      <c r="AE26" s="73">
        <v>0</v>
      </c>
      <c r="AF26" s="3">
        <v>0</v>
      </c>
      <c r="AG26" s="73">
        <v>0</v>
      </c>
      <c r="AH26" s="3">
        <v>0</v>
      </c>
      <c r="AI26" s="73">
        <v>0</v>
      </c>
      <c r="AJ26" s="3">
        <v>0</v>
      </c>
      <c r="AK26" s="73">
        <v>0</v>
      </c>
      <c r="AM26" s="73">
        <v>0</v>
      </c>
      <c r="AN26" s="73"/>
      <c r="AO26" s="73"/>
      <c r="AP26" s="73"/>
      <c r="AQ26" s="73"/>
      <c r="AR26" s="73"/>
      <c r="AS26" s="73"/>
    </row>
    <row r="27" spans="2:46" x14ac:dyDescent="0.25">
      <c r="B27" s="53" t="s">
        <v>241</v>
      </c>
      <c r="C27" s="75" t="s">
        <v>246</v>
      </c>
      <c r="D27" s="91"/>
      <c r="E27" s="78">
        <v>0</v>
      </c>
      <c r="F27" s="73"/>
      <c r="G27" s="78">
        <v>0</v>
      </c>
      <c r="H27" s="78">
        <v>0</v>
      </c>
      <c r="I27" s="78">
        <v>0</v>
      </c>
      <c r="J27" s="78">
        <v>0</v>
      </c>
      <c r="K27" s="78">
        <v>0</v>
      </c>
      <c r="L27" s="78">
        <v>0</v>
      </c>
      <c r="M27" s="78">
        <v>0</v>
      </c>
      <c r="N27" s="73"/>
      <c r="O27" s="78">
        <v>0</v>
      </c>
      <c r="P27" s="3">
        <v>0</v>
      </c>
      <c r="Q27" s="78">
        <v>-136.602</v>
      </c>
      <c r="R27" s="3">
        <v>0</v>
      </c>
      <c r="S27" s="78">
        <v>-178.02500000000001</v>
      </c>
      <c r="T27" s="3">
        <v>0</v>
      </c>
      <c r="U27" s="78">
        <v>0</v>
      </c>
      <c r="V27" s="3">
        <v>0</v>
      </c>
      <c r="W27" s="78">
        <v>0</v>
      </c>
      <c r="X27" s="3">
        <v>0</v>
      </c>
      <c r="Y27" s="78">
        <v>0</v>
      </c>
      <c r="Z27" s="3">
        <v>0</v>
      </c>
      <c r="AA27" s="78">
        <v>0</v>
      </c>
      <c r="AB27" s="3">
        <v>0</v>
      </c>
      <c r="AC27" s="78">
        <v>0</v>
      </c>
      <c r="AD27" s="3">
        <v>0</v>
      </c>
      <c r="AE27" s="78">
        <v>0</v>
      </c>
      <c r="AF27" s="3">
        <v>0</v>
      </c>
      <c r="AG27" s="78">
        <v>0</v>
      </c>
      <c r="AH27" s="3">
        <v>0</v>
      </c>
      <c r="AI27" s="78">
        <v>0</v>
      </c>
      <c r="AJ27" s="3">
        <v>0</v>
      </c>
      <c r="AK27" s="78">
        <v>0</v>
      </c>
      <c r="AM27" s="78">
        <v>0</v>
      </c>
      <c r="AN27" s="78"/>
      <c r="AO27" s="78"/>
      <c r="AP27" s="78"/>
      <c r="AQ27" s="78"/>
      <c r="AR27" s="78"/>
      <c r="AS27" s="78"/>
    </row>
    <row r="28" spans="2:46" x14ac:dyDescent="0.25">
      <c r="B28" s="52" t="s">
        <v>282</v>
      </c>
      <c r="C28" s="72" t="s">
        <v>258</v>
      </c>
      <c r="D28" s="91"/>
      <c r="E28" s="73">
        <f>(-19843)/1000</f>
        <v>-19.843</v>
      </c>
      <c r="F28" s="73"/>
      <c r="G28" s="73">
        <v>0</v>
      </c>
      <c r="H28" s="73">
        <v>0</v>
      </c>
      <c r="I28" s="73">
        <v>0</v>
      </c>
      <c r="J28" s="73">
        <v>0</v>
      </c>
      <c r="K28" s="73">
        <v>-26.392905613448452</v>
      </c>
      <c r="L28" s="73">
        <v>0</v>
      </c>
      <c r="M28" s="73">
        <f>(-27884)/1000</f>
        <v>-27.884</v>
      </c>
      <c r="N28" s="73"/>
      <c r="O28" s="73">
        <v>0</v>
      </c>
      <c r="P28" s="3">
        <v>0</v>
      </c>
      <c r="Q28" s="73">
        <v>0</v>
      </c>
      <c r="R28" s="3">
        <v>0</v>
      </c>
      <c r="S28" s="73">
        <v>-57.975000000000001</v>
      </c>
      <c r="T28" s="3">
        <v>0</v>
      </c>
      <c r="U28" s="73">
        <v>-80.248000000000005</v>
      </c>
      <c r="V28" s="3">
        <v>0</v>
      </c>
      <c r="W28" s="73">
        <v>-109.783</v>
      </c>
      <c r="X28" s="3">
        <v>0</v>
      </c>
      <c r="Y28" s="73">
        <v>-46.457999999999998</v>
      </c>
      <c r="Z28" s="3">
        <v>0</v>
      </c>
      <c r="AA28" s="73">
        <v>-70.744</v>
      </c>
      <c r="AB28" s="3">
        <v>0</v>
      </c>
      <c r="AC28" s="73">
        <v>-92.403999999999996</v>
      </c>
      <c r="AD28" s="3">
        <v>0</v>
      </c>
      <c r="AE28" s="73">
        <v>-22.739000000000001</v>
      </c>
      <c r="AF28" s="3">
        <v>0</v>
      </c>
      <c r="AG28" s="73">
        <v>-44.267000000000003</v>
      </c>
      <c r="AH28" s="3">
        <v>0</v>
      </c>
      <c r="AI28" s="73">
        <v>-66.77</v>
      </c>
      <c r="AJ28" s="3">
        <v>0</v>
      </c>
      <c r="AK28" s="73">
        <v>-90.177000000000007</v>
      </c>
      <c r="AM28" s="73">
        <v>-28</v>
      </c>
      <c r="AN28" s="73"/>
      <c r="AO28" s="73"/>
      <c r="AP28" s="73"/>
      <c r="AQ28" s="73"/>
      <c r="AR28" s="73"/>
      <c r="AS28" s="73"/>
    </row>
    <row r="29" spans="2:46" x14ac:dyDescent="0.25">
      <c r="B29" s="53" t="s">
        <v>295</v>
      </c>
      <c r="C29" s="75" t="s">
        <v>259</v>
      </c>
      <c r="D29" s="91"/>
      <c r="E29" s="78">
        <v>132.37799999999999</v>
      </c>
      <c r="F29" s="73"/>
      <c r="G29" s="78">
        <v>0</v>
      </c>
      <c r="H29" s="78">
        <v>0</v>
      </c>
      <c r="I29" s="78">
        <v>0</v>
      </c>
      <c r="J29" s="78">
        <v>0</v>
      </c>
      <c r="K29" s="78">
        <v>108.889</v>
      </c>
      <c r="L29" s="78">
        <v>0</v>
      </c>
      <c r="M29" s="78">
        <v>120.60299999999999</v>
      </c>
      <c r="N29" s="73"/>
      <c r="O29" s="78">
        <v>0</v>
      </c>
      <c r="P29" s="3">
        <v>0</v>
      </c>
      <c r="Q29" s="78">
        <v>0</v>
      </c>
      <c r="R29" s="3">
        <v>0</v>
      </c>
      <c r="S29" s="78">
        <v>50.62</v>
      </c>
      <c r="T29" s="3">
        <v>0</v>
      </c>
      <c r="U29" s="78">
        <v>42.286999999999999</v>
      </c>
      <c r="V29" s="3">
        <v>0</v>
      </c>
      <c r="W29" s="78">
        <v>1.524</v>
      </c>
      <c r="X29" s="3">
        <v>0</v>
      </c>
      <c r="Y29" s="78">
        <v>-31.446999999999999</v>
      </c>
      <c r="Z29" s="3">
        <v>0</v>
      </c>
      <c r="AA29" s="78">
        <v>-34.776000000000003</v>
      </c>
      <c r="AB29" s="3">
        <v>0</v>
      </c>
      <c r="AC29" s="78">
        <v>-22.216000000000001</v>
      </c>
      <c r="AD29" s="3">
        <v>0</v>
      </c>
      <c r="AE29" s="78">
        <v>-6.2930000000000001</v>
      </c>
      <c r="AF29" s="3">
        <v>0</v>
      </c>
      <c r="AG29" s="78">
        <v>6.3840000000000003</v>
      </c>
      <c r="AH29" s="3">
        <v>0</v>
      </c>
      <c r="AI29" s="78">
        <v>16.151</v>
      </c>
      <c r="AJ29" s="3">
        <v>0</v>
      </c>
      <c r="AK29" s="78">
        <v>40.863999999999997</v>
      </c>
      <c r="AM29" s="78">
        <v>7</v>
      </c>
      <c r="AN29" s="78"/>
      <c r="AO29" s="78"/>
      <c r="AP29" s="78"/>
      <c r="AQ29" s="78"/>
      <c r="AR29" s="78"/>
      <c r="AS29" s="78"/>
    </row>
    <row r="30" spans="2:46" x14ac:dyDescent="0.25">
      <c r="B30" s="52" t="s">
        <v>277</v>
      </c>
      <c r="C30" s="72" t="s">
        <v>194</v>
      </c>
      <c r="D30" s="91"/>
      <c r="E30" s="73">
        <v>1052.2460000000001</v>
      </c>
      <c r="F30" s="73"/>
      <c r="G30" s="73">
        <v>368.48899999999998</v>
      </c>
      <c r="H30" s="73">
        <v>0</v>
      </c>
      <c r="I30" s="73">
        <v>547.71</v>
      </c>
      <c r="J30" s="73">
        <v>0</v>
      </c>
      <c r="K30" s="73">
        <v>939.93614824933377</v>
      </c>
      <c r="L30" s="73">
        <v>0</v>
      </c>
      <c r="M30" s="73">
        <v>1445.521</v>
      </c>
      <c r="N30" s="73"/>
      <c r="O30" s="73">
        <v>306.34202795630796</v>
      </c>
      <c r="P30" s="3">
        <v>0</v>
      </c>
      <c r="Q30" s="73">
        <v>635.90099999999995</v>
      </c>
      <c r="R30" s="3">
        <v>0</v>
      </c>
      <c r="S30" s="73">
        <v>777.67600000000004</v>
      </c>
      <c r="T30" s="3">
        <v>0</v>
      </c>
      <c r="U30" s="73">
        <v>1070.1679999999999</v>
      </c>
      <c r="V30" s="3">
        <v>0</v>
      </c>
      <c r="W30" s="73">
        <v>207.59200000000001</v>
      </c>
      <c r="X30" s="3">
        <v>0</v>
      </c>
      <c r="Y30" s="73">
        <v>480.64</v>
      </c>
      <c r="Z30" s="3">
        <v>0</v>
      </c>
      <c r="AA30" s="73">
        <v>725.75300000000004</v>
      </c>
      <c r="AB30" s="3">
        <v>0</v>
      </c>
      <c r="AC30" s="73">
        <v>121.962</v>
      </c>
      <c r="AD30" s="3">
        <v>0</v>
      </c>
      <c r="AE30" s="73">
        <v>122.738</v>
      </c>
      <c r="AF30" s="3">
        <v>0</v>
      </c>
      <c r="AG30" s="73">
        <v>177.685</v>
      </c>
      <c r="AH30" s="3">
        <v>0</v>
      </c>
      <c r="AI30" s="73">
        <v>266.99400000000003</v>
      </c>
      <c r="AJ30" s="3">
        <v>0</v>
      </c>
      <c r="AK30" s="73">
        <v>734.36199999999997</v>
      </c>
      <c r="AM30" s="73">
        <v>213</v>
      </c>
      <c r="AN30" s="73"/>
      <c r="AO30" s="73"/>
      <c r="AP30" s="73"/>
      <c r="AQ30" s="73"/>
      <c r="AR30" s="73"/>
      <c r="AS30" s="73"/>
    </row>
    <row r="31" spans="2:46" x14ac:dyDescent="0.25">
      <c r="B31" s="53" t="s">
        <v>260</v>
      </c>
      <c r="C31" s="75" t="s">
        <v>262</v>
      </c>
      <c r="D31" s="91"/>
      <c r="E31" s="78">
        <v>11.824</v>
      </c>
      <c r="F31" s="73"/>
      <c r="G31" s="78">
        <v>0</v>
      </c>
      <c r="H31" s="78">
        <v>0</v>
      </c>
      <c r="I31" s="78">
        <v>0</v>
      </c>
      <c r="J31" s="78">
        <v>0</v>
      </c>
      <c r="K31" s="78">
        <v>0</v>
      </c>
      <c r="L31" s="78">
        <v>0</v>
      </c>
      <c r="M31" s="78">
        <v>1.5069999999999999</v>
      </c>
      <c r="N31" s="73"/>
      <c r="O31" s="78">
        <v>0</v>
      </c>
      <c r="P31" s="3">
        <v>0</v>
      </c>
      <c r="Q31" s="78">
        <v>0</v>
      </c>
      <c r="R31" s="3">
        <v>0</v>
      </c>
      <c r="S31" s="78">
        <v>0</v>
      </c>
      <c r="T31" s="3">
        <v>0</v>
      </c>
      <c r="U31" s="78">
        <v>57.587000000000003</v>
      </c>
      <c r="V31" s="3">
        <v>0</v>
      </c>
      <c r="W31" s="78">
        <v>13.337</v>
      </c>
      <c r="X31" s="3">
        <v>0</v>
      </c>
      <c r="Y31" s="78">
        <v>-10.641</v>
      </c>
      <c r="Z31" s="3">
        <v>0</v>
      </c>
      <c r="AA31" s="78">
        <v>-11.737</v>
      </c>
      <c r="AB31" s="3">
        <v>0</v>
      </c>
      <c r="AC31" s="78">
        <v>-42.161999999999999</v>
      </c>
      <c r="AD31" s="3">
        <v>0</v>
      </c>
      <c r="AE31" s="78">
        <v>28.004000000000001</v>
      </c>
      <c r="AF31" s="3">
        <v>0</v>
      </c>
      <c r="AG31" s="78">
        <v>11.164</v>
      </c>
      <c r="AH31" s="3">
        <v>0</v>
      </c>
      <c r="AI31" s="78">
        <v>-5.6660000000000004</v>
      </c>
      <c r="AJ31" s="3">
        <v>0</v>
      </c>
      <c r="AK31" s="78">
        <v>2.899</v>
      </c>
      <c r="AM31" s="78">
        <v>-25</v>
      </c>
      <c r="AN31" s="78"/>
      <c r="AO31" s="78"/>
      <c r="AP31" s="78"/>
      <c r="AQ31" s="78"/>
      <c r="AR31" s="78"/>
      <c r="AS31" s="78"/>
    </row>
    <row r="32" spans="2:46" x14ac:dyDescent="0.25">
      <c r="B32" s="52" t="s">
        <v>79</v>
      </c>
      <c r="C32" s="72" t="s">
        <v>226</v>
      </c>
      <c r="D32" s="91"/>
      <c r="E32" s="79">
        <v>35.146000000000001</v>
      </c>
      <c r="F32" s="73"/>
      <c r="G32" s="79">
        <v>-69.477000000000004</v>
      </c>
      <c r="H32" s="79">
        <v>0</v>
      </c>
      <c r="I32" s="79">
        <v>-82.171000000000006</v>
      </c>
      <c r="J32" s="79">
        <v>0</v>
      </c>
      <c r="K32" s="79">
        <v>-125.158</v>
      </c>
      <c r="L32" s="79">
        <v>0</v>
      </c>
      <c r="M32" s="79">
        <v>-272.85300000000001</v>
      </c>
      <c r="N32" s="73"/>
      <c r="O32" s="79">
        <v>-16.72805318355374</v>
      </c>
      <c r="P32" s="3">
        <v>0</v>
      </c>
      <c r="Q32" s="79">
        <v>-39.843000000000004</v>
      </c>
      <c r="R32" s="3">
        <v>0</v>
      </c>
      <c r="S32" s="79">
        <v>47.999000000000002</v>
      </c>
      <c r="T32" s="3">
        <v>0</v>
      </c>
      <c r="U32" s="79">
        <v>-5.4169999999999998</v>
      </c>
      <c r="V32" s="3">
        <v>0</v>
      </c>
      <c r="W32" s="79">
        <v>-11.782999999999999</v>
      </c>
      <c r="X32" s="3">
        <v>0</v>
      </c>
      <c r="Y32" s="79">
        <v>46.423999999999999</v>
      </c>
      <c r="Z32" s="3">
        <v>0</v>
      </c>
      <c r="AA32" s="79">
        <v>28.001999999999999</v>
      </c>
      <c r="AB32" s="3">
        <v>0</v>
      </c>
      <c r="AC32" s="79">
        <v>40.909999999999997</v>
      </c>
      <c r="AD32" s="3">
        <v>0</v>
      </c>
      <c r="AE32" s="79">
        <v>-21.18</v>
      </c>
      <c r="AF32" s="3">
        <v>0</v>
      </c>
      <c r="AG32" s="79">
        <v>-39.195</v>
      </c>
      <c r="AH32" s="3">
        <v>0</v>
      </c>
      <c r="AI32" s="79">
        <v>-56.404000000000003</v>
      </c>
      <c r="AJ32" s="3">
        <v>0</v>
      </c>
      <c r="AK32" s="79">
        <v>-88.691999999999993</v>
      </c>
      <c r="AM32" s="79">
        <v>-20</v>
      </c>
      <c r="AN32" s="79"/>
      <c r="AO32" s="79"/>
      <c r="AP32" s="79"/>
      <c r="AQ32" s="79"/>
      <c r="AR32" s="79"/>
      <c r="AS32" s="79"/>
    </row>
    <row r="33" spans="2:45" x14ac:dyDescent="0.25">
      <c r="B33" s="51"/>
      <c r="C33" s="81"/>
      <c r="D33" s="92"/>
      <c r="E33" s="77">
        <f>(SUM(E9:E32))</f>
        <v>3620.920000000001</v>
      </c>
      <c r="F33" s="74"/>
      <c r="G33" s="77">
        <f t="shared" ref="G33:AM33" si="0">(SUM(G9:G32))</f>
        <v>847.87800000000004</v>
      </c>
      <c r="H33" s="77">
        <f t="shared" si="0"/>
        <v>0</v>
      </c>
      <c r="I33" s="77">
        <f t="shared" si="0"/>
        <v>2216.7890000000002</v>
      </c>
      <c r="J33" s="77">
        <f t="shared" si="0"/>
        <v>0</v>
      </c>
      <c r="K33" s="77">
        <f t="shared" si="0"/>
        <v>3795.4198020958856</v>
      </c>
      <c r="L33" s="77">
        <f t="shared" si="0"/>
        <v>0</v>
      </c>
      <c r="M33" s="77">
        <f t="shared" si="0"/>
        <v>4611.1369999999997</v>
      </c>
      <c r="N33" s="95"/>
      <c r="O33" s="77">
        <f t="shared" si="0"/>
        <v>404.05297477275423</v>
      </c>
      <c r="P33" s="3">
        <v>0</v>
      </c>
      <c r="Q33" s="77">
        <f t="shared" si="0"/>
        <v>1748.6429999999998</v>
      </c>
      <c r="R33" s="3">
        <v>0</v>
      </c>
      <c r="S33" s="77">
        <f t="shared" si="0"/>
        <v>3431.7219999999988</v>
      </c>
      <c r="T33" s="3">
        <v>0</v>
      </c>
      <c r="U33" s="77">
        <f t="shared" si="0"/>
        <v>5164.0449999999992</v>
      </c>
      <c r="V33" s="3">
        <v>0</v>
      </c>
      <c r="W33" s="77">
        <f t="shared" si="0"/>
        <v>763.15100000000007</v>
      </c>
      <c r="X33" s="3">
        <v>0</v>
      </c>
      <c r="Y33" s="77">
        <f t="shared" si="0"/>
        <v>2500.288</v>
      </c>
      <c r="Z33" s="3">
        <v>0</v>
      </c>
      <c r="AA33" s="77">
        <f t="shared" si="0"/>
        <v>4276.3600000000006</v>
      </c>
      <c r="AB33" s="3">
        <v>0</v>
      </c>
      <c r="AC33" s="77">
        <f t="shared" si="0"/>
        <v>5977.067</v>
      </c>
      <c r="AD33" s="3">
        <v>0</v>
      </c>
      <c r="AE33" s="77">
        <f t="shared" si="0"/>
        <v>731.10200000000009</v>
      </c>
      <c r="AF33" s="3">
        <v>0</v>
      </c>
      <c r="AG33" s="77">
        <f t="shared" si="0"/>
        <v>2100.0400000000004</v>
      </c>
      <c r="AH33" s="3">
        <v>0</v>
      </c>
      <c r="AI33" s="77">
        <f t="shared" si="0"/>
        <v>4219.4869999999992</v>
      </c>
      <c r="AJ33" s="3">
        <v>0</v>
      </c>
      <c r="AK33" s="77">
        <f t="shared" si="0"/>
        <v>5174.7579999999998</v>
      </c>
      <c r="AM33" s="77">
        <f t="shared" si="0"/>
        <v>902</v>
      </c>
      <c r="AN33" s="77"/>
      <c r="AO33" s="77">
        <f>SUM(AO9:AO32)</f>
        <v>0</v>
      </c>
      <c r="AP33" s="77"/>
      <c r="AQ33" s="77">
        <f>SUM(AQ9:AQ32)</f>
        <v>0</v>
      </c>
      <c r="AR33" s="94"/>
      <c r="AS33" s="77">
        <f>SUM(AS9:AS32)</f>
        <v>0</v>
      </c>
    </row>
    <row r="34" spans="2:45" x14ac:dyDescent="0.25">
      <c r="B34" s="52"/>
      <c r="C34" s="72"/>
      <c r="D34" s="91"/>
      <c r="E34" s="73">
        <v>0</v>
      </c>
      <c r="F34" s="73"/>
      <c r="G34" s="73">
        <v>0</v>
      </c>
      <c r="H34" s="73">
        <v>0</v>
      </c>
      <c r="I34" s="73">
        <v>0</v>
      </c>
      <c r="J34" s="73">
        <v>0</v>
      </c>
      <c r="K34" s="73">
        <v>0</v>
      </c>
      <c r="L34" s="73">
        <v>0</v>
      </c>
      <c r="M34" s="73">
        <v>0</v>
      </c>
      <c r="N34" s="73"/>
      <c r="O34" s="73">
        <v>0</v>
      </c>
      <c r="P34" s="3">
        <v>0</v>
      </c>
      <c r="Q34" s="73">
        <v>0</v>
      </c>
      <c r="R34" s="3">
        <v>0</v>
      </c>
      <c r="S34" s="73">
        <v>0</v>
      </c>
      <c r="T34" s="3">
        <v>0</v>
      </c>
      <c r="U34" s="73">
        <v>0</v>
      </c>
      <c r="V34" s="3">
        <v>0</v>
      </c>
      <c r="W34" s="73">
        <v>0</v>
      </c>
      <c r="X34" s="3">
        <v>0</v>
      </c>
      <c r="Y34" s="73">
        <v>0</v>
      </c>
      <c r="Z34" s="3">
        <v>0</v>
      </c>
      <c r="AA34" s="73">
        <v>0</v>
      </c>
      <c r="AB34" s="3">
        <v>0</v>
      </c>
      <c r="AC34" s="73">
        <v>0</v>
      </c>
      <c r="AD34" s="3">
        <v>0</v>
      </c>
      <c r="AE34" s="73">
        <v>0</v>
      </c>
      <c r="AF34" s="3">
        <v>0</v>
      </c>
      <c r="AG34" s="73">
        <v>0</v>
      </c>
      <c r="AH34" s="3">
        <v>0</v>
      </c>
      <c r="AI34" s="73">
        <v>0</v>
      </c>
      <c r="AJ34" s="3">
        <v>0</v>
      </c>
      <c r="AK34" s="73">
        <v>0</v>
      </c>
      <c r="AM34" s="73"/>
      <c r="AN34" s="73"/>
      <c r="AO34" s="73"/>
      <c r="AP34" s="73"/>
      <c r="AQ34" s="73"/>
      <c r="AR34" s="73"/>
      <c r="AS34" s="73"/>
    </row>
    <row r="35" spans="2:45" x14ac:dyDescent="0.25">
      <c r="B35" s="59" t="s">
        <v>80</v>
      </c>
      <c r="C35" s="82" t="s">
        <v>195</v>
      </c>
      <c r="D35" s="93"/>
      <c r="E35" s="78">
        <v>0</v>
      </c>
      <c r="F35" s="73"/>
      <c r="G35" s="78">
        <v>0</v>
      </c>
      <c r="H35" s="78">
        <v>0</v>
      </c>
      <c r="I35" s="78">
        <v>0</v>
      </c>
      <c r="J35" s="78">
        <v>0</v>
      </c>
      <c r="K35" s="78">
        <v>0</v>
      </c>
      <c r="L35" s="78">
        <v>0</v>
      </c>
      <c r="M35" s="78">
        <v>0</v>
      </c>
      <c r="N35" s="73"/>
      <c r="O35" s="78">
        <v>0</v>
      </c>
      <c r="P35" s="3">
        <v>0</v>
      </c>
      <c r="Q35" s="78">
        <v>0</v>
      </c>
      <c r="R35" s="3">
        <v>0</v>
      </c>
      <c r="S35" s="78">
        <v>0</v>
      </c>
      <c r="T35" s="3">
        <v>0</v>
      </c>
      <c r="U35" s="78">
        <v>0</v>
      </c>
      <c r="V35" s="3">
        <v>0</v>
      </c>
      <c r="W35" s="78">
        <v>0</v>
      </c>
      <c r="X35" s="3">
        <v>0</v>
      </c>
      <c r="Y35" s="78">
        <v>0</v>
      </c>
      <c r="Z35" s="3">
        <v>0</v>
      </c>
      <c r="AA35" s="78">
        <v>0</v>
      </c>
      <c r="AB35" s="3">
        <v>0</v>
      </c>
      <c r="AC35" s="78">
        <v>0</v>
      </c>
      <c r="AD35" s="3">
        <v>0</v>
      </c>
      <c r="AE35" s="78">
        <v>0</v>
      </c>
      <c r="AF35" s="3">
        <v>0</v>
      </c>
      <c r="AG35" s="78">
        <v>0</v>
      </c>
      <c r="AH35" s="3">
        <v>0</v>
      </c>
      <c r="AI35" s="78">
        <v>0</v>
      </c>
      <c r="AJ35" s="3">
        <v>0</v>
      </c>
      <c r="AK35" s="78">
        <v>0</v>
      </c>
      <c r="AM35" s="78"/>
      <c r="AN35" s="78"/>
      <c r="AO35" s="78"/>
      <c r="AP35" s="78"/>
      <c r="AQ35" s="78"/>
      <c r="AR35" s="78"/>
      <c r="AS35" s="78"/>
    </row>
    <row r="36" spans="2:45" x14ac:dyDescent="0.25">
      <c r="B36" s="52" t="s">
        <v>5</v>
      </c>
      <c r="C36" s="72" t="s">
        <v>121</v>
      </c>
      <c r="D36" s="91"/>
      <c r="E36" s="73">
        <v>-216.52</v>
      </c>
      <c r="F36" s="73"/>
      <c r="G36" s="73">
        <v>-194.58099999999999</v>
      </c>
      <c r="H36" s="73">
        <v>0</v>
      </c>
      <c r="I36" s="73">
        <v>-443.98599999999999</v>
      </c>
      <c r="J36" s="73">
        <v>0</v>
      </c>
      <c r="K36" s="73">
        <v>-229.06800000000001</v>
      </c>
      <c r="L36" s="73">
        <v>0</v>
      </c>
      <c r="M36" s="73">
        <v>190.96799999999999</v>
      </c>
      <c r="N36" s="73"/>
      <c r="O36" s="73">
        <v>-300.3</v>
      </c>
      <c r="P36" s="3">
        <v>0</v>
      </c>
      <c r="Q36" s="73">
        <v>-690.322</v>
      </c>
      <c r="R36" s="3">
        <v>0</v>
      </c>
      <c r="S36" s="73">
        <v>-749.45500000000004</v>
      </c>
      <c r="T36" s="3">
        <v>0</v>
      </c>
      <c r="U36" s="73">
        <v>-153.94499999999999</v>
      </c>
      <c r="V36" s="3">
        <v>0</v>
      </c>
      <c r="W36" s="73">
        <v>-445.67599999999999</v>
      </c>
      <c r="X36" s="3">
        <v>0</v>
      </c>
      <c r="Y36" s="73">
        <v>-579.42200000000003</v>
      </c>
      <c r="Z36" s="3">
        <v>0</v>
      </c>
      <c r="AA36" s="73">
        <v>-720.63300000000004</v>
      </c>
      <c r="AB36" s="3">
        <v>0</v>
      </c>
      <c r="AC36" s="73">
        <v>-203.286</v>
      </c>
      <c r="AD36" s="3">
        <v>0</v>
      </c>
      <c r="AE36" s="73">
        <v>-287.83499999999998</v>
      </c>
      <c r="AF36" s="3">
        <v>0</v>
      </c>
      <c r="AG36" s="73">
        <v>-560.61500000000001</v>
      </c>
      <c r="AH36" s="3">
        <v>0</v>
      </c>
      <c r="AI36" s="73">
        <v>-627.52200000000005</v>
      </c>
      <c r="AJ36" s="3">
        <v>0</v>
      </c>
      <c r="AK36" s="73">
        <v>195.65299999999999</v>
      </c>
      <c r="AM36" s="73">
        <v>-432</v>
      </c>
      <c r="AN36" s="73"/>
      <c r="AO36" s="73"/>
      <c r="AP36" s="73"/>
      <c r="AQ36" s="73"/>
      <c r="AR36" s="73"/>
      <c r="AS36" s="73"/>
    </row>
    <row r="37" spans="2:45" x14ac:dyDescent="0.25">
      <c r="B37" s="53" t="s">
        <v>6</v>
      </c>
      <c r="C37" s="75" t="s">
        <v>122</v>
      </c>
      <c r="D37" s="92"/>
      <c r="E37" s="78">
        <v>39.680999999999997</v>
      </c>
      <c r="F37" s="73"/>
      <c r="G37" s="78">
        <v>-169.905</v>
      </c>
      <c r="H37" s="78">
        <v>0</v>
      </c>
      <c r="I37" s="78">
        <v>-181.97900000000001</v>
      </c>
      <c r="J37" s="78">
        <v>0</v>
      </c>
      <c r="K37" s="78">
        <v>-282.60700000000003</v>
      </c>
      <c r="L37" s="78">
        <v>0</v>
      </c>
      <c r="M37" s="78">
        <v>-533.54499999999996</v>
      </c>
      <c r="N37" s="73"/>
      <c r="O37" s="78">
        <v>-283.24799999999999</v>
      </c>
      <c r="P37" s="3">
        <v>0</v>
      </c>
      <c r="Q37" s="78">
        <v>-411.54300000000001</v>
      </c>
      <c r="R37" s="3">
        <v>0</v>
      </c>
      <c r="S37" s="78">
        <v>-499.89100000000002</v>
      </c>
      <c r="T37" s="3">
        <v>0</v>
      </c>
      <c r="U37" s="78">
        <v>-398.43900000000002</v>
      </c>
      <c r="V37" s="3">
        <v>0</v>
      </c>
      <c r="W37" s="78">
        <v>-259.62700000000001</v>
      </c>
      <c r="X37" s="3">
        <v>0</v>
      </c>
      <c r="Y37" s="78">
        <v>-52.215000000000003</v>
      </c>
      <c r="Z37" s="3">
        <v>0</v>
      </c>
      <c r="AA37" s="78">
        <v>26.972999999999999</v>
      </c>
      <c r="AB37" s="3">
        <v>0</v>
      </c>
      <c r="AC37" s="78">
        <v>-172.42099999999999</v>
      </c>
      <c r="AD37" s="3">
        <v>0</v>
      </c>
      <c r="AE37" s="78">
        <v>-267.54599999999999</v>
      </c>
      <c r="AF37" s="3">
        <v>0</v>
      </c>
      <c r="AG37" s="78">
        <v>-138.93700000000001</v>
      </c>
      <c r="AH37" s="3">
        <v>0</v>
      </c>
      <c r="AI37" s="78">
        <v>-132.74199999999999</v>
      </c>
      <c r="AJ37" s="3">
        <v>0</v>
      </c>
      <c r="AK37" s="78">
        <v>-297.91699999999997</v>
      </c>
      <c r="AM37" s="78">
        <v>-80</v>
      </c>
      <c r="AN37" s="78"/>
      <c r="AO37" s="78"/>
      <c r="AP37" s="78"/>
      <c r="AQ37" s="78"/>
      <c r="AR37" s="78"/>
      <c r="AS37" s="78"/>
    </row>
    <row r="38" spans="2:45" x14ac:dyDescent="0.25">
      <c r="B38" s="52" t="s">
        <v>7</v>
      </c>
      <c r="C38" s="72" t="s">
        <v>123</v>
      </c>
      <c r="D38" s="91"/>
      <c r="E38" s="73">
        <v>200.18</v>
      </c>
      <c r="F38" s="73"/>
      <c r="G38" s="73">
        <v>79.953999999999994</v>
      </c>
      <c r="H38" s="73">
        <v>0</v>
      </c>
      <c r="I38" s="73">
        <v>164.363</v>
      </c>
      <c r="J38" s="73">
        <v>0</v>
      </c>
      <c r="K38" s="73">
        <v>224.869</v>
      </c>
      <c r="L38" s="73">
        <v>0</v>
      </c>
      <c r="M38" s="73">
        <v>200.809</v>
      </c>
      <c r="N38" s="73"/>
      <c r="O38" s="73">
        <v>11.885999999999999</v>
      </c>
      <c r="P38" s="3">
        <v>0</v>
      </c>
      <c r="Q38" s="73">
        <v>105.404</v>
      </c>
      <c r="R38" s="3">
        <v>0</v>
      </c>
      <c r="S38" s="73">
        <v>162.685</v>
      </c>
      <c r="T38" s="3">
        <v>0</v>
      </c>
      <c r="U38" s="73">
        <v>358.91899999999998</v>
      </c>
      <c r="V38" s="3">
        <v>0</v>
      </c>
      <c r="W38" s="73">
        <v>100.018</v>
      </c>
      <c r="X38" s="3">
        <v>0</v>
      </c>
      <c r="Y38" s="73">
        <v>166.62100000000001</v>
      </c>
      <c r="Z38" s="3">
        <v>0</v>
      </c>
      <c r="AA38" s="73">
        <v>189.71899999999999</v>
      </c>
      <c r="AB38" s="3">
        <v>0</v>
      </c>
      <c r="AC38" s="73">
        <v>188.673</v>
      </c>
      <c r="AD38" s="3">
        <v>0</v>
      </c>
      <c r="AE38" s="73">
        <v>38.703000000000003</v>
      </c>
      <c r="AF38" s="3">
        <v>0</v>
      </c>
      <c r="AG38" s="73">
        <v>-25.835999999999999</v>
      </c>
      <c r="AH38" s="3">
        <v>0</v>
      </c>
      <c r="AI38" s="73">
        <v>-12.007</v>
      </c>
      <c r="AJ38" s="3">
        <v>0</v>
      </c>
      <c r="AK38" s="73">
        <v>11.76</v>
      </c>
      <c r="AM38" s="73">
        <v>-8</v>
      </c>
      <c r="AN38" s="73"/>
      <c r="AO38" s="73"/>
      <c r="AP38" s="73"/>
      <c r="AQ38" s="73"/>
      <c r="AR38" s="73"/>
      <c r="AS38" s="73"/>
    </row>
    <row r="39" spans="2:45" x14ac:dyDescent="0.25">
      <c r="B39" s="53" t="s">
        <v>11</v>
      </c>
      <c r="C39" s="75" t="s">
        <v>131</v>
      </c>
      <c r="D39" s="91"/>
      <c r="E39" s="78">
        <v>-24.013000000000002</v>
      </c>
      <c r="F39" s="73"/>
      <c r="G39" s="78">
        <v>3.0449999999999999</v>
      </c>
      <c r="H39" s="78">
        <v>0</v>
      </c>
      <c r="I39" s="78">
        <v>1.64</v>
      </c>
      <c r="J39" s="78">
        <v>0</v>
      </c>
      <c r="K39" s="78">
        <v>4.774</v>
      </c>
      <c r="L39" s="78">
        <v>0</v>
      </c>
      <c r="M39" s="78">
        <v>5.1260000000000003</v>
      </c>
      <c r="N39" s="73"/>
      <c r="O39" s="78">
        <v>15.523</v>
      </c>
      <c r="P39" s="3">
        <v>0</v>
      </c>
      <c r="Q39" s="78">
        <v>14.571</v>
      </c>
      <c r="R39" s="3">
        <v>0</v>
      </c>
      <c r="S39" s="78">
        <v>38.881</v>
      </c>
      <c r="T39" s="3">
        <v>0</v>
      </c>
      <c r="U39" s="78">
        <v>26.242000000000001</v>
      </c>
      <c r="V39" s="3">
        <v>0</v>
      </c>
      <c r="W39" s="78">
        <v>-12.738</v>
      </c>
      <c r="X39" s="3">
        <v>0</v>
      </c>
      <c r="Y39" s="78">
        <v>-14.592000000000001</v>
      </c>
      <c r="Z39" s="3">
        <v>0</v>
      </c>
      <c r="AA39" s="78">
        <v>21.541</v>
      </c>
      <c r="AB39" s="3">
        <v>0</v>
      </c>
      <c r="AC39" s="78">
        <v>4.601</v>
      </c>
      <c r="AD39" s="3">
        <v>0</v>
      </c>
      <c r="AE39" s="78">
        <v>5.8579999999999997</v>
      </c>
      <c r="AF39" s="3">
        <v>0</v>
      </c>
      <c r="AG39" s="78">
        <v>47.215000000000003</v>
      </c>
      <c r="AH39" s="3">
        <v>0</v>
      </c>
      <c r="AI39" s="78">
        <v>50.231000000000002</v>
      </c>
      <c r="AJ39" s="3">
        <v>0</v>
      </c>
      <c r="AK39" s="78">
        <v>87.284999999999997</v>
      </c>
      <c r="AM39" s="78">
        <v>12</v>
      </c>
      <c r="AN39" s="78"/>
      <c r="AO39" s="78"/>
      <c r="AP39" s="78"/>
      <c r="AQ39" s="78"/>
      <c r="AR39" s="78"/>
      <c r="AS39" s="78"/>
    </row>
    <row r="40" spans="2:45" x14ac:dyDescent="0.25">
      <c r="B40" s="52" t="s">
        <v>12</v>
      </c>
      <c r="C40" s="72" t="s">
        <v>132</v>
      </c>
      <c r="D40" s="91"/>
      <c r="E40" s="73">
        <v>26.721</v>
      </c>
      <c r="F40" s="73"/>
      <c r="G40" s="73">
        <v>-2.5510000000000002</v>
      </c>
      <c r="H40" s="73">
        <v>0</v>
      </c>
      <c r="I40" s="73">
        <v>-7.08</v>
      </c>
      <c r="J40" s="73">
        <v>0</v>
      </c>
      <c r="K40" s="73">
        <v>-15.247</v>
      </c>
      <c r="L40" s="73">
        <v>0</v>
      </c>
      <c r="M40" s="73">
        <v>-17.088999999999999</v>
      </c>
      <c r="N40" s="73"/>
      <c r="O40" s="73">
        <v>-8.5419999999999998</v>
      </c>
      <c r="P40" s="3">
        <v>0</v>
      </c>
      <c r="Q40" s="73">
        <v>-22.195</v>
      </c>
      <c r="R40" s="3">
        <v>0</v>
      </c>
      <c r="S40" s="73">
        <v>-31.356999999999999</v>
      </c>
      <c r="T40" s="3">
        <v>0</v>
      </c>
      <c r="U40" s="73">
        <v>-117.029</v>
      </c>
      <c r="V40" s="3">
        <v>0</v>
      </c>
      <c r="W40" s="73">
        <v>-15.036</v>
      </c>
      <c r="X40" s="3">
        <v>0</v>
      </c>
      <c r="Y40" s="73">
        <v>-6.44</v>
      </c>
      <c r="Z40" s="3">
        <v>0</v>
      </c>
      <c r="AA40" s="73">
        <v>-16.716999999999999</v>
      </c>
      <c r="AB40" s="3">
        <v>0</v>
      </c>
      <c r="AC40" s="73">
        <v>-27.324000000000002</v>
      </c>
      <c r="AD40" s="3">
        <v>0</v>
      </c>
      <c r="AE40" s="73">
        <v>-7.1459999999999999</v>
      </c>
      <c r="AF40" s="3">
        <v>0</v>
      </c>
      <c r="AG40" s="73">
        <v>-8.3439999999999994</v>
      </c>
      <c r="AH40" s="3">
        <v>0</v>
      </c>
      <c r="AI40" s="73">
        <v>-14.364000000000001</v>
      </c>
      <c r="AJ40" s="3">
        <v>0</v>
      </c>
      <c r="AK40" s="73">
        <v>-4.4320000000000004</v>
      </c>
      <c r="AM40" s="73">
        <v>35</v>
      </c>
      <c r="AN40" s="73"/>
      <c r="AO40" s="73"/>
      <c r="AP40" s="73"/>
      <c r="AQ40" s="73"/>
      <c r="AR40" s="73"/>
      <c r="AS40" s="73"/>
    </row>
    <row r="41" spans="2:45" x14ac:dyDescent="0.25">
      <c r="B41" s="53" t="s">
        <v>54</v>
      </c>
      <c r="C41" s="75" t="s">
        <v>133</v>
      </c>
      <c r="D41" s="91"/>
      <c r="E41" s="78">
        <v>23.846</v>
      </c>
      <c r="F41" s="74"/>
      <c r="G41" s="78">
        <v>-85.081000000000003</v>
      </c>
      <c r="H41" s="78">
        <v>0</v>
      </c>
      <c r="I41" s="78">
        <v>-109.383</v>
      </c>
      <c r="J41" s="78">
        <v>0</v>
      </c>
      <c r="K41" s="78">
        <v>-306.14100000000002</v>
      </c>
      <c r="L41" s="78">
        <v>0</v>
      </c>
      <c r="M41" s="78">
        <v>-34.854999999999997</v>
      </c>
      <c r="N41" s="73"/>
      <c r="O41" s="78">
        <v>-138.86199999999999</v>
      </c>
      <c r="P41" s="3">
        <v>0</v>
      </c>
      <c r="Q41" s="78">
        <v>-255.369</v>
      </c>
      <c r="R41" s="3">
        <v>0</v>
      </c>
      <c r="S41" s="78">
        <v>-292.90100000000001</v>
      </c>
      <c r="T41" s="3">
        <v>0</v>
      </c>
      <c r="U41" s="78">
        <v>-71.894000000000005</v>
      </c>
      <c r="V41" s="3">
        <v>0</v>
      </c>
      <c r="W41" s="78">
        <v>-83.406000000000006</v>
      </c>
      <c r="X41" s="3">
        <v>0</v>
      </c>
      <c r="Y41" s="78">
        <v>-298.59100000000001</v>
      </c>
      <c r="Z41" s="3">
        <v>0</v>
      </c>
      <c r="AA41" s="78">
        <v>-304.58800000000002</v>
      </c>
      <c r="AB41" s="3">
        <v>0</v>
      </c>
      <c r="AC41" s="78">
        <v>-96.841999999999999</v>
      </c>
      <c r="AD41" s="3">
        <v>0</v>
      </c>
      <c r="AE41" s="78">
        <v>-37.475000000000001</v>
      </c>
      <c r="AF41" s="3">
        <v>0</v>
      </c>
      <c r="AG41" s="78">
        <v>-160.42400000000001</v>
      </c>
      <c r="AH41" s="3">
        <v>0</v>
      </c>
      <c r="AI41" s="78">
        <v>-246.756</v>
      </c>
      <c r="AJ41" s="3">
        <v>0</v>
      </c>
      <c r="AK41" s="78">
        <v>-169.01</v>
      </c>
      <c r="AM41" s="78">
        <v>-18</v>
      </c>
      <c r="AN41" s="77"/>
      <c r="AO41" s="78"/>
      <c r="AP41" s="78"/>
      <c r="AQ41" s="78"/>
      <c r="AR41" s="78"/>
      <c r="AS41" s="78"/>
    </row>
    <row r="42" spans="2:45" x14ac:dyDescent="0.25">
      <c r="B42" s="52" t="s">
        <v>81</v>
      </c>
      <c r="C42" s="72" t="s">
        <v>196</v>
      </c>
      <c r="D42" s="91"/>
      <c r="E42" s="73">
        <v>13.756</v>
      </c>
      <c r="F42" s="73"/>
      <c r="G42" s="73">
        <v>-58.381</v>
      </c>
      <c r="H42" s="73">
        <v>0</v>
      </c>
      <c r="I42" s="73">
        <v>9.35</v>
      </c>
      <c r="J42" s="73">
        <v>0</v>
      </c>
      <c r="K42" s="73">
        <v>-32.146000000000001</v>
      </c>
      <c r="L42" s="73">
        <v>0</v>
      </c>
      <c r="M42" s="73">
        <v>68.034000000000006</v>
      </c>
      <c r="N42" s="73"/>
      <c r="O42" s="73">
        <v>-3.7010000000000001</v>
      </c>
      <c r="P42" s="3">
        <v>0</v>
      </c>
      <c r="Q42" s="73">
        <v>-82.444999999999993</v>
      </c>
      <c r="R42" s="3">
        <v>0</v>
      </c>
      <c r="S42" s="73">
        <v>-259.79500000000002</v>
      </c>
      <c r="T42" s="3">
        <v>0</v>
      </c>
      <c r="U42" s="73">
        <v>-213.63900000000001</v>
      </c>
      <c r="V42" s="3">
        <v>0</v>
      </c>
      <c r="W42" s="73">
        <v>-55.817</v>
      </c>
      <c r="X42" s="3">
        <v>0</v>
      </c>
      <c r="Y42" s="73">
        <v>37.200000000000003</v>
      </c>
      <c r="Z42" s="3">
        <v>0</v>
      </c>
      <c r="AA42" s="73">
        <v>77.176000000000002</v>
      </c>
      <c r="AB42" s="3">
        <v>0</v>
      </c>
      <c r="AC42" s="73">
        <v>96.691000000000003</v>
      </c>
      <c r="AD42" s="3">
        <v>0</v>
      </c>
      <c r="AE42" s="73">
        <v>-169.80199999999999</v>
      </c>
      <c r="AF42" s="3">
        <v>0</v>
      </c>
      <c r="AG42" s="73">
        <v>-69.77</v>
      </c>
      <c r="AH42" s="3">
        <v>0</v>
      </c>
      <c r="AI42" s="73">
        <v>-60.21</v>
      </c>
      <c r="AJ42" s="3">
        <v>0</v>
      </c>
      <c r="AK42" s="73">
        <v>-137.602</v>
      </c>
      <c r="AM42" s="73">
        <v>-402</v>
      </c>
      <c r="AN42" s="73"/>
      <c r="AO42" s="73"/>
      <c r="AP42" s="73"/>
      <c r="AQ42" s="73"/>
      <c r="AR42" s="73"/>
      <c r="AS42" s="73"/>
    </row>
    <row r="43" spans="2:45" x14ac:dyDescent="0.25">
      <c r="B43" s="51" t="s">
        <v>42</v>
      </c>
      <c r="C43" s="81" t="s">
        <v>197</v>
      </c>
      <c r="D43" s="91"/>
      <c r="E43" s="78">
        <v>0</v>
      </c>
      <c r="F43" s="73"/>
      <c r="G43" s="78">
        <v>0</v>
      </c>
      <c r="H43" s="78">
        <v>0</v>
      </c>
      <c r="I43" s="78">
        <v>0</v>
      </c>
      <c r="J43" s="78">
        <v>0</v>
      </c>
      <c r="K43" s="78">
        <v>0</v>
      </c>
      <c r="L43" s="78">
        <v>0</v>
      </c>
      <c r="M43" s="78">
        <v>0</v>
      </c>
      <c r="N43" s="73"/>
      <c r="O43" s="78">
        <v>0</v>
      </c>
      <c r="P43" s="3">
        <v>0</v>
      </c>
      <c r="Q43" s="78">
        <v>0</v>
      </c>
      <c r="R43" s="3">
        <v>0</v>
      </c>
      <c r="S43" s="78">
        <v>0</v>
      </c>
      <c r="T43" s="3">
        <v>0</v>
      </c>
      <c r="U43" s="78">
        <v>0</v>
      </c>
      <c r="V43" s="3">
        <v>0</v>
      </c>
      <c r="W43" s="78">
        <v>0</v>
      </c>
      <c r="X43" s="3">
        <v>0</v>
      </c>
      <c r="Y43" s="78">
        <v>0</v>
      </c>
      <c r="Z43" s="3">
        <v>0</v>
      </c>
      <c r="AA43" s="78">
        <v>0</v>
      </c>
      <c r="AB43" s="3">
        <v>0</v>
      </c>
      <c r="AC43" s="78">
        <v>0</v>
      </c>
      <c r="AD43" s="3">
        <v>0</v>
      </c>
      <c r="AE43" s="78">
        <v>0</v>
      </c>
      <c r="AF43" s="3">
        <v>0</v>
      </c>
      <c r="AG43" s="78">
        <v>0</v>
      </c>
      <c r="AH43" s="3">
        <v>0</v>
      </c>
      <c r="AI43" s="78">
        <v>0</v>
      </c>
      <c r="AJ43" s="3">
        <v>0</v>
      </c>
      <c r="AK43" s="78">
        <v>0</v>
      </c>
      <c r="AM43" s="78">
        <v>0</v>
      </c>
      <c r="AN43" s="78"/>
      <c r="AO43" s="78"/>
      <c r="AP43" s="78"/>
      <c r="AQ43" s="78"/>
      <c r="AR43" s="78"/>
      <c r="AS43" s="78"/>
    </row>
    <row r="44" spans="2:45" x14ac:dyDescent="0.25">
      <c r="B44" s="52" t="s">
        <v>278</v>
      </c>
      <c r="C44" s="72" t="s">
        <v>198</v>
      </c>
      <c r="D44" s="91"/>
      <c r="E44" s="73">
        <v>203.70400000000001</v>
      </c>
      <c r="F44" s="73"/>
      <c r="G44" s="73">
        <v>-342.94099999999997</v>
      </c>
      <c r="H44" s="73">
        <v>0</v>
      </c>
      <c r="I44" s="73">
        <v>-170.053</v>
      </c>
      <c r="J44" s="73">
        <v>0</v>
      </c>
      <c r="K44" s="73">
        <v>-53.287999999999997</v>
      </c>
      <c r="L44" s="73">
        <v>0</v>
      </c>
      <c r="M44" s="73">
        <v>607.84900000000005</v>
      </c>
      <c r="N44" s="73"/>
      <c r="O44" s="73">
        <v>0.754</v>
      </c>
      <c r="P44" s="3">
        <v>0</v>
      </c>
      <c r="Q44" s="73">
        <v>393.78199999999998</v>
      </c>
      <c r="R44" s="3">
        <v>0</v>
      </c>
      <c r="S44" s="73">
        <v>555.495</v>
      </c>
      <c r="T44" s="3">
        <v>0</v>
      </c>
      <c r="U44" s="73">
        <v>429.46899999999999</v>
      </c>
      <c r="V44" s="3">
        <v>0</v>
      </c>
      <c r="W44" s="73">
        <v>-599.97299999999996</v>
      </c>
      <c r="X44" s="3">
        <v>0</v>
      </c>
      <c r="Y44" s="73">
        <v>-828.202</v>
      </c>
      <c r="Z44" s="3">
        <v>0</v>
      </c>
      <c r="AA44" s="73">
        <v>-759.59100000000001</v>
      </c>
      <c r="AB44" s="3">
        <v>0</v>
      </c>
      <c r="AC44" s="73">
        <v>-249.578</v>
      </c>
      <c r="AD44" s="3">
        <v>0</v>
      </c>
      <c r="AE44" s="73">
        <v>-618.71799999999996</v>
      </c>
      <c r="AF44" s="3">
        <v>0</v>
      </c>
      <c r="AG44" s="73">
        <v>-505.5</v>
      </c>
      <c r="AH44" s="3">
        <v>0</v>
      </c>
      <c r="AI44" s="73">
        <v>-882.76700000000005</v>
      </c>
      <c r="AJ44" s="3">
        <v>0</v>
      </c>
      <c r="AK44" s="73">
        <v>-149.48099999999999</v>
      </c>
      <c r="AM44" s="73">
        <v>-283</v>
      </c>
      <c r="AN44" s="73"/>
      <c r="AO44" s="73"/>
      <c r="AP44" s="73"/>
      <c r="AQ44" s="73"/>
      <c r="AR44" s="73"/>
      <c r="AS44" s="73"/>
    </row>
    <row r="45" spans="2:45" x14ac:dyDescent="0.25">
      <c r="B45" s="53" t="s">
        <v>15</v>
      </c>
      <c r="C45" s="75" t="s">
        <v>145</v>
      </c>
      <c r="D45" s="91"/>
      <c r="E45" s="78">
        <v>379.471</v>
      </c>
      <c r="F45" s="73"/>
      <c r="G45" s="78">
        <v>-43.64</v>
      </c>
      <c r="H45" s="78">
        <v>0</v>
      </c>
      <c r="I45" s="78">
        <v>26.922000000000001</v>
      </c>
      <c r="J45" s="78">
        <v>0</v>
      </c>
      <c r="K45" s="78">
        <v>368.77</v>
      </c>
      <c r="L45" s="78">
        <v>0</v>
      </c>
      <c r="M45" s="78">
        <v>467.73099999999999</v>
      </c>
      <c r="N45" s="73"/>
      <c r="O45" s="78">
        <v>89.415999999999997</v>
      </c>
      <c r="P45" s="3">
        <v>0</v>
      </c>
      <c r="Q45" s="78">
        <v>46.831000000000003</v>
      </c>
      <c r="R45" s="3">
        <v>0</v>
      </c>
      <c r="S45" s="78">
        <v>290.79700000000003</v>
      </c>
      <c r="T45" s="3">
        <v>0</v>
      </c>
      <c r="U45" s="78">
        <v>428.02199999999999</v>
      </c>
      <c r="V45" s="3">
        <v>0</v>
      </c>
      <c r="W45" s="78">
        <v>27.367999999999999</v>
      </c>
      <c r="X45" s="3">
        <v>0</v>
      </c>
      <c r="Y45" s="78">
        <v>-312.83</v>
      </c>
      <c r="Z45" s="3">
        <v>0</v>
      </c>
      <c r="AA45" s="78">
        <v>-345.43799999999999</v>
      </c>
      <c r="AB45" s="3">
        <v>0</v>
      </c>
      <c r="AC45" s="78">
        <v>-229.68600000000001</v>
      </c>
      <c r="AD45" s="3">
        <v>0</v>
      </c>
      <c r="AE45" s="78">
        <v>-318.83100000000002</v>
      </c>
      <c r="AF45" s="3">
        <v>0</v>
      </c>
      <c r="AG45" s="78">
        <v>-436.46100000000001</v>
      </c>
      <c r="AH45" s="3">
        <v>0</v>
      </c>
      <c r="AI45" s="78">
        <v>-231.27</v>
      </c>
      <c r="AJ45" s="3">
        <v>0</v>
      </c>
      <c r="AK45" s="78">
        <v>-223.45400000000001</v>
      </c>
      <c r="AM45" s="78">
        <v>-211</v>
      </c>
      <c r="AN45" s="78"/>
      <c r="AO45" s="78"/>
      <c r="AP45" s="78"/>
      <c r="AQ45" s="78"/>
      <c r="AR45" s="78"/>
      <c r="AS45" s="78"/>
    </row>
    <row r="46" spans="2:45" x14ac:dyDescent="0.25">
      <c r="B46" s="52" t="s">
        <v>16</v>
      </c>
      <c r="C46" s="72" t="s">
        <v>147</v>
      </c>
      <c r="D46" s="92"/>
      <c r="E46" s="73">
        <v>147.78800000000001</v>
      </c>
      <c r="F46" s="73"/>
      <c r="G46" s="73">
        <v>-157.62899999999999</v>
      </c>
      <c r="H46" s="73">
        <v>0</v>
      </c>
      <c r="I46" s="73">
        <v>-66.701999999999998</v>
      </c>
      <c r="J46" s="73">
        <v>0</v>
      </c>
      <c r="K46" s="73">
        <v>56.482999999999997</v>
      </c>
      <c r="L46" s="73">
        <v>0</v>
      </c>
      <c r="M46" s="73">
        <v>61.973999999999997</v>
      </c>
      <c r="N46" s="73"/>
      <c r="O46" s="73">
        <v>-160.744</v>
      </c>
      <c r="P46" s="3">
        <v>0</v>
      </c>
      <c r="Q46" s="73">
        <v>-105.946</v>
      </c>
      <c r="R46" s="3">
        <v>0</v>
      </c>
      <c r="S46" s="73">
        <v>-1.601</v>
      </c>
      <c r="T46" s="3">
        <v>0</v>
      </c>
      <c r="U46" s="73">
        <v>-12.856</v>
      </c>
      <c r="V46" s="3">
        <v>0</v>
      </c>
      <c r="W46" s="73">
        <v>-57.835000000000001</v>
      </c>
      <c r="X46" s="3">
        <v>0</v>
      </c>
      <c r="Y46" s="73">
        <v>-10.923</v>
      </c>
      <c r="Z46" s="3">
        <v>0</v>
      </c>
      <c r="AA46" s="73">
        <v>114.167</v>
      </c>
      <c r="AB46" s="3">
        <v>0</v>
      </c>
      <c r="AC46" s="73">
        <v>143.41999999999999</v>
      </c>
      <c r="AD46" s="3">
        <v>0</v>
      </c>
      <c r="AE46" s="73">
        <v>-210.59800000000001</v>
      </c>
      <c r="AF46" s="3">
        <v>0</v>
      </c>
      <c r="AG46" s="73">
        <v>-164.601</v>
      </c>
      <c r="AH46" s="3">
        <v>0</v>
      </c>
      <c r="AI46" s="73">
        <v>-53.3</v>
      </c>
      <c r="AJ46" s="3">
        <v>0</v>
      </c>
      <c r="AK46" s="73">
        <v>-52.453000000000003</v>
      </c>
      <c r="AM46" s="73">
        <v>-124</v>
      </c>
      <c r="AN46" s="73"/>
      <c r="AO46" s="73"/>
      <c r="AP46" s="73"/>
      <c r="AQ46" s="73"/>
      <c r="AR46" s="73"/>
      <c r="AS46" s="73"/>
    </row>
    <row r="47" spans="2:45" x14ac:dyDescent="0.25">
      <c r="B47" s="53" t="s">
        <v>18</v>
      </c>
      <c r="C47" s="75" t="s">
        <v>150</v>
      </c>
      <c r="D47" s="92"/>
      <c r="E47" s="78">
        <v>21.629000000000001</v>
      </c>
      <c r="F47" s="73"/>
      <c r="G47" s="78">
        <v>12.737</v>
      </c>
      <c r="H47" s="78">
        <v>0</v>
      </c>
      <c r="I47" s="78">
        <v>26.885000000000002</v>
      </c>
      <c r="J47" s="78">
        <v>0</v>
      </c>
      <c r="K47" s="78">
        <v>54.24</v>
      </c>
      <c r="L47" s="78">
        <v>0</v>
      </c>
      <c r="M47" s="78">
        <v>-10.611000000000001</v>
      </c>
      <c r="N47" s="73"/>
      <c r="O47" s="78">
        <v>2.31</v>
      </c>
      <c r="P47" s="3">
        <v>0</v>
      </c>
      <c r="Q47" s="78">
        <v>-1.532</v>
      </c>
      <c r="R47" s="3">
        <v>0</v>
      </c>
      <c r="S47" s="78">
        <v>9.1910000000000007</v>
      </c>
      <c r="T47" s="3">
        <v>0</v>
      </c>
      <c r="U47" s="78">
        <v>19.609000000000002</v>
      </c>
      <c r="V47" s="3">
        <v>0</v>
      </c>
      <c r="W47" s="78">
        <v>-10.842000000000001</v>
      </c>
      <c r="X47" s="3">
        <v>0</v>
      </c>
      <c r="Y47" s="78">
        <v>-9.5570000000000004</v>
      </c>
      <c r="Z47" s="3">
        <v>0</v>
      </c>
      <c r="AA47" s="78">
        <v>-13.353</v>
      </c>
      <c r="AB47" s="3">
        <v>0</v>
      </c>
      <c r="AC47" s="78">
        <v>39.685000000000002</v>
      </c>
      <c r="AD47" s="3">
        <v>0</v>
      </c>
      <c r="AE47" s="78">
        <v>-49.634</v>
      </c>
      <c r="AF47" s="3">
        <v>0</v>
      </c>
      <c r="AG47" s="78">
        <v>-41.750999999999998</v>
      </c>
      <c r="AH47" s="3">
        <v>0</v>
      </c>
      <c r="AI47" s="78">
        <v>-22.832000000000001</v>
      </c>
      <c r="AJ47" s="3">
        <v>0</v>
      </c>
      <c r="AK47" s="78">
        <v>-25.199000000000002</v>
      </c>
      <c r="AM47" s="78">
        <v>1</v>
      </c>
      <c r="AN47" s="78"/>
      <c r="AO47" s="78"/>
      <c r="AP47" s="78"/>
      <c r="AQ47" s="78"/>
      <c r="AR47" s="78"/>
      <c r="AS47" s="78"/>
    </row>
    <row r="48" spans="2:45" x14ac:dyDescent="0.25">
      <c r="B48" s="52" t="s">
        <v>82</v>
      </c>
      <c r="C48" s="72" t="s">
        <v>149</v>
      </c>
      <c r="D48" s="91"/>
      <c r="E48" s="73">
        <v>43.87</v>
      </c>
      <c r="F48" s="73"/>
      <c r="G48" s="73">
        <v>19.091000000000001</v>
      </c>
      <c r="H48" s="73">
        <v>0</v>
      </c>
      <c r="I48" s="73">
        <v>43.109000000000002</v>
      </c>
      <c r="J48" s="73">
        <v>0</v>
      </c>
      <c r="K48" s="73">
        <v>103.35044053999999</v>
      </c>
      <c r="L48" s="73">
        <v>0</v>
      </c>
      <c r="M48" s="73">
        <v>48.927</v>
      </c>
      <c r="N48" s="73"/>
      <c r="O48" s="73">
        <v>12.279</v>
      </c>
      <c r="P48" s="3">
        <v>0</v>
      </c>
      <c r="Q48" s="73">
        <v>50.927</v>
      </c>
      <c r="R48" s="3">
        <v>0</v>
      </c>
      <c r="S48" s="73">
        <v>77.191000000000003</v>
      </c>
      <c r="T48" s="3">
        <v>0</v>
      </c>
      <c r="U48" s="73">
        <v>-224.791</v>
      </c>
      <c r="V48" s="3">
        <v>0</v>
      </c>
      <c r="W48" s="73">
        <v>-55.756999999999998</v>
      </c>
      <c r="X48" s="3">
        <v>0</v>
      </c>
      <c r="Y48" s="73">
        <v>24.091693251492309</v>
      </c>
      <c r="Z48" s="3">
        <v>0</v>
      </c>
      <c r="AA48" s="73">
        <v>7.5430000000000001</v>
      </c>
      <c r="AB48" s="3">
        <v>0</v>
      </c>
      <c r="AC48" s="73">
        <v>-93.944999999999993</v>
      </c>
      <c r="AD48" s="3">
        <v>0</v>
      </c>
      <c r="AE48" s="73">
        <v>-58.204999999999998</v>
      </c>
      <c r="AF48" s="3">
        <v>0</v>
      </c>
      <c r="AG48" s="73">
        <v>33.880000000000003</v>
      </c>
      <c r="AH48" s="3">
        <v>0</v>
      </c>
      <c r="AI48" s="73">
        <v>242.25899999999999</v>
      </c>
      <c r="AJ48" s="3">
        <v>0</v>
      </c>
      <c r="AK48" s="73">
        <v>-43.472000000000001</v>
      </c>
      <c r="AM48" s="73">
        <v>22</v>
      </c>
      <c r="AN48" s="73"/>
      <c r="AO48" s="73"/>
      <c r="AP48" s="73"/>
      <c r="AQ48" s="73"/>
      <c r="AR48" s="73"/>
      <c r="AS48" s="73"/>
    </row>
    <row r="49" spans="2:45" x14ac:dyDescent="0.25">
      <c r="B49" s="53" t="s">
        <v>83</v>
      </c>
      <c r="C49" s="75" t="s">
        <v>199</v>
      </c>
      <c r="D49" s="92"/>
      <c r="E49" s="78">
        <v>-69.072999999999993</v>
      </c>
      <c r="F49" s="73"/>
      <c r="G49" s="78">
        <v>-15.76</v>
      </c>
      <c r="H49" s="78">
        <v>0</v>
      </c>
      <c r="I49" s="78">
        <v>-54.003</v>
      </c>
      <c r="J49" s="78">
        <v>0</v>
      </c>
      <c r="K49" s="78">
        <v>-78.191000000000003</v>
      </c>
      <c r="L49" s="78">
        <v>0</v>
      </c>
      <c r="M49" s="78">
        <v>-122.229</v>
      </c>
      <c r="N49" s="73"/>
      <c r="O49" s="78">
        <v>-14.912000000000001</v>
      </c>
      <c r="P49" s="3">
        <v>0</v>
      </c>
      <c r="Q49" s="78">
        <v>-40.003</v>
      </c>
      <c r="R49" s="3">
        <v>0</v>
      </c>
      <c r="S49" s="78">
        <v>-62.506999999999998</v>
      </c>
      <c r="T49" s="3">
        <v>0</v>
      </c>
      <c r="U49" s="78">
        <v>-82.572999999999993</v>
      </c>
      <c r="V49" s="3">
        <v>0</v>
      </c>
      <c r="W49" s="78">
        <v>-21.184000000000001</v>
      </c>
      <c r="X49" s="3">
        <v>0</v>
      </c>
      <c r="Y49" s="78">
        <v>-46.82</v>
      </c>
      <c r="Z49" s="3">
        <v>0</v>
      </c>
      <c r="AA49" s="78">
        <v>-70.837000000000003</v>
      </c>
      <c r="AB49" s="3">
        <v>0</v>
      </c>
      <c r="AC49" s="78">
        <v>-99.427000000000007</v>
      </c>
      <c r="AD49" s="3">
        <v>0</v>
      </c>
      <c r="AE49" s="78">
        <v>-28.260999999999999</v>
      </c>
      <c r="AF49" s="3">
        <v>0</v>
      </c>
      <c r="AG49" s="78">
        <v>-79.069999999999993</v>
      </c>
      <c r="AH49" s="3">
        <v>0</v>
      </c>
      <c r="AI49" s="78">
        <v>-105.125</v>
      </c>
      <c r="AJ49" s="3">
        <v>0</v>
      </c>
      <c r="AK49" s="78">
        <v>-148.411</v>
      </c>
      <c r="AM49" s="78">
        <v>-27</v>
      </c>
      <c r="AN49" s="78"/>
      <c r="AO49" s="78"/>
      <c r="AP49" s="78"/>
      <c r="AQ49" s="78"/>
      <c r="AR49" s="78"/>
      <c r="AS49" s="78"/>
    </row>
    <row r="50" spans="2:45" x14ac:dyDescent="0.25">
      <c r="B50" s="52" t="s">
        <v>84</v>
      </c>
      <c r="C50" s="72" t="s">
        <v>200</v>
      </c>
      <c r="D50" s="92"/>
      <c r="E50" s="79">
        <f>(-120305)/1000</f>
        <v>-120.30500000000001</v>
      </c>
      <c r="F50" s="74"/>
      <c r="G50" s="79">
        <v>-137.346</v>
      </c>
      <c r="H50" s="79">
        <v>0</v>
      </c>
      <c r="I50" s="79">
        <v>-156.53200000000001</v>
      </c>
      <c r="J50" s="79">
        <v>0</v>
      </c>
      <c r="K50" s="79">
        <v>-81.921000000000006</v>
      </c>
      <c r="L50" s="79">
        <v>0</v>
      </c>
      <c r="M50" s="79">
        <v>347.399</v>
      </c>
      <c r="N50" s="95"/>
      <c r="O50" s="79">
        <v>-109.32899999999999</v>
      </c>
      <c r="P50" s="3">
        <v>0</v>
      </c>
      <c r="Q50" s="79">
        <v>-46.497999999999998</v>
      </c>
      <c r="R50" s="3">
        <v>0</v>
      </c>
      <c r="S50" s="79">
        <v>256.60399999999998</v>
      </c>
      <c r="T50" s="3">
        <v>0</v>
      </c>
      <c r="U50" s="79">
        <v>-298.423</v>
      </c>
      <c r="V50" s="3">
        <v>0</v>
      </c>
      <c r="W50" s="79">
        <v>-144.49100000000001</v>
      </c>
      <c r="X50" s="3">
        <v>0</v>
      </c>
      <c r="Y50" s="79">
        <v>-93.855000000000004</v>
      </c>
      <c r="Z50" s="3">
        <v>0</v>
      </c>
      <c r="AA50" s="79">
        <v>-35.811</v>
      </c>
      <c r="AB50" s="3">
        <v>0</v>
      </c>
      <c r="AC50" s="79">
        <v>-142.852</v>
      </c>
      <c r="AD50" s="3">
        <v>0</v>
      </c>
      <c r="AE50" s="79">
        <v>-25.359000000000002</v>
      </c>
      <c r="AF50" s="3">
        <v>0</v>
      </c>
      <c r="AG50" s="79">
        <v>46.494999999999997</v>
      </c>
      <c r="AH50" s="3">
        <v>0</v>
      </c>
      <c r="AI50" s="79">
        <v>-78.231999999999999</v>
      </c>
      <c r="AJ50" s="3">
        <v>0</v>
      </c>
      <c r="AK50" s="79">
        <v>280.51499999999999</v>
      </c>
      <c r="AM50" s="79">
        <v>-200</v>
      </c>
      <c r="AN50" s="74"/>
      <c r="AO50" s="79"/>
      <c r="AP50" s="74"/>
      <c r="AQ50" s="79"/>
      <c r="AR50" s="95"/>
      <c r="AS50" s="79"/>
    </row>
    <row r="51" spans="2:45" x14ac:dyDescent="0.25">
      <c r="B51" s="51" t="s">
        <v>85</v>
      </c>
      <c r="C51" s="81" t="s">
        <v>201</v>
      </c>
      <c r="D51" s="92"/>
      <c r="E51" s="77">
        <f>(SUM(E33,E36:E42,E44:E50))</f>
        <v>4291.6550000000007</v>
      </c>
      <c r="F51" s="74"/>
      <c r="G51" s="77">
        <f t="shared" ref="G51:M51" si="1">(SUM(G33,G36:G42,G44:G50))</f>
        <v>-245.11000000000007</v>
      </c>
      <c r="H51" s="77">
        <f t="shared" si="1"/>
        <v>0</v>
      </c>
      <c r="I51" s="77">
        <f t="shared" si="1"/>
        <v>1299.3400000000006</v>
      </c>
      <c r="J51" s="77">
        <f t="shared" si="1"/>
        <v>0</v>
      </c>
      <c r="K51" s="77">
        <f t="shared" si="1"/>
        <v>3529.2972426358856</v>
      </c>
      <c r="L51" s="77">
        <f t="shared" si="1"/>
        <v>0</v>
      </c>
      <c r="M51" s="77">
        <f t="shared" si="1"/>
        <v>5891.625</v>
      </c>
      <c r="N51" s="95"/>
      <c r="O51" s="77">
        <v>-483.41798984944586</v>
      </c>
      <c r="P51" s="3">
        <v>0</v>
      </c>
      <c r="Q51" s="77">
        <f>SUM(Q33,Q36:Q42,Q44:Q50)</f>
        <v>704.30499999999972</v>
      </c>
      <c r="R51" s="3">
        <v>0</v>
      </c>
      <c r="S51" s="77">
        <f>SUM(S33,S36:S42,S44:S50)</f>
        <v>2925.0589999999979</v>
      </c>
      <c r="T51" s="3">
        <v>0</v>
      </c>
      <c r="U51" s="77">
        <f>SUM(U33,U36:U42,U44:U50)</f>
        <v>4852.7169999999996</v>
      </c>
      <c r="V51" s="3">
        <v>0</v>
      </c>
      <c r="W51" s="77">
        <f>SUM(W33,W36:W42,W44:W50)</f>
        <v>-871.8449999999998</v>
      </c>
      <c r="X51" s="3">
        <v>0</v>
      </c>
      <c r="Y51" s="77">
        <f>SUM(Y33,Y36:Y42,Y44:Y50)</f>
        <v>474.75369325149222</v>
      </c>
      <c r="Z51" s="3">
        <v>0</v>
      </c>
      <c r="AA51" s="77">
        <f>SUM(AA33,AA36:AA42,AA44:AA50)</f>
        <v>2446.5110000000004</v>
      </c>
      <c r="AB51" s="3">
        <v>0</v>
      </c>
      <c r="AC51" s="77">
        <f>SUM(AC33,AC36:AC42,AC44:AC50)</f>
        <v>5134.7760000000007</v>
      </c>
      <c r="AD51" s="3">
        <v>0</v>
      </c>
      <c r="AE51" s="77">
        <f>SUM(AE33,AE36:AE42,AE44:AE50)</f>
        <v>-1303.7469999999996</v>
      </c>
      <c r="AF51" s="3">
        <v>0</v>
      </c>
      <c r="AG51" s="77">
        <f>SUM(AG33,AG36:AG42,AG44:AG50)</f>
        <v>36.321000000000176</v>
      </c>
      <c r="AH51" s="3">
        <v>0</v>
      </c>
      <c r="AI51" s="77">
        <f>SUM(AI33,AI36:AI42,AI44:AI50)</f>
        <v>2044.8499999999995</v>
      </c>
      <c r="AJ51" s="3">
        <v>0</v>
      </c>
      <c r="AK51" s="77">
        <f>SUM(AK33,AK36:AK42,AK44:AK50)</f>
        <v>4498.5400000000009</v>
      </c>
      <c r="AM51" s="77">
        <f>SUM(AM33,AM36:AM42,AM44:AM50)</f>
        <v>-813</v>
      </c>
      <c r="AN51" s="77"/>
      <c r="AO51" s="77">
        <f>SUM(AO33,AO36:AO42,AO44:AO50)</f>
        <v>0</v>
      </c>
      <c r="AP51" s="77"/>
      <c r="AQ51" s="77">
        <f>SUM(AQ33,AQ36:AQ42,AQ44:AQ50)</f>
        <v>0</v>
      </c>
      <c r="AR51" s="94"/>
      <c r="AS51" s="77">
        <f>SUM(AS33,AS36:AS42,AS44:AS50)</f>
        <v>0</v>
      </c>
    </row>
    <row r="52" spans="2:45" x14ac:dyDescent="0.25">
      <c r="C52" s="49"/>
      <c r="D52" s="92"/>
      <c r="E52" s="74">
        <v>0</v>
      </c>
      <c r="F52" s="74"/>
      <c r="G52" s="74">
        <v>0</v>
      </c>
      <c r="H52" s="74">
        <v>0</v>
      </c>
      <c r="I52" s="74">
        <v>0</v>
      </c>
      <c r="J52" s="74">
        <v>0</v>
      </c>
      <c r="K52" s="74">
        <v>0</v>
      </c>
      <c r="L52" s="74">
        <v>0</v>
      </c>
      <c r="M52" s="74">
        <v>0</v>
      </c>
      <c r="N52" s="95"/>
      <c r="O52" s="74">
        <v>0</v>
      </c>
      <c r="P52" s="3">
        <v>0</v>
      </c>
      <c r="Q52" s="74">
        <v>0</v>
      </c>
      <c r="R52" s="3">
        <v>0</v>
      </c>
      <c r="S52" s="74">
        <v>0</v>
      </c>
      <c r="T52" s="3">
        <v>0</v>
      </c>
      <c r="U52" s="74">
        <v>0</v>
      </c>
      <c r="V52" s="3">
        <v>0</v>
      </c>
      <c r="W52" s="74">
        <v>0</v>
      </c>
      <c r="X52" s="3">
        <v>0</v>
      </c>
      <c r="Y52" s="74">
        <v>0</v>
      </c>
      <c r="Z52" s="3">
        <v>0</v>
      </c>
      <c r="AA52" s="74">
        <v>0</v>
      </c>
      <c r="AB52" s="3">
        <v>0</v>
      </c>
      <c r="AC52" s="74">
        <v>0</v>
      </c>
      <c r="AD52" s="3">
        <v>0</v>
      </c>
      <c r="AE52" s="74">
        <v>0</v>
      </c>
      <c r="AF52" s="3">
        <v>0</v>
      </c>
      <c r="AG52" s="74">
        <v>0</v>
      </c>
      <c r="AH52" s="3">
        <v>0</v>
      </c>
      <c r="AI52" s="74">
        <v>0</v>
      </c>
      <c r="AJ52" s="3">
        <v>0</v>
      </c>
      <c r="AK52" s="74">
        <v>0</v>
      </c>
      <c r="AM52" s="74"/>
      <c r="AN52" s="74"/>
      <c r="AO52" s="74"/>
      <c r="AP52" s="74"/>
      <c r="AQ52" s="74"/>
      <c r="AR52" s="95"/>
      <c r="AS52" s="74"/>
    </row>
    <row r="53" spans="2:45" x14ac:dyDescent="0.25">
      <c r="B53" s="53" t="s">
        <v>319</v>
      </c>
      <c r="C53" s="75" t="s">
        <v>263</v>
      </c>
      <c r="D53" s="92"/>
      <c r="E53" s="77">
        <f>(-654758)/1000</f>
        <v>-654.75800000000004</v>
      </c>
      <c r="F53" s="74"/>
      <c r="G53" s="77">
        <v>-114.976</v>
      </c>
      <c r="H53" s="77">
        <v>0</v>
      </c>
      <c r="I53" s="77">
        <v>-290.024</v>
      </c>
      <c r="J53" s="77">
        <v>0</v>
      </c>
      <c r="K53" s="77">
        <v>-424.03100000000001</v>
      </c>
      <c r="L53" s="77">
        <v>0</v>
      </c>
      <c r="M53" s="77">
        <f>(-579367)/1000</f>
        <v>-579.36699999999996</v>
      </c>
      <c r="N53" s="95"/>
      <c r="O53" s="77">
        <v>-154.11799999999999</v>
      </c>
      <c r="P53" s="3">
        <v>0</v>
      </c>
      <c r="Q53" s="77">
        <v>-332.73700000000002</v>
      </c>
      <c r="R53" s="3">
        <v>0</v>
      </c>
      <c r="S53" s="77">
        <v>-507.988</v>
      </c>
      <c r="T53" s="3">
        <v>0</v>
      </c>
      <c r="U53" s="77">
        <f>(-713718)/1000</f>
        <v>-713.71799999999996</v>
      </c>
      <c r="V53" s="3">
        <v>0</v>
      </c>
      <c r="W53" s="77">
        <v>-161.244</v>
      </c>
      <c r="X53" s="3">
        <v>0</v>
      </c>
      <c r="Y53" s="77">
        <v>-386.40600000000001</v>
      </c>
      <c r="Z53" s="3">
        <v>0</v>
      </c>
      <c r="AA53" s="77">
        <v>-555.24099999999999</v>
      </c>
      <c r="AB53" s="3">
        <v>0</v>
      </c>
      <c r="AC53" s="77">
        <v>-821.28499999999997</v>
      </c>
      <c r="AD53" s="3">
        <v>0</v>
      </c>
      <c r="AE53" s="77">
        <v>-151.85499999999999</v>
      </c>
      <c r="AF53" s="3">
        <v>0</v>
      </c>
      <c r="AG53" s="77">
        <v>-447.10700000000003</v>
      </c>
      <c r="AH53" s="3">
        <v>0</v>
      </c>
      <c r="AI53" s="77">
        <v>-597.23699999999997</v>
      </c>
      <c r="AJ53" s="3">
        <v>0</v>
      </c>
      <c r="AK53" s="77">
        <v>-962.85699999999997</v>
      </c>
      <c r="AM53" s="77">
        <v>-169</v>
      </c>
      <c r="AN53" s="77"/>
      <c r="AO53" s="77"/>
      <c r="AP53" s="77"/>
      <c r="AQ53" s="77"/>
      <c r="AR53" s="94"/>
      <c r="AS53" s="77"/>
    </row>
    <row r="54" spans="2:45" x14ac:dyDescent="0.25">
      <c r="B54" s="52" t="s">
        <v>281</v>
      </c>
      <c r="C54" s="72" t="s">
        <v>264</v>
      </c>
      <c r="D54" s="92"/>
      <c r="E54" s="74">
        <f>(-35232)/1000</f>
        <v>-35.231999999999999</v>
      </c>
      <c r="F54" s="74"/>
      <c r="G54" s="74">
        <v>0</v>
      </c>
      <c r="H54" s="74">
        <v>0</v>
      </c>
      <c r="I54" s="74">
        <v>0</v>
      </c>
      <c r="J54" s="74">
        <v>0</v>
      </c>
      <c r="K54" s="74">
        <v>0</v>
      </c>
      <c r="L54" s="74">
        <v>0</v>
      </c>
      <c r="M54" s="74">
        <f>(-30899)/1000</f>
        <v>-30.899000000000001</v>
      </c>
      <c r="N54" s="95"/>
      <c r="O54" s="74">
        <v>0</v>
      </c>
      <c r="P54" s="3">
        <v>0</v>
      </c>
      <c r="Q54" s="74">
        <v>0</v>
      </c>
      <c r="R54" s="3">
        <v>0</v>
      </c>
      <c r="S54" s="74">
        <v>0</v>
      </c>
      <c r="T54" s="3">
        <v>0</v>
      </c>
      <c r="U54" s="74">
        <f>(-51542)/1000</f>
        <v>-51.542000000000002</v>
      </c>
      <c r="V54" s="3">
        <v>0</v>
      </c>
      <c r="W54" s="74">
        <v>-13.616</v>
      </c>
      <c r="X54" s="3">
        <v>0</v>
      </c>
      <c r="Y54" s="74">
        <v>-27.239000000000001</v>
      </c>
      <c r="Z54" s="3">
        <v>0</v>
      </c>
      <c r="AA54" s="74">
        <v>-40.878</v>
      </c>
      <c r="AB54" s="3">
        <v>0</v>
      </c>
      <c r="AC54" s="74">
        <v>-54.517000000000003</v>
      </c>
      <c r="AD54" s="3">
        <v>0</v>
      </c>
      <c r="AE54" s="74">
        <v>-13.638999999999999</v>
      </c>
      <c r="AF54" s="3">
        <v>0</v>
      </c>
      <c r="AG54" s="74">
        <v>-27.084</v>
      </c>
      <c r="AH54" s="3">
        <v>0</v>
      </c>
      <c r="AI54" s="74">
        <v>-40.143000000000001</v>
      </c>
      <c r="AJ54" s="3">
        <v>0</v>
      </c>
      <c r="AK54" s="74">
        <v>-53.177</v>
      </c>
      <c r="AM54" s="74">
        <v>-13</v>
      </c>
      <c r="AN54" s="74"/>
      <c r="AO54" s="74"/>
      <c r="AP54" s="74"/>
      <c r="AQ54" s="74"/>
      <c r="AR54" s="95"/>
      <c r="AS54" s="74"/>
    </row>
    <row r="55" spans="2:45" x14ac:dyDescent="0.25">
      <c r="B55" s="53" t="s">
        <v>86</v>
      </c>
      <c r="C55" s="75" t="s">
        <v>202</v>
      </c>
      <c r="D55" s="92"/>
      <c r="E55" s="77">
        <v>13.532999999999999</v>
      </c>
      <c r="F55" s="74"/>
      <c r="G55" s="77">
        <v>2.2480000000000002</v>
      </c>
      <c r="H55" s="77">
        <v>0</v>
      </c>
      <c r="I55" s="77">
        <v>5.87</v>
      </c>
      <c r="J55" s="77">
        <v>0</v>
      </c>
      <c r="K55" s="77">
        <v>14.307150171059108</v>
      </c>
      <c r="L55" s="77">
        <v>0</v>
      </c>
      <c r="M55" s="77">
        <v>20.338000000000001</v>
      </c>
      <c r="N55" s="95"/>
      <c r="O55" s="77">
        <v>1.2909999999999999</v>
      </c>
      <c r="P55" s="3">
        <v>0</v>
      </c>
      <c r="Q55" s="77">
        <v>34.469000000000001</v>
      </c>
      <c r="R55" s="3">
        <v>0</v>
      </c>
      <c r="S55" s="77">
        <v>2.101</v>
      </c>
      <c r="T55" s="3">
        <v>0</v>
      </c>
      <c r="U55" s="77">
        <v>2.3370000000000002</v>
      </c>
      <c r="V55" s="3">
        <v>0</v>
      </c>
      <c r="W55" s="77">
        <v>1.9339999999999999</v>
      </c>
      <c r="X55" s="3">
        <v>0</v>
      </c>
      <c r="Y55" s="77">
        <v>0.35199999999999998</v>
      </c>
      <c r="Z55" s="3">
        <v>0</v>
      </c>
      <c r="AA55" s="77">
        <v>0.42</v>
      </c>
      <c r="AB55" s="3">
        <v>0</v>
      </c>
      <c r="AC55" s="77">
        <v>20.670999999999999</v>
      </c>
      <c r="AD55" s="3">
        <v>0</v>
      </c>
      <c r="AE55" s="77">
        <v>4.3810000000000002</v>
      </c>
      <c r="AF55" s="3">
        <v>0</v>
      </c>
      <c r="AG55" s="77">
        <v>7.5780000000000003</v>
      </c>
      <c r="AH55" s="3">
        <v>0</v>
      </c>
      <c r="AI55" s="77">
        <v>14.967000000000001</v>
      </c>
      <c r="AJ55" s="3">
        <v>0</v>
      </c>
      <c r="AK55" s="77">
        <v>25.669</v>
      </c>
      <c r="AM55" s="77">
        <v>6</v>
      </c>
      <c r="AN55" s="77"/>
      <c r="AO55" s="77"/>
      <c r="AP55" s="77"/>
      <c r="AQ55" s="77"/>
      <c r="AR55" s="94"/>
      <c r="AS55" s="77"/>
    </row>
    <row r="56" spans="2:45" x14ac:dyDescent="0.25">
      <c r="B56" s="52" t="s">
        <v>103</v>
      </c>
      <c r="C56" s="72" t="s">
        <v>203</v>
      </c>
      <c r="D56" s="92"/>
      <c r="E56" s="74">
        <v>-104.176</v>
      </c>
      <c r="F56" s="74"/>
      <c r="G56" s="74">
        <v>0</v>
      </c>
      <c r="H56" s="74">
        <v>0</v>
      </c>
      <c r="I56" s="74">
        <v>0</v>
      </c>
      <c r="J56" s="74">
        <v>0</v>
      </c>
      <c r="K56" s="74">
        <v>-6.27</v>
      </c>
      <c r="L56" s="74">
        <v>0</v>
      </c>
      <c r="M56" s="74">
        <v>-69.88</v>
      </c>
      <c r="N56" s="95"/>
      <c r="O56" s="74">
        <v>-34.31</v>
      </c>
      <c r="P56" s="3">
        <v>0</v>
      </c>
      <c r="Q56" s="74">
        <v>-164.38399999999999</v>
      </c>
      <c r="R56" s="3">
        <v>0</v>
      </c>
      <c r="S56" s="74">
        <v>-168.94</v>
      </c>
      <c r="T56" s="3">
        <v>0</v>
      </c>
      <c r="U56" s="74">
        <v>-171.81200000000001</v>
      </c>
      <c r="V56" s="3">
        <v>0</v>
      </c>
      <c r="W56" s="74">
        <v>0</v>
      </c>
      <c r="X56" s="3">
        <v>0</v>
      </c>
      <c r="Y56" s="74">
        <v>0</v>
      </c>
      <c r="Z56" s="3">
        <v>0</v>
      </c>
      <c r="AA56" s="74">
        <v>0</v>
      </c>
      <c r="AB56" s="3">
        <v>0</v>
      </c>
      <c r="AC56" s="74">
        <v>0</v>
      </c>
      <c r="AD56" s="3">
        <v>0</v>
      </c>
      <c r="AE56" s="74">
        <v>0</v>
      </c>
      <c r="AF56" s="3">
        <v>0</v>
      </c>
      <c r="AG56" s="74">
        <v>-13.481999999999999</v>
      </c>
      <c r="AH56" s="3">
        <v>0</v>
      </c>
      <c r="AI56" s="74">
        <v>-35.052999999999997</v>
      </c>
      <c r="AJ56" s="3">
        <v>0</v>
      </c>
      <c r="AK56" s="74">
        <v>-35.052999999999997</v>
      </c>
      <c r="AM56" s="74">
        <v>0</v>
      </c>
      <c r="AN56" s="74"/>
      <c r="AO56" s="74"/>
      <c r="AP56" s="74"/>
      <c r="AQ56" s="74"/>
      <c r="AR56" s="95"/>
      <c r="AS56" s="74"/>
    </row>
    <row r="57" spans="2:45" x14ac:dyDescent="0.25">
      <c r="B57" s="53" t="s">
        <v>87</v>
      </c>
      <c r="C57" s="75" t="s">
        <v>204</v>
      </c>
      <c r="D57" s="91"/>
      <c r="E57" s="76">
        <v>-236.089</v>
      </c>
      <c r="F57" s="73"/>
      <c r="G57" s="76">
        <v>-55.646999999999998</v>
      </c>
      <c r="H57" s="76">
        <v>0</v>
      </c>
      <c r="I57" s="76">
        <v>-108.874</v>
      </c>
      <c r="J57" s="76">
        <v>0</v>
      </c>
      <c r="K57" s="76">
        <v>-172.41499999999999</v>
      </c>
      <c r="L57" s="76">
        <v>0</v>
      </c>
      <c r="M57" s="76">
        <v>-226.39099999999999</v>
      </c>
      <c r="N57" s="73"/>
      <c r="O57" s="76">
        <v>-57.143999999999998</v>
      </c>
      <c r="P57" s="3">
        <v>0</v>
      </c>
      <c r="Q57" s="76">
        <v>-84.646000000000001</v>
      </c>
      <c r="R57" s="3">
        <v>0</v>
      </c>
      <c r="S57" s="76">
        <v>140.32900000000001</v>
      </c>
      <c r="T57" s="3">
        <v>0</v>
      </c>
      <c r="U57" s="76">
        <v>107.264</v>
      </c>
      <c r="V57" s="3">
        <v>0</v>
      </c>
      <c r="W57" s="76">
        <v>-36.435000000000002</v>
      </c>
      <c r="X57" s="3">
        <v>0</v>
      </c>
      <c r="Y57" s="76">
        <v>-106.84169325149232</v>
      </c>
      <c r="Z57" s="3">
        <v>0</v>
      </c>
      <c r="AA57" s="76">
        <v>-177.69499999999999</v>
      </c>
      <c r="AB57" s="3">
        <v>0</v>
      </c>
      <c r="AC57" s="76">
        <v>-323.13499999999999</v>
      </c>
      <c r="AD57" s="3">
        <v>0</v>
      </c>
      <c r="AE57" s="76">
        <v>-63.268999999999998</v>
      </c>
      <c r="AF57" s="3">
        <v>0</v>
      </c>
      <c r="AG57" s="76">
        <v>-157.09200000000001</v>
      </c>
      <c r="AH57" s="3">
        <v>0</v>
      </c>
      <c r="AI57" s="76">
        <v>-206.471</v>
      </c>
      <c r="AJ57" s="3">
        <v>0</v>
      </c>
      <c r="AK57" s="76">
        <v>-307.99799999999999</v>
      </c>
      <c r="AM57" s="76">
        <v>-72</v>
      </c>
      <c r="AN57" s="76"/>
      <c r="AO57" s="76"/>
      <c r="AP57" s="76"/>
      <c r="AQ57" s="76"/>
      <c r="AR57" s="76"/>
      <c r="AS57" s="76"/>
    </row>
    <row r="58" spans="2:45" x14ac:dyDescent="0.25">
      <c r="B58" s="47" t="s">
        <v>242</v>
      </c>
      <c r="C58" s="50" t="s">
        <v>253</v>
      </c>
      <c r="D58" s="92"/>
      <c r="E58" s="79">
        <f>(SUM(E51,E53:E57))</f>
        <v>3274.9330000000009</v>
      </c>
      <c r="F58" s="74"/>
      <c r="G58" s="79">
        <f t="shared" ref="G58:M58" si="2">(SUM(G51,G53:G57))</f>
        <v>-413.48500000000007</v>
      </c>
      <c r="H58" s="79">
        <f t="shared" si="2"/>
        <v>0</v>
      </c>
      <c r="I58" s="79">
        <f t="shared" si="2"/>
        <v>906.31200000000058</v>
      </c>
      <c r="J58" s="79">
        <f t="shared" si="2"/>
        <v>0</v>
      </c>
      <c r="K58" s="79">
        <f t="shared" si="2"/>
        <v>2940.8883928069449</v>
      </c>
      <c r="L58" s="79">
        <f t="shared" si="2"/>
        <v>0</v>
      </c>
      <c r="M58" s="79">
        <f t="shared" si="2"/>
        <v>5005.4259999999995</v>
      </c>
      <c r="N58" s="95"/>
      <c r="O58" s="79">
        <f>(SUM(O51,O53:O57))/1000</f>
        <v>-0.7276989898494457</v>
      </c>
      <c r="P58" s="3">
        <v>0</v>
      </c>
      <c r="Q58" s="79">
        <f>(SUM(Q51,Q53:Q57))</f>
        <v>157.00699999999972</v>
      </c>
      <c r="R58" s="3">
        <v>0</v>
      </c>
      <c r="S58" s="79">
        <f>(SUM(S51,S53:S57))</f>
        <v>2390.5609999999983</v>
      </c>
      <c r="T58" s="3">
        <v>0</v>
      </c>
      <c r="U58" s="79">
        <f>(SUM(U51,U53:U57))</f>
        <v>4025.2460000000001</v>
      </c>
      <c r="V58" s="3">
        <v>0</v>
      </c>
      <c r="W58" s="79">
        <f>(SUM(W51,W53:W57))</f>
        <v>-1081.2059999999997</v>
      </c>
      <c r="X58" s="3">
        <v>0</v>
      </c>
      <c r="Y58" s="79">
        <f>(SUM(Y51,Y53:Y57))</f>
        <v>-45.381000000000107</v>
      </c>
      <c r="Z58" s="3">
        <v>0</v>
      </c>
      <c r="AA58" s="79">
        <f>(SUM(AA51,AA53:AA57))</f>
        <v>1673.1170000000006</v>
      </c>
      <c r="AB58" s="3">
        <v>0</v>
      </c>
      <c r="AC58" s="79">
        <f>(SUM(AC51,AC53:AC57))</f>
        <v>3956.5100000000011</v>
      </c>
      <c r="AD58" s="3">
        <v>0</v>
      </c>
      <c r="AE58" s="79">
        <f>(SUM(AE51,AE53:AE57))</f>
        <v>-1528.1289999999995</v>
      </c>
      <c r="AF58" s="3">
        <v>0</v>
      </c>
      <c r="AG58" s="79">
        <f>(SUM(AG51,AG53:AG57))</f>
        <v>-600.86599999999987</v>
      </c>
      <c r="AH58" s="3">
        <v>0</v>
      </c>
      <c r="AI58" s="79">
        <f>(SUM(AI51,AI53:AI57))</f>
        <v>1180.9129999999996</v>
      </c>
      <c r="AJ58" s="3">
        <v>0</v>
      </c>
      <c r="AK58" s="79">
        <f>(SUM(AK51,AK53:AK57))</f>
        <v>3165.1240000000007</v>
      </c>
      <c r="AM58" s="79">
        <f>(SUM(AM51,AM53:AM57))</f>
        <v>-1061</v>
      </c>
      <c r="AN58" s="74"/>
      <c r="AO58" s="79">
        <f>SUM(AO51,AO53:AO57)</f>
        <v>0</v>
      </c>
      <c r="AP58" s="74"/>
      <c r="AQ58" s="79">
        <f>SUM(AQ51,AQ53:AQ57)</f>
        <v>0</v>
      </c>
      <c r="AR58" s="95"/>
      <c r="AS58" s="79">
        <f>SUM(AS51,AS53:AS57)</f>
        <v>0</v>
      </c>
    </row>
    <row r="59" spans="2:45" x14ac:dyDescent="0.25">
      <c r="C59" s="49"/>
      <c r="D59" s="92"/>
      <c r="E59" s="74">
        <v>0</v>
      </c>
      <c r="F59" s="74"/>
      <c r="G59" s="74">
        <v>0</v>
      </c>
      <c r="H59" s="74">
        <v>0</v>
      </c>
      <c r="I59" s="74">
        <v>0</v>
      </c>
      <c r="J59" s="74">
        <v>0</v>
      </c>
      <c r="K59" s="74">
        <v>0</v>
      </c>
      <c r="L59" s="74">
        <v>0</v>
      </c>
      <c r="M59" s="74">
        <v>0</v>
      </c>
      <c r="N59" s="95"/>
      <c r="O59" s="74">
        <v>0</v>
      </c>
      <c r="P59" s="3">
        <v>0</v>
      </c>
      <c r="Q59" s="74">
        <v>0</v>
      </c>
      <c r="R59" s="3">
        <v>0</v>
      </c>
      <c r="S59" s="74">
        <v>0</v>
      </c>
      <c r="T59" s="3">
        <v>0</v>
      </c>
      <c r="U59" s="74">
        <v>0</v>
      </c>
      <c r="V59" s="3">
        <v>0</v>
      </c>
      <c r="W59" s="74">
        <v>0</v>
      </c>
      <c r="X59" s="3">
        <v>0</v>
      </c>
      <c r="Y59" s="74">
        <v>0</v>
      </c>
      <c r="Z59" s="3">
        <v>0</v>
      </c>
      <c r="AA59" s="74">
        <v>0</v>
      </c>
      <c r="AB59" s="3">
        <v>0</v>
      </c>
      <c r="AC59" s="74">
        <v>0</v>
      </c>
      <c r="AD59" s="3">
        <v>0</v>
      </c>
      <c r="AE59" s="74">
        <v>0</v>
      </c>
      <c r="AF59" s="3">
        <v>0</v>
      </c>
      <c r="AG59" s="74">
        <v>0</v>
      </c>
      <c r="AH59" s="3">
        <v>0</v>
      </c>
      <c r="AI59" s="74">
        <v>0</v>
      </c>
      <c r="AJ59" s="3">
        <v>0</v>
      </c>
      <c r="AK59" s="74">
        <v>0</v>
      </c>
      <c r="AM59" s="74"/>
      <c r="AN59" s="74"/>
      <c r="AO59" s="74"/>
      <c r="AP59" s="74"/>
      <c r="AQ59" s="74"/>
      <c r="AR59" s="95"/>
      <c r="AS59" s="74"/>
    </row>
    <row r="60" spans="2:45" x14ac:dyDescent="0.25">
      <c r="B60" s="51" t="s">
        <v>88</v>
      </c>
      <c r="C60" s="81" t="s">
        <v>205</v>
      </c>
      <c r="D60" s="92"/>
      <c r="E60" s="77">
        <v>0</v>
      </c>
      <c r="F60" s="74"/>
      <c r="G60" s="77">
        <v>0</v>
      </c>
      <c r="H60" s="77">
        <v>0</v>
      </c>
      <c r="I60" s="77">
        <v>0</v>
      </c>
      <c r="J60" s="77">
        <v>0</v>
      </c>
      <c r="K60" s="77">
        <v>0</v>
      </c>
      <c r="L60" s="77">
        <v>0</v>
      </c>
      <c r="M60" s="77">
        <v>0</v>
      </c>
      <c r="N60" s="95"/>
      <c r="O60" s="77">
        <v>0</v>
      </c>
      <c r="P60" s="3">
        <v>0</v>
      </c>
      <c r="Q60" s="77">
        <v>0</v>
      </c>
      <c r="R60" s="3">
        <v>0</v>
      </c>
      <c r="S60" s="77">
        <v>0</v>
      </c>
      <c r="T60" s="3">
        <v>0</v>
      </c>
      <c r="U60" s="77">
        <v>0</v>
      </c>
      <c r="V60" s="3">
        <v>0</v>
      </c>
      <c r="W60" s="77">
        <v>0</v>
      </c>
      <c r="X60" s="3">
        <v>0</v>
      </c>
      <c r="Y60" s="77">
        <v>0</v>
      </c>
      <c r="Z60" s="3">
        <v>0</v>
      </c>
      <c r="AA60" s="77">
        <v>0</v>
      </c>
      <c r="AB60" s="3">
        <v>0</v>
      </c>
      <c r="AC60" s="77">
        <v>0</v>
      </c>
      <c r="AD60" s="3">
        <v>0</v>
      </c>
      <c r="AE60" s="77">
        <v>0</v>
      </c>
      <c r="AF60" s="3">
        <v>0</v>
      </c>
      <c r="AG60" s="77">
        <v>0</v>
      </c>
      <c r="AH60" s="3">
        <v>0</v>
      </c>
      <c r="AI60" s="77">
        <v>0</v>
      </c>
      <c r="AJ60" s="3">
        <v>0</v>
      </c>
      <c r="AK60" s="77">
        <v>0</v>
      </c>
      <c r="AM60" s="77"/>
      <c r="AN60" s="77"/>
      <c r="AO60" s="77"/>
      <c r="AP60" s="77"/>
      <c r="AQ60" s="77"/>
      <c r="AR60" s="94"/>
      <c r="AS60" s="77"/>
    </row>
    <row r="61" spans="2:45" x14ac:dyDescent="0.25">
      <c r="B61" s="52" t="s">
        <v>3</v>
      </c>
      <c r="C61" s="72" t="s">
        <v>119</v>
      </c>
      <c r="D61" s="92"/>
      <c r="E61" s="74">
        <f>(-378501)/1000</f>
        <v>-378.50099999999998</v>
      </c>
      <c r="F61" s="74"/>
      <c r="G61" s="74">
        <v>-18.631</v>
      </c>
      <c r="H61" s="74">
        <v>0</v>
      </c>
      <c r="I61" s="74">
        <v>-202.11</v>
      </c>
      <c r="J61" s="74">
        <v>0</v>
      </c>
      <c r="K61" s="74">
        <v>-105.78011132479178</v>
      </c>
      <c r="L61" s="74">
        <v>0</v>
      </c>
      <c r="M61" s="74">
        <f>(-150058)/1000</f>
        <v>-150.05799999999999</v>
      </c>
      <c r="N61" s="95"/>
      <c r="O61" s="74">
        <v>-35.357999999999997</v>
      </c>
      <c r="P61" s="3">
        <v>0</v>
      </c>
      <c r="Q61" s="74">
        <v>-99.849000000000004</v>
      </c>
      <c r="R61" s="3">
        <v>0</v>
      </c>
      <c r="S61" s="74">
        <v>-66.915000000000006</v>
      </c>
      <c r="T61" s="3">
        <v>0</v>
      </c>
      <c r="U61" s="74">
        <v>-120.85</v>
      </c>
      <c r="V61" s="3">
        <v>0</v>
      </c>
      <c r="W61" s="74">
        <v>-67.474000000000004</v>
      </c>
      <c r="X61" s="3">
        <v>0</v>
      </c>
      <c r="Y61" s="74">
        <v>-98.227000000000004</v>
      </c>
      <c r="Z61" s="3">
        <v>0</v>
      </c>
      <c r="AA61" s="74">
        <v>-163.11199999999999</v>
      </c>
      <c r="AB61" s="3">
        <v>0</v>
      </c>
      <c r="AC61" s="74">
        <v>-248.98699999999999</v>
      </c>
      <c r="AD61" s="3">
        <v>0</v>
      </c>
      <c r="AE61" s="74">
        <v>-17.681999999999999</v>
      </c>
      <c r="AF61" s="3">
        <v>0</v>
      </c>
      <c r="AG61" s="74">
        <v>-74.856999999999999</v>
      </c>
      <c r="AH61" s="3">
        <v>0</v>
      </c>
      <c r="AI61" s="74">
        <v>-87.668000000000006</v>
      </c>
      <c r="AJ61" s="3">
        <v>0</v>
      </c>
      <c r="AK61" s="74">
        <v>-118.68300000000001</v>
      </c>
      <c r="AM61" s="74">
        <v>-1</v>
      </c>
      <c r="AN61" s="74"/>
      <c r="AO61" s="74"/>
      <c r="AP61" s="74"/>
      <c r="AQ61" s="74"/>
      <c r="AR61" s="95"/>
      <c r="AS61" s="74"/>
    </row>
    <row r="62" spans="2:45" x14ac:dyDescent="0.25">
      <c r="B62" s="53" t="s">
        <v>299</v>
      </c>
      <c r="C62" s="75" t="s">
        <v>243</v>
      </c>
      <c r="D62" s="92"/>
      <c r="E62" s="77">
        <v>113.161</v>
      </c>
      <c r="F62" s="74"/>
      <c r="G62" s="77">
        <v>184.92400000000001</v>
      </c>
      <c r="H62" s="77">
        <v>0</v>
      </c>
      <c r="I62" s="77">
        <v>224.90899999999999</v>
      </c>
      <c r="J62" s="77">
        <v>0</v>
      </c>
      <c r="K62" s="77">
        <v>155.46304277367258</v>
      </c>
      <c r="L62" s="77">
        <v>0</v>
      </c>
      <c r="M62" s="77">
        <v>226.911</v>
      </c>
      <c r="N62" s="95"/>
      <c r="O62" s="77">
        <v>59.747999999999998</v>
      </c>
      <c r="P62" s="3">
        <v>0</v>
      </c>
      <c r="Q62" s="77">
        <v>116.158</v>
      </c>
      <c r="R62" s="3">
        <v>0</v>
      </c>
      <c r="S62" s="77">
        <v>156.858</v>
      </c>
      <c r="T62" s="3">
        <v>0</v>
      </c>
      <c r="U62" s="77">
        <v>164.828</v>
      </c>
      <c r="V62" s="3">
        <v>0</v>
      </c>
      <c r="W62" s="77">
        <v>222.30199999999999</v>
      </c>
      <c r="X62" s="3">
        <v>0</v>
      </c>
      <c r="Y62" s="77">
        <v>171.90799999999999</v>
      </c>
      <c r="Z62" s="3">
        <v>0</v>
      </c>
      <c r="AA62" s="77">
        <v>224.167</v>
      </c>
      <c r="AB62" s="3">
        <v>0</v>
      </c>
      <c r="AC62" s="77">
        <v>258.46499999999997</v>
      </c>
      <c r="AD62" s="3">
        <v>0</v>
      </c>
      <c r="AE62" s="77">
        <v>41.174999999999997</v>
      </c>
      <c r="AF62" s="3">
        <v>0</v>
      </c>
      <c r="AG62" s="77">
        <v>55.790999999999997</v>
      </c>
      <c r="AH62" s="3">
        <v>0</v>
      </c>
      <c r="AI62" s="77">
        <v>143.499</v>
      </c>
      <c r="AJ62" s="3">
        <v>0</v>
      </c>
      <c r="AK62" s="77">
        <v>147.96799999999999</v>
      </c>
      <c r="AM62" s="77">
        <v>54</v>
      </c>
      <c r="AN62" s="77"/>
      <c r="AO62" s="77"/>
      <c r="AP62" s="77"/>
      <c r="AQ62" s="77"/>
      <c r="AR62" s="94"/>
      <c r="AS62" s="77"/>
    </row>
    <row r="63" spans="2:45" x14ac:dyDescent="0.25">
      <c r="B63" s="52" t="s">
        <v>89</v>
      </c>
      <c r="C63" s="72" t="s">
        <v>206</v>
      </c>
      <c r="D63" s="92"/>
      <c r="E63" s="74">
        <v>44.02</v>
      </c>
      <c r="F63" s="74"/>
      <c r="G63" s="74">
        <v>92.43</v>
      </c>
      <c r="H63" s="74">
        <v>0</v>
      </c>
      <c r="I63" s="74">
        <v>123.69799999999999</v>
      </c>
      <c r="J63" s="74">
        <v>0</v>
      </c>
      <c r="K63" s="74">
        <v>134.99600000000001</v>
      </c>
      <c r="L63" s="74">
        <v>0</v>
      </c>
      <c r="M63" s="74">
        <v>143.04</v>
      </c>
      <c r="N63" s="95"/>
      <c r="O63" s="74">
        <v>44.220999999999997</v>
      </c>
      <c r="P63" s="3">
        <v>0</v>
      </c>
      <c r="Q63" s="74">
        <v>82.88</v>
      </c>
      <c r="R63" s="3">
        <v>0</v>
      </c>
      <c r="S63" s="74">
        <v>117.108</v>
      </c>
      <c r="T63" s="3">
        <v>0</v>
      </c>
      <c r="U63" s="74">
        <v>155.24700000000001</v>
      </c>
      <c r="V63" s="3">
        <v>0</v>
      </c>
      <c r="W63" s="74">
        <v>4.9989999999999997</v>
      </c>
      <c r="X63" s="3">
        <v>0</v>
      </c>
      <c r="Y63" s="74">
        <v>31.663</v>
      </c>
      <c r="Z63" s="3">
        <v>0</v>
      </c>
      <c r="AA63" s="74">
        <v>47.468000000000004</v>
      </c>
      <c r="AB63" s="3">
        <v>0</v>
      </c>
      <c r="AC63" s="74">
        <v>56.776000000000003</v>
      </c>
      <c r="AD63" s="3">
        <v>0</v>
      </c>
      <c r="AE63" s="74">
        <v>4.9279999999999999</v>
      </c>
      <c r="AF63" s="3">
        <v>0</v>
      </c>
      <c r="AG63" s="74">
        <v>8.9169999999999998</v>
      </c>
      <c r="AH63" s="3">
        <v>0</v>
      </c>
      <c r="AI63" s="74">
        <v>100.336</v>
      </c>
      <c r="AJ63" s="3">
        <v>0</v>
      </c>
      <c r="AK63" s="74">
        <v>143.66300000000001</v>
      </c>
      <c r="AM63" s="74">
        <v>10</v>
      </c>
      <c r="AN63" s="74"/>
      <c r="AO63" s="74"/>
      <c r="AP63" s="74"/>
      <c r="AQ63" s="74"/>
      <c r="AR63" s="95"/>
      <c r="AS63" s="74"/>
    </row>
    <row r="64" spans="2:45" x14ac:dyDescent="0.25">
      <c r="B64" s="53" t="s">
        <v>90</v>
      </c>
      <c r="C64" s="75" t="s">
        <v>207</v>
      </c>
      <c r="D64" s="92"/>
      <c r="E64" s="77">
        <v>80.870999999999995</v>
      </c>
      <c r="F64" s="74"/>
      <c r="G64" s="77">
        <v>28.437999999999999</v>
      </c>
      <c r="H64" s="77">
        <v>0</v>
      </c>
      <c r="I64" s="77">
        <v>28.437999999999999</v>
      </c>
      <c r="J64" s="77">
        <v>0</v>
      </c>
      <c r="K64" s="77">
        <v>41.292999999999999</v>
      </c>
      <c r="L64" s="77">
        <v>0</v>
      </c>
      <c r="M64" s="77">
        <v>41.292999999999999</v>
      </c>
      <c r="N64" s="95"/>
      <c r="O64" s="77">
        <v>0</v>
      </c>
      <c r="P64" s="3">
        <v>0</v>
      </c>
      <c r="Q64" s="77">
        <v>0</v>
      </c>
      <c r="R64" s="3">
        <v>0</v>
      </c>
      <c r="S64" s="77">
        <v>0</v>
      </c>
      <c r="T64" s="3">
        <v>0</v>
      </c>
      <c r="U64" s="77">
        <v>0</v>
      </c>
      <c r="V64" s="3">
        <v>0</v>
      </c>
      <c r="W64" s="77">
        <v>0</v>
      </c>
      <c r="X64" s="3">
        <v>0</v>
      </c>
      <c r="Y64" s="77">
        <v>-15.073</v>
      </c>
      <c r="Z64" s="3">
        <v>0</v>
      </c>
      <c r="AA64" s="77">
        <v>-15.073</v>
      </c>
      <c r="AB64" s="3">
        <v>0</v>
      </c>
      <c r="AC64" s="77">
        <v>0</v>
      </c>
      <c r="AD64" s="3">
        <v>0</v>
      </c>
      <c r="AE64" s="77">
        <v>0</v>
      </c>
      <c r="AF64" s="3">
        <v>0</v>
      </c>
      <c r="AG64" s="77">
        <v>0</v>
      </c>
      <c r="AH64" s="3">
        <v>0</v>
      </c>
      <c r="AI64" s="77">
        <v>0</v>
      </c>
      <c r="AJ64" s="3">
        <v>0</v>
      </c>
      <c r="AK64" s="77">
        <v>0</v>
      </c>
      <c r="AM64" s="77">
        <v>724</v>
      </c>
      <c r="AN64" s="77"/>
      <c r="AO64" s="77"/>
      <c r="AP64" s="77"/>
      <c r="AQ64" s="77"/>
      <c r="AR64" s="94"/>
      <c r="AS64" s="77"/>
    </row>
    <row r="65" spans="2:45" x14ac:dyDescent="0.25">
      <c r="B65" s="52" t="s">
        <v>36</v>
      </c>
      <c r="C65" s="72" t="s">
        <v>208</v>
      </c>
      <c r="D65" s="92"/>
      <c r="E65" s="74">
        <v>129.553</v>
      </c>
      <c r="F65" s="74"/>
      <c r="G65" s="74">
        <v>56.061999999999998</v>
      </c>
      <c r="H65" s="74">
        <v>0</v>
      </c>
      <c r="I65" s="74">
        <v>91.332999999999998</v>
      </c>
      <c r="J65" s="74">
        <v>0</v>
      </c>
      <c r="K65" s="74">
        <v>125.348</v>
      </c>
      <c r="L65" s="74">
        <v>0</v>
      </c>
      <c r="M65" s="74">
        <v>181.00299999999999</v>
      </c>
      <c r="N65" s="95"/>
      <c r="O65" s="74">
        <v>14.496</v>
      </c>
      <c r="P65" s="3">
        <v>0</v>
      </c>
      <c r="Q65" s="74">
        <v>34.579000000000001</v>
      </c>
      <c r="R65" s="3">
        <v>0</v>
      </c>
      <c r="S65" s="74">
        <v>40.758000000000003</v>
      </c>
      <c r="T65" s="3">
        <v>0</v>
      </c>
      <c r="U65" s="74">
        <v>71.12</v>
      </c>
      <c r="V65" s="3">
        <v>0</v>
      </c>
      <c r="W65" s="74">
        <v>3.26</v>
      </c>
      <c r="X65" s="3">
        <v>0</v>
      </c>
      <c r="Y65" s="74">
        <v>34.536000000000001</v>
      </c>
      <c r="Z65" s="3">
        <v>0</v>
      </c>
      <c r="AA65" s="74">
        <v>60.113999999999997</v>
      </c>
      <c r="AB65" s="3">
        <v>0</v>
      </c>
      <c r="AC65" s="74">
        <v>90.37</v>
      </c>
      <c r="AD65" s="3">
        <v>0</v>
      </c>
      <c r="AE65" s="74">
        <v>0.70299999999999996</v>
      </c>
      <c r="AF65" s="3">
        <v>0</v>
      </c>
      <c r="AG65" s="74">
        <v>19.306999999999999</v>
      </c>
      <c r="AH65" s="3">
        <v>0</v>
      </c>
      <c r="AI65" s="74">
        <v>59.868000000000002</v>
      </c>
      <c r="AJ65" s="3">
        <v>0</v>
      </c>
      <c r="AK65" s="74">
        <v>149</v>
      </c>
      <c r="AM65" s="74">
        <v>31</v>
      </c>
      <c r="AN65" s="74"/>
      <c r="AO65" s="74"/>
      <c r="AP65" s="74"/>
      <c r="AQ65" s="74"/>
      <c r="AR65" s="95"/>
      <c r="AS65" s="74"/>
    </row>
    <row r="66" spans="2:45" x14ac:dyDescent="0.25">
      <c r="B66" s="53" t="s">
        <v>91</v>
      </c>
      <c r="C66" s="75" t="s">
        <v>209</v>
      </c>
      <c r="D66" s="92"/>
      <c r="E66" s="77">
        <v>-1136.367</v>
      </c>
      <c r="F66" s="74"/>
      <c r="G66" s="77">
        <v>-201.45699999999999</v>
      </c>
      <c r="H66" s="77">
        <v>0</v>
      </c>
      <c r="I66" s="77">
        <v>-468.721</v>
      </c>
      <c r="J66" s="77">
        <v>0</v>
      </c>
      <c r="K66" s="77">
        <v>-720.53700000000003</v>
      </c>
      <c r="L66" s="77">
        <v>0</v>
      </c>
      <c r="M66" s="77">
        <v>-1479.4970000000001</v>
      </c>
      <c r="N66" s="95"/>
      <c r="O66" s="77">
        <v>-254.517</v>
      </c>
      <c r="P66" s="3">
        <v>0</v>
      </c>
      <c r="Q66" s="77">
        <v>-598.96699999999998</v>
      </c>
      <c r="R66" s="3">
        <v>0</v>
      </c>
      <c r="S66" s="77">
        <v>-1043.557</v>
      </c>
      <c r="T66" s="3">
        <v>0</v>
      </c>
      <c r="U66" s="77">
        <v>-2005.752</v>
      </c>
      <c r="V66" s="3">
        <v>0</v>
      </c>
      <c r="W66" s="77">
        <v>-335.63299999999998</v>
      </c>
      <c r="X66" s="3">
        <v>0</v>
      </c>
      <c r="Y66" s="77">
        <v>-810.524</v>
      </c>
      <c r="Z66" s="3">
        <v>0</v>
      </c>
      <c r="AA66" s="77">
        <v>-1329.4459999999999</v>
      </c>
      <c r="AB66" s="3">
        <v>0</v>
      </c>
      <c r="AC66" s="77">
        <v>-2392.1089999999999</v>
      </c>
      <c r="AD66" s="3">
        <v>0</v>
      </c>
      <c r="AE66" s="77">
        <v>-412.86099999999999</v>
      </c>
      <c r="AF66" s="3">
        <v>0</v>
      </c>
      <c r="AG66" s="77">
        <v>-1091.634</v>
      </c>
      <c r="AH66" s="3">
        <v>0</v>
      </c>
      <c r="AI66" s="77">
        <v>-1741.5509999999999</v>
      </c>
      <c r="AJ66" s="3">
        <v>0</v>
      </c>
      <c r="AK66" s="77">
        <v>-2937.6970000000001</v>
      </c>
      <c r="AM66" s="77">
        <v>-961</v>
      </c>
      <c r="AN66" s="77"/>
      <c r="AO66" s="77"/>
      <c r="AP66" s="77"/>
      <c r="AQ66" s="77"/>
      <c r="AR66" s="94"/>
      <c r="AS66" s="77"/>
    </row>
    <row r="67" spans="2:45" x14ac:dyDescent="0.25">
      <c r="B67" s="52" t="s">
        <v>274</v>
      </c>
      <c r="C67" s="72"/>
      <c r="D67" s="92"/>
      <c r="E67" s="74">
        <v>0</v>
      </c>
      <c r="F67" s="74"/>
      <c r="G67" s="74">
        <v>0</v>
      </c>
      <c r="H67" s="74">
        <v>0</v>
      </c>
      <c r="I67" s="74">
        <v>0</v>
      </c>
      <c r="J67" s="74">
        <v>0</v>
      </c>
      <c r="K67" s="74">
        <v>0</v>
      </c>
      <c r="L67" s="74">
        <v>0</v>
      </c>
      <c r="M67" s="74">
        <v>0</v>
      </c>
      <c r="N67" s="95"/>
      <c r="O67" s="74">
        <v>0</v>
      </c>
      <c r="P67" s="3">
        <v>0</v>
      </c>
      <c r="Q67" s="74">
        <v>0</v>
      </c>
      <c r="R67" s="3">
        <v>0</v>
      </c>
      <c r="S67" s="74">
        <v>0</v>
      </c>
      <c r="T67" s="3">
        <v>0</v>
      </c>
      <c r="U67" s="74">
        <v>0</v>
      </c>
      <c r="V67" s="3">
        <v>0</v>
      </c>
      <c r="W67" s="74">
        <v>0</v>
      </c>
      <c r="X67" s="3">
        <v>0</v>
      </c>
      <c r="Y67" s="74">
        <v>0</v>
      </c>
      <c r="Z67" s="3">
        <v>0</v>
      </c>
      <c r="AA67" s="74">
        <v>0</v>
      </c>
      <c r="AB67" s="3">
        <v>0</v>
      </c>
      <c r="AC67" s="74">
        <v>-26.076000000000001</v>
      </c>
      <c r="AD67" s="3">
        <v>0</v>
      </c>
      <c r="AE67" s="74">
        <v>0</v>
      </c>
      <c r="AF67" s="3">
        <v>0</v>
      </c>
      <c r="AG67" s="74">
        <v>0</v>
      </c>
      <c r="AH67" s="3">
        <v>0</v>
      </c>
      <c r="AI67" s="74">
        <v>0</v>
      </c>
      <c r="AJ67" s="3">
        <v>0</v>
      </c>
      <c r="AK67" s="74">
        <v>0</v>
      </c>
      <c r="AM67" s="74">
        <v>0</v>
      </c>
      <c r="AN67" s="74"/>
      <c r="AO67" s="74"/>
      <c r="AP67" s="74"/>
      <c r="AQ67" s="74"/>
      <c r="AR67" s="95"/>
      <c r="AS67" s="74"/>
    </row>
    <row r="68" spans="2:45" x14ac:dyDescent="0.25">
      <c r="B68" s="53" t="s">
        <v>92</v>
      </c>
      <c r="C68" s="75" t="s">
        <v>210</v>
      </c>
      <c r="D68" s="92"/>
      <c r="E68" s="77">
        <v>0</v>
      </c>
      <c r="F68" s="74"/>
      <c r="G68" s="77">
        <v>0</v>
      </c>
      <c r="H68" s="77">
        <v>0</v>
      </c>
      <c r="I68" s="77">
        <v>-50.213000000000001</v>
      </c>
      <c r="J68" s="77">
        <v>0</v>
      </c>
      <c r="K68" s="77">
        <v>-504.88799999999998</v>
      </c>
      <c r="L68" s="77">
        <v>0</v>
      </c>
      <c r="M68" s="77">
        <v>-1323.999</v>
      </c>
      <c r="N68" s="95"/>
      <c r="O68" s="77">
        <v>0</v>
      </c>
      <c r="P68" s="3">
        <v>0</v>
      </c>
      <c r="Q68" s="77">
        <v>0</v>
      </c>
      <c r="R68" s="3">
        <v>0</v>
      </c>
      <c r="S68" s="77">
        <v>0</v>
      </c>
      <c r="T68" s="3">
        <v>0</v>
      </c>
      <c r="U68" s="77">
        <v>-467.26900000000001</v>
      </c>
      <c r="V68" s="3">
        <v>0</v>
      </c>
      <c r="W68" s="77">
        <v>-15.073</v>
      </c>
      <c r="X68" s="3">
        <v>0</v>
      </c>
      <c r="Y68" s="77">
        <v>-26.076000000000001</v>
      </c>
      <c r="Z68" s="3">
        <v>0</v>
      </c>
      <c r="AA68" s="77">
        <v>-26.076000000000001</v>
      </c>
      <c r="AB68" s="3">
        <v>0</v>
      </c>
      <c r="AC68" s="77">
        <v>-15.073</v>
      </c>
      <c r="AD68" s="3">
        <v>0</v>
      </c>
      <c r="AE68" s="77">
        <v>0</v>
      </c>
      <c r="AF68" s="3">
        <v>0</v>
      </c>
      <c r="AG68" s="77">
        <v>-12.518000000000001</v>
      </c>
      <c r="AH68" s="3">
        <v>0</v>
      </c>
      <c r="AI68" s="77">
        <v>-12.518000000000001</v>
      </c>
      <c r="AJ68" s="3">
        <v>0</v>
      </c>
      <c r="AK68" s="77">
        <v>-12.518000000000001</v>
      </c>
      <c r="AM68" s="77">
        <v>0</v>
      </c>
      <c r="AN68" s="77"/>
      <c r="AO68" s="77"/>
      <c r="AP68" s="77"/>
      <c r="AQ68" s="77"/>
      <c r="AR68" s="94"/>
      <c r="AS68" s="77"/>
    </row>
    <row r="69" spans="2:45" x14ac:dyDescent="0.25">
      <c r="B69" s="52" t="s">
        <v>265</v>
      </c>
      <c r="C69" s="72" t="s">
        <v>244</v>
      </c>
      <c r="D69" s="92"/>
      <c r="E69" s="74">
        <v>0</v>
      </c>
      <c r="F69" s="74"/>
      <c r="G69" s="74">
        <v>-3.8380000000000001</v>
      </c>
      <c r="H69" s="74">
        <v>0</v>
      </c>
      <c r="I69" s="74">
        <v>-4.6050000000000004</v>
      </c>
      <c r="J69" s="74">
        <v>0</v>
      </c>
      <c r="K69" s="74">
        <v>-4.6050000000000004</v>
      </c>
      <c r="L69" s="74">
        <v>0</v>
      </c>
      <c r="M69" s="74">
        <v>0</v>
      </c>
      <c r="N69" s="95"/>
      <c r="O69" s="74">
        <v>11.454000000000001</v>
      </c>
      <c r="P69" s="3">
        <v>0</v>
      </c>
      <c r="Q69" s="74">
        <v>0</v>
      </c>
      <c r="R69" s="3">
        <v>0</v>
      </c>
      <c r="S69" s="74">
        <v>-5.4429999999999996</v>
      </c>
      <c r="T69" s="3">
        <v>0</v>
      </c>
      <c r="U69" s="74">
        <v>-5.2990000000000004</v>
      </c>
      <c r="V69" s="3">
        <v>0</v>
      </c>
      <c r="W69" s="74">
        <v>-22.177</v>
      </c>
      <c r="X69" s="3">
        <v>0</v>
      </c>
      <c r="Y69" s="74">
        <v>-22.177</v>
      </c>
      <c r="Z69" s="3">
        <v>0</v>
      </c>
      <c r="AA69" s="74">
        <v>-22.177</v>
      </c>
      <c r="AB69" s="3">
        <v>0</v>
      </c>
      <c r="AC69" s="74">
        <v>-22.177</v>
      </c>
      <c r="AD69" s="3">
        <v>0</v>
      </c>
      <c r="AE69" s="74">
        <v>-15.180999999999999</v>
      </c>
      <c r="AF69" s="3">
        <v>0</v>
      </c>
      <c r="AG69" s="74">
        <v>-15.180999999999999</v>
      </c>
      <c r="AH69" s="3">
        <v>0</v>
      </c>
      <c r="AI69" s="74">
        <v>-15.180999999999999</v>
      </c>
      <c r="AJ69" s="3">
        <v>0</v>
      </c>
      <c r="AK69" s="74">
        <v>-37.064</v>
      </c>
      <c r="AM69" s="74">
        <v>-17</v>
      </c>
      <c r="AN69" s="74"/>
      <c r="AO69" s="74"/>
      <c r="AP69" s="74"/>
      <c r="AQ69" s="74"/>
      <c r="AR69" s="95"/>
      <c r="AS69" s="74"/>
    </row>
    <row r="70" spans="2:45" x14ac:dyDescent="0.25">
      <c r="B70" s="53" t="s">
        <v>266</v>
      </c>
      <c r="C70" s="75" t="s">
        <v>247</v>
      </c>
      <c r="D70" s="92"/>
      <c r="E70" s="77">
        <v>0</v>
      </c>
      <c r="F70" s="74"/>
      <c r="G70" s="77">
        <v>0</v>
      </c>
      <c r="H70" s="77">
        <v>0</v>
      </c>
      <c r="I70" s="77">
        <v>0</v>
      </c>
      <c r="J70" s="77">
        <v>0</v>
      </c>
      <c r="K70" s="77">
        <v>2.3109999999999999</v>
      </c>
      <c r="L70" s="77">
        <v>0</v>
      </c>
      <c r="M70" s="77">
        <v>0</v>
      </c>
      <c r="N70" s="95"/>
      <c r="O70" s="77">
        <v>0</v>
      </c>
      <c r="P70" s="3">
        <v>0</v>
      </c>
      <c r="Q70" s="77">
        <v>11.454000000000001</v>
      </c>
      <c r="R70" s="3">
        <v>0</v>
      </c>
      <c r="S70" s="77">
        <v>0</v>
      </c>
      <c r="T70" s="3">
        <v>0</v>
      </c>
      <c r="U70" s="77">
        <v>0</v>
      </c>
      <c r="V70" s="3">
        <v>0</v>
      </c>
      <c r="W70" s="77">
        <v>5.2990000000000004</v>
      </c>
      <c r="X70" s="3">
        <v>0</v>
      </c>
      <c r="Y70" s="77">
        <v>5.2990000000000004</v>
      </c>
      <c r="Z70" s="3">
        <v>0</v>
      </c>
      <c r="AA70" s="77">
        <v>5.2990000000000004</v>
      </c>
      <c r="AB70" s="3">
        <v>0</v>
      </c>
      <c r="AC70" s="77">
        <v>5.2990000000000004</v>
      </c>
      <c r="AD70" s="3">
        <v>0</v>
      </c>
      <c r="AE70" s="77">
        <v>0</v>
      </c>
      <c r="AF70" s="3">
        <v>0</v>
      </c>
      <c r="AG70" s="77">
        <v>0</v>
      </c>
      <c r="AH70" s="3">
        <v>0</v>
      </c>
      <c r="AI70" s="77">
        <v>0</v>
      </c>
      <c r="AJ70" s="3">
        <v>0</v>
      </c>
      <c r="AK70" s="77">
        <v>0</v>
      </c>
      <c r="AM70" s="77">
        <v>0</v>
      </c>
      <c r="AN70" s="77"/>
      <c r="AO70" s="77"/>
      <c r="AP70" s="77"/>
      <c r="AQ70" s="77"/>
      <c r="AR70" s="94"/>
      <c r="AS70" s="77"/>
    </row>
    <row r="71" spans="2:45" x14ac:dyDescent="0.25">
      <c r="B71" s="52" t="s">
        <v>300</v>
      </c>
      <c r="C71" s="72" t="s">
        <v>211</v>
      </c>
      <c r="D71" s="92"/>
      <c r="E71" s="74">
        <v>-3.379</v>
      </c>
      <c r="F71" s="74"/>
      <c r="G71" s="74">
        <v>0</v>
      </c>
      <c r="H71" s="74">
        <v>0</v>
      </c>
      <c r="I71" s="74">
        <v>-45</v>
      </c>
      <c r="J71" s="74">
        <v>0</v>
      </c>
      <c r="K71" s="74">
        <v>-45</v>
      </c>
      <c r="L71" s="74">
        <v>0</v>
      </c>
      <c r="M71" s="74">
        <v>-57.085000000000001</v>
      </c>
      <c r="N71" s="95"/>
      <c r="O71" s="74">
        <v>0</v>
      </c>
      <c r="P71" s="3">
        <v>0</v>
      </c>
      <c r="Q71" s="74">
        <v>0</v>
      </c>
      <c r="R71" s="3">
        <v>0</v>
      </c>
      <c r="S71" s="74">
        <v>0</v>
      </c>
      <c r="T71" s="3">
        <v>0</v>
      </c>
      <c r="U71" s="74">
        <v>-17.114000000000001</v>
      </c>
      <c r="V71" s="3">
        <v>0</v>
      </c>
      <c r="W71" s="74">
        <v>0</v>
      </c>
      <c r="X71" s="3">
        <v>0</v>
      </c>
      <c r="Y71" s="74">
        <v>-2.41</v>
      </c>
      <c r="Z71" s="3">
        <v>0</v>
      </c>
      <c r="AA71" s="74">
        <v>-2.41</v>
      </c>
      <c r="AB71" s="3">
        <v>0</v>
      </c>
      <c r="AC71" s="74">
        <v>-2.41</v>
      </c>
      <c r="AD71" s="3">
        <v>0</v>
      </c>
      <c r="AE71" s="74">
        <v>0</v>
      </c>
      <c r="AF71" s="3">
        <v>0</v>
      </c>
      <c r="AG71" s="74">
        <v>0</v>
      </c>
      <c r="AH71" s="3">
        <v>0</v>
      </c>
      <c r="AI71" s="74">
        <v>0</v>
      </c>
      <c r="AJ71" s="3">
        <v>0</v>
      </c>
      <c r="AK71" s="74">
        <v>-15.260999999999999</v>
      </c>
      <c r="AM71" s="74">
        <v>0</v>
      </c>
      <c r="AN71" s="74"/>
      <c r="AO71" s="74"/>
      <c r="AP71" s="74"/>
      <c r="AQ71" s="74"/>
      <c r="AR71" s="95"/>
      <c r="AS71" s="74"/>
    </row>
    <row r="72" spans="2:45" x14ac:dyDescent="0.25">
      <c r="B72" s="53" t="s">
        <v>301</v>
      </c>
      <c r="C72" s="75"/>
      <c r="D72" s="92"/>
      <c r="E72" s="77">
        <v>0</v>
      </c>
      <c r="F72" s="74"/>
      <c r="G72" s="77">
        <v>0</v>
      </c>
      <c r="H72" s="77">
        <v>0</v>
      </c>
      <c r="I72" s="77">
        <v>0</v>
      </c>
      <c r="J72" s="77">
        <v>0</v>
      </c>
      <c r="K72" s="77">
        <v>0</v>
      </c>
      <c r="L72" s="77">
        <v>0</v>
      </c>
      <c r="M72" s="77">
        <v>0</v>
      </c>
      <c r="N72" s="95"/>
      <c r="O72" s="77">
        <v>0</v>
      </c>
      <c r="P72" s="3">
        <v>0</v>
      </c>
      <c r="Q72" s="77">
        <v>0</v>
      </c>
      <c r="R72" s="3">
        <v>0</v>
      </c>
      <c r="S72" s="77">
        <v>0</v>
      </c>
      <c r="T72" s="3">
        <v>0</v>
      </c>
      <c r="U72" s="77">
        <v>0</v>
      </c>
      <c r="V72" s="3">
        <v>0</v>
      </c>
      <c r="W72" s="77">
        <v>0</v>
      </c>
      <c r="X72" s="3">
        <v>0</v>
      </c>
      <c r="Y72" s="77">
        <v>0</v>
      </c>
      <c r="Z72" s="3">
        <v>0</v>
      </c>
      <c r="AA72" s="77">
        <v>0</v>
      </c>
      <c r="AB72" s="3">
        <v>0</v>
      </c>
      <c r="AC72" s="77">
        <v>0</v>
      </c>
      <c r="AD72" s="3">
        <v>0</v>
      </c>
      <c r="AE72" s="77">
        <v>0</v>
      </c>
      <c r="AF72" s="3">
        <v>0</v>
      </c>
      <c r="AG72" s="77">
        <v>0</v>
      </c>
      <c r="AH72" s="3">
        <v>0</v>
      </c>
      <c r="AI72" s="77">
        <v>0</v>
      </c>
      <c r="AJ72" s="3">
        <v>0</v>
      </c>
      <c r="AK72" s="77">
        <v>10.430999999999999</v>
      </c>
      <c r="AM72" s="77">
        <v>0</v>
      </c>
      <c r="AN72" s="77"/>
      <c r="AO72" s="77"/>
      <c r="AP72" s="77"/>
      <c r="AQ72" s="77"/>
      <c r="AR72" s="94"/>
      <c r="AS72" s="77"/>
    </row>
    <row r="73" spans="2:45" x14ac:dyDescent="0.25">
      <c r="B73" s="47" t="s">
        <v>93</v>
      </c>
      <c r="C73" s="50" t="s">
        <v>212</v>
      </c>
      <c r="D73" s="92"/>
      <c r="E73" s="79">
        <f>(SUM(E61:E71))</f>
        <v>-1150.6419999999998</v>
      </c>
      <c r="F73" s="74"/>
      <c r="G73" s="79">
        <f t="shared" ref="G73:M73" si="3">(SUM(G61:G71))</f>
        <v>137.92800000000003</v>
      </c>
      <c r="H73" s="79">
        <f t="shared" si="3"/>
        <v>0</v>
      </c>
      <c r="I73" s="79">
        <f t="shared" si="3"/>
        <v>-302.27100000000007</v>
      </c>
      <c r="J73" s="79">
        <f t="shared" si="3"/>
        <v>0</v>
      </c>
      <c r="K73" s="79">
        <f t="shared" si="3"/>
        <v>-921.39906855111917</v>
      </c>
      <c r="L73" s="79">
        <f t="shared" si="3"/>
        <v>0</v>
      </c>
      <c r="M73" s="79">
        <f t="shared" si="3"/>
        <v>-2418.3919999999998</v>
      </c>
      <c r="N73" s="95"/>
      <c r="O73" s="79">
        <v>-159.95688251757647</v>
      </c>
      <c r="P73" s="3">
        <v>0</v>
      </c>
      <c r="Q73" s="79">
        <f>SUM(Q61:Q72)</f>
        <v>-453.74499999999995</v>
      </c>
      <c r="R73" s="3">
        <v>0</v>
      </c>
      <c r="S73" s="79">
        <f>SUM(S61:S72)</f>
        <v>-801.19100000000003</v>
      </c>
      <c r="T73" s="3">
        <v>0</v>
      </c>
      <c r="U73" s="79">
        <f>SUM(U61:U72)</f>
        <v>-2225.0889999999999</v>
      </c>
      <c r="V73" s="3">
        <v>0</v>
      </c>
      <c r="W73" s="79">
        <f>SUM(W61:W72)</f>
        <v>-204.49700000000001</v>
      </c>
      <c r="X73" s="3">
        <v>0</v>
      </c>
      <c r="Y73" s="79">
        <f>SUM(Y61:Y72)</f>
        <v>-731.08100000000002</v>
      </c>
      <c r="Z73" s="3">
        <v>0</v>
      </c>
      <c r="AA73" s="79">
        <f>SUM(AA61:AA72)</f>
        <v>-1221.2459999999999</v>
      </c>
      <c r="AB73" s="3">
        <v>0</v>
      </c>
      <c r="AC73" s="79">
        <f>SUM(AC61:AC72)</f>
        <v>-2295.922</v>
      </c>
      <c r="AD73" s="3">
        <v>0</v>
      </c>
      <c r="AE73" s="79">
        <f>SUM(AE61:AE72)</f>
        <v>-398.91799999999995</v>
      </c>
      <c r="AF73" s="3">
        <v>0</v>
      </c>
      <c r="AG73" s="79">
        <f>SUM(AG61:AG72)</f>
        <v>-1110.1750000000002</v>
      </c>
      <c r="AH73" s="3">
        <v>0</v>
      </c>
      <c r="AI73" s="79">
        <f>SUM(AI61:AI72)</f>
        <v>-1553.2150000000001</v>
      </c>
      <c r="AJ73" s="3">
        <v>0</v>
      </c>
      <c r="AK73" s="79">
        <f>SUM(AK61:AK72)</f>
        <v>-2670.1610000000001</v>
      </c>
      <c r="AM73" s="79">
        <f>SUM(AM61:AM72)</f>
        <v>-160</v>
      </c>
      <c r="AN73" s="74"/>
      <c r="AO73" s="79">
        <f>SUM(AO61:AO71)</f>
        <v>0</v>
      </c>
      <c r="AP73" s="74"/>
      <c r="AQ73" s="79">
        <f>SUM(AQ61:AQ71)</f>
        <v>0</v>
      </c>
      <c r="AR73" s="95"/>
      <c r="AS73" s="79">
        <f>SUM(AS61:AS72)</f>
        <v>0</v>
      </c>
    </row>
    <row r="74" spans="2:45" x14ac:dyDescent="0.25">
      <c r="C74" s="49"/>
      <c r="D74" s="92"/>
      <c r="E74" s="74">
        <v>0</v>
      </c>
      <c r="F74" s="74"/>
      <c r="G74" s="74">
        <v>0</v>
      </c>
      <c r="H74" s="74">
        <v>0</v>
      </c>
      <c r="I74" s="74">
        <v>0</v>
      </c>
      <c r="J74" s="74">
        <v>0</v>
      </c>
      <c r="K74" s="74">
        <v>0</v>
      </c>
      <c r="L74" s="74">
        <v>0</v>
      </c>
      <c r="M74" s="74">
        <v>0</v>
      </c>
      <c r="N74" s="95"/>
      <c r="O74" s="74">
        <v>0</v>
      </c>
      <c r="P74" s="3">
        <v>0</v>
      </c>
      <c r="Q74" s="74">
        <v>0</v>
      </c>
      <c r="R74" s="3">
        <v>0</v>
      </c>
      <c r="S74" s="74">
        <v>0</v>
      </c>
      <c r="T74" s="3">
        <v>0</v>
      </c>
      <c r="U74" s="74">
        <v>0</v>
      </c>
      <c r="V74" s="3">
        <v>0</v>
      </c>
      <c r="W74" s="74">
        <v>0</v>
      </c>
      <c r="X74" s="3">
        <v>0</v>
      </c>
      <c r="Y74" s="74">
        <v>0</v>
      </c>
      <c r="Z74" s="3">
        <v>0</v>
      </c>
      <c r="AA74" s="74">
        <v>0</v>
      </c>
      <c r="AB74" s="3">
        <v>0</v>
      </c>
      <c r="AC74" s="74">
        <v>0</v>
      </c>
      <c r="AD74" s="3">
        <v>0</v>
      </c>
      <c r="AE74" s="74">
        <v>0</v>
      </c>
      <c r="AF74" s="3">
        <v>0</v>
      </c>
      <c r="AG74" s="74">
        <v>0</v>
      </c>
      <c r="AH74" s="3">
        <v>0</v>
      </c>
      <c r="AI74" s="74">
        <v>0</v>
      </c>
      <c r="AJ74" s="3">
        <v>0</v>
      </c>
      <c r="AK74" s="74">
        <v>0</v>
      </c>
      <c r="AM74" s="74"/>
      <c r="AN74" s="74"/>
      <c r="AO74" s="74"/>
      <c r="AP74" s="74"/>
      <c r="AQ74" s="74"/>
      <c r="AR74" s="95"/>
      <c r="AS74" s="74"/>
    </row>
    <row r="75" spans="2:45" x14ac:dyDescent="0.25">
      <c r="B75" s="47" t="s">
        <v>43</v>
      </c>
      <c r="C75" s="50" t="s">
        <v>213</v>
      </c>
      <c r="D75" s="92"/>
      <c r="E75" s="74">
        <v>0</v>
      </c>
      <c r="F75" s="74"/>
      <c r="G75" s="74">
        <v>0</v>
      </c>
      <c r="H75" s="74">
        <v>0</v>
      </c>
      <c r="I75" s="74">
        <v>0</v>
      </c>
      <c r="J75" s="74">
        <v>0</v>
      </c>
      <c r="K75" s="74">
        <v>0</v>
      </c>
      <c r="L75" s="74">
        <v>0</v>
      </c>
      <c r="M75" s="74">
        <v>0</v>
      </c>
      <c r="N75" s="95"/>
      <c r="O75" s="74">
        <v>0</v>
      </c>
      <c r="P75" s="3">
        <v>0</v>
      </c>
      <c r="Q75" s="74">
        <v>0</v>
      </c>
      <c r="R75" s="3">
        <v>0</v>
      </c>
      <c r="S75" s="74">
        <v>0</v>
      </c>
      <c r="T75" s="3">
        <v>0</v>
      </c>
      <c r="U75" s="74">
        <v>0</v>
      </c>
      <c r="V75" s="3">
        <v>0</v>
      </c>
      <c r="W75" s="74">
        <v>0</v>
      </c>
      <c r="X75" s="3">
        <v>0</v>
      </c>
      <c r="Y75" s="74">
        <v>0</v>
      </c>
      <c r="Z75" s="3">
        <v>0</v>
      </c>
      <c r="AA75" s="74">
        <v>0</v>
      </c>
      <c r="AB75" s="3">
        <v>0</v>
      </c>
      <c r="AC75" s="74">
        <v>0</v>
      </c>
      <c r="AD75" s="3">
        <v>0</v>
      </c>
      <c r="AE75" s="74">
        <v>0</v>
      </c>
      <c r="AF75" s="3">
        <v>0</v>
      </c>
      <c r="AG75" s="74">
        <v>0</v>
      </c>
      <c r="AH75" s="3">
        <v>0</v>
      </c>
      <c r="AI75" s="74">
        <v>0</v>
      </c>
      <c r="AJ75" s="3">
        <v>0</v>
      </c>
      <c r="AK75" s="74">
        <v>0</v>
      </c>
      <c r="AM75" s="74"/>
      <c r="AN75" s="74"/>
      <c r="AO75" s="74"/>
      <c r="AP75" s="74"/>
      <c r="AQ75" s="74"/>
      <c r="AR75" s="95"/>
      <c r="AS75" s="74"/>
    </row>
    <row r="76" spans="2:45" x14ac:dyDescent="0.25">
      <c r="B76" s="52" t="s">
        <v>279</v>
      </c>
      <c r="C76" s="72" t="s">
        <v>214</v>
      </c>
      <c r="D76" s="92"/>
      <c r="E76" s="74">
        <v>3956.056</v>
      </c>
      <c r="F76" s="74"/>
      <c r="G76" s="74">
        <v>1143.587</v>
      </c>
      <c r="H76" s="74">
        <v>0</v>
      </c>
      <c r="I76" s="74">
        <v>2163.7339999999999</v>
      </c>
      <c r="J76" s="74">
        <v>0</v>
      </c>
      <c r="K76" s="74">
        <v>3184.48</v>
      </c>
      <c r="L76" s="74">
        <v>0</v>
      </c>
      <c r="M76" s="74">
        <v>3701.5720000000001</v>
      </c>
      <c r="N76" s="95"/>
      <c r="O76" s="74">
        <v>316.37700000000001</v>
      </c>
      <c r="P76" s="3">
        <v>0</v>
      </c>
      <c r="Q76" s="74">
        <v>2974.6860000000001</v>
      </c>
      <c r="R76" s="3">
        <v>0</v>
      </c>
      <c r="S76" s="74">
        <v>3421.1619999999998</v>
      </c>
      <c r="T76" s="3">
        <v>0</v>
      </c>
      <c r="U76" s="74">
        <v>3424.047</v>
      </c>
      <c r="V76" s="3">
        <v>0</v>
      </c>
      <c r="W76" s="74">
        <v>644.21199999999999</v>
      </c>
      <c r="X76" s="3">
        <v>0</v>
      </c>
      <c r="Y76" s="74">
        <v>683.70699999999999</v>
      </c>
      <c r="Z76" s="3">
        <v>0</v>
      </c>
      <c r="AA76" s="74">
        <v>1435.9780000000001</v>
      </c>
      <c r="AB76" s="3">
        <v>0</v>
      </c>
      <c r="AC76" s="74">
        <v>2732.73</v>
      </c>
      <c r="AD76" s="3">
        <v>0</v>
      </c>
      <c r="AE76" s="74">
        <v>960.81200000000001</v>
      </c>
      <c r="AF76" s="3">
        <v>0</v>
      </c>
      <c r="AG76" s="74">
        <v>3479.8980000000001</v>
      </c>
      <c r="AH76" s="3">
        <v>0</v>
      </c>
      <c r="AI76" s="74">
        <v>5505.6779999999999</v>
      </c>
      <c r="AJ76" s="3">
        <v>0</v>
      </c>
      <c r="AK76" s="74">
        <v>5607.6279999999997</v>
      </c>
      <c r="AM76" s="74">
        <v>1708</v>
      </c>
      <c r="AN76" s="74"/>
      <c r="AO76" s="74"/>
      <c r="AP76" s="74"/>
      <c r="AQ76" s="74"/>
      <c r="AR76" s="95"/>
      <c r="AS76" s="74"/>
    </row>
    <row r="77" spans="2:45" x14ac:dyDescent="0.25">
      <c r="B77" s="53" t="s">
        <v>94</v>
      </c>
      <c r="C77" s="75" t="s">
        <v>215</v>
      </c>
      <c r="D77" s="92"/>
      <c r="E77" s="77">
        <v>-5094.5</v>
      </c>
      <c r="F77" s="74"/>
      <c r="G77" s="77">
        <v>-862.61099999999999</v>
      </c>
      <c r="H77" s="77">
        <v>0</v>
      </c>
      <c r="I77" s="77">
        <v>-2388.2730000000001</v>
      </c>
      <c r="J77" s="77">
        <v>0</v>
      </c>
      <c r="K77" s="77">
        <v>-2828.241</v>
      </c>
      <c r="L77" s="77">
        <v>0</v>
      </c>
      <c r="M77" s="77">
        <v>-4406.1009999999997</v>
      </c>
      <c r="N77" s="95"/>
      <c r="O77" s="77">
        <v>-159.28200000000001</v>
      </c>
      <c r="P77" s="3">
        <v>0</v>
      </c>
      <c r="Q77" s="77">
        <v>-2253.1709999999998</v>
      </c>
      <c r="R77" s="3">
        <v>0</v>
      </c>
      <c r="S77" s="77">
        <v>-3475.9459999999999</v>
      </c>
      <c r="T77" s="3">
        <v>0</v>
      </c>
      <c r="U77" s="77">
        <v>-3840.5880000000002</v>
      </c>
      <c r="V77" s="3">
        <v>0</v>
      </c>
      <c r="W77" s="77">
        <v>-9.1880000000000006</v>
      </c>
      <c r="X77" s="3">
        <v>0</v>
      </c>
      <c r="Y77" s="77">
        <v>-144.09299999999999</v>
      </c>
      <c r="Z77" s="3">
        <v>0</v>
      </c>
      <c r="AA77" s="77">
        <v>-312.774</v>
      </c>
      <c r="AB77" s="3">
        <v>0</v>
      </c>
      <c r="AC77" s="77">
        <v>-1225.6089999999999</v>
      </c>
      <c r="AD77" s="3">
        <v>0</v>
      </c>
      <c r="AE77" s="77">
        <v>-111.864</v>
      </c>
      <c r="AF77" s="3">
        <v>0</v>
      </c>
      <c r="AG77" s="77">
        <v>-2151.7660000000001</v>
      </c>
      <c r="AH77" s="3">
        <v>0</v>
      </c>
      <c r="AI77" s="77">
        <v>-4971.0680000000002</v>
      </c>
      <c r="AJ77" s="3">
        <v>0</v>
      </c>
      <c r="AK77" s="77">
        <v>-5348.4790000000003</v>
      </c>
      <c r="AM77" s="77">
        <v>-729</v>
      </c>
      <c r="AN77" s="77"/>
      <c r="AO77" s="77"/>
      <c r="AP77" s="77"/>
      <c r="AQ77" s="77"/>
      <c r="AR77" s="94"/>
      <c r="AS77" s="77"/>
    </row>
    <row r="78" spans="2:45" x14ac:dyDescent="0.25">
      <c r="B78" s="52" t="s">
        <v>302</v>
      </c>
      <c r="C78" s="72" t="s">
        <v>216</v>
      </c>
      <c r="D78" s="92"/>
      <c r="E78" s="74">
        <v>-179.107</v>
      </c>
      <c r="F78" s="74"/>
      <c r="G78" s="74">
        <v>-46.878999999999998</v>
      </c>
      <c r="H78" s="74">
        <v>0</v>
      </c>
      <c r="I78" s="74">
        <v>-107.851</v>
      </c>
      <c r="J78" s="74">
        <v>0</v>
      </c>
      <c r="K78" s="74">
        <v>-166.51400000000001</v>
      </c>
      <c r="L78" s="74">
        <v>0</v>
      </c>
      <c r="M78" s="74">
        <v>-227.21299999999999</v>
      </c>
      <c r="N78" s="95"/>
      <c r="O78" s="74">
        <v>-48.048999999999999</v>
      </c>
      <c r="P78" s="3">
        <v>0</v>
      </c>
      <c r="Q78" s="74">
        <v>-93.364999999999995</v>
      </c>
      <c r="R78" s="3">
        <v>0</v>
      </c>
      <c r="S78" s="74">
        <v>-253.767</v>
      </c>
      <c r="T78" s="3">
        <v>0</v>
      </c>
      <c r="U78" s="74">
        <v>-286.64600000000002</v>
      </c>
      <c r="V78" s="3">
        <v>0</v>
      </c>
      <c r="W78" s="74">
        <v>-74.581999999999994</v>
      </c>
      <c r="X78" s="3">
        <v>0</v>
      </c>
      <c r="Y78" s="74">
        <v>-155.017</v>
      </c>
      <c r="Z78" s="3">
        <v>0</v>
      </c>
      <c r="AA78" s="74">
        <v>-235.94200000000001</v>
      </c>
      <c r="AB78" s="3">
        <v>0</v>
      </c>
      <c r="AC78" s="74">
        <v>-320.89699999999999</v>
      </c>
      <c r="AD78" s="3">
        <v>0</v>
      </c>
      <c r="AE78" s="74">
        <v>-86.215000000000003</v>
      </c>
      <c r="AF78" s="3">
        <v>0</v>
      </c>
      <c r="AG78" s="74">
        <v>-221.441</v>
      </c>
      <c r="AH78" s="3">
        <v>0</v>
      </c>
      <c r="AI78" s="74">
        <v>-390.63299999999998</v>
      </c>
      <c r="AJ78" s="3">
        <v>0</v>
      </c>
      <c r="AK78" s="74">
        <v>-537.35699999999997</v>
      </c>
      <c r="AM78" s="74">
        <v>-115</v>
      </c>
      <c r="AN78" s="74"/>
      <c r="AO78" s="74"/>
      <c r="AP78" s="74"/>
      <c r="AQ78" s="74"/>
      <c r="AR78" s="95"/>
      <c r="AS78" s="74"/>
    </row>
    <row r="79" spans="2:45" x14ac:dyDescent="0.25">
      <c r="B79" s="53" t="s">
        <v>280</v>
      </c>
      <c r="C79" s="75" t="s">
        <v>120</v>
      </c>
      <c r="D79" s="92"/>
      <c r="E79" s="77">
        <v>105.279</v>
      </c>
      <c r="F79" s="74"/>
      <c r="G79" s="77">
        <v>-1.5840000000000001</v>
      </c>
      <c r="H79" s="77">
        <v>0</v>
      </c>
      <c r="I79" s="77">
        <v>-4.6870000000000003</v>
      </c>
      <c r="J79" s="77">
        <v>0</v>
      </c>
      <c r="K79" s="77">
        <v>-18.282</v>
      </c>
      <c r="L79" s="77">
        <v>0</v>
      </c>
      <c r="M79" s="77">
        <v>57.753</v>
      </c>
      <c r="N79" s="95"/>
      <c r="O79" s="77">
        <v>-34.515000000000001</v>
      </c>
      <c r="P79" s="3">
        <v>0</v>
      </c>
      <c r="Q79" s="77">
        <v>-10.836</v>
      </c>
      <c r="R79" s="3">
        <v>0</v>
      </c>
      <c r="S79" s="77">
        <v>-50.222999999999999</v>
      </c>
      <c r="T79" s="3">
        <v>0</v>
      </c>
      <c r="U79" s="77">
        <v>-169.65799999999999</v>
      </c>
      <c r="V79" s="3">
        <v>0</v>
      </c>
      <c r="W79" s="77">
        <v>-54.034999999999997</v>
      </c>
      <c r="X79" s="3">
        <v>0</v>
      </c>
      <c r="Y79" s="77">
        <v>-124.258</v>
      </c>
      <c r="Z79" s="3">
        <v>0</v>
      </c>
      <c r="AA79" s="77">
        <v>-173.82400000000001</v>
      </c>
      <c r="AB79" s="3">
        <v>0</v>
      </c>
      <c r="AC79" s="77">
        <v>-296.89999999999998</v>
      </c>
      <c r="AD79" s="3">
        <v>0</v>
      </c>
      <c r="AE79" s="77">
        <v>-54.097000000000001</v>
      </c>
      <c r="AF79" s="3">
        <v>0</v>
      </c>
      <c r="AG79" s="77">
        <v>-117.393</v>
      </c>
      <c r="AH79" s="3">
        <v>0</v>
      </c>
      <c r="AI79" s="77">
        <v>-108.268</v>
      </c>
      <c r="AJ79" s="3">
        <v>0</v>
      </c>
      <c r="AK79" s="77">
        <v>-174.83</v>
      </c>
      <c r="AM79" s="77">
        <v>-39</v>
      </c>
      <c r="AN79" s="77"/>
      <c r="AO79" s="77"/>
      <c r="AP79" s="77"/>
      <c r="AQ79" s="77"/>
      <c r="AR79" s="94"/>
      <c r="AS79" s="77"/>
    </row>
    <row r="80" spans="2:45" x14ac:dyDescent="0.25">
      <c r="B80" s="52" t="s">
        <v>95</v>
      </c>
      <c r="C80" s="72" t="s">
        <v>217</v>
      </c>
      <c r="D80" s="92"/>
      <c r="E80" s="74">
        <v>-8.3179999999999996</v>
      </c>
      <c r="F80" s="74"/>
      <c r="G80" s="74">
        <v>-0.27900000000000003</v>
      </c>
      <c r="H80" s="74">
        <v>0</v>
      </c>
      <c r="I80" s="74">
        <v>-0.27900000000000003</v>
      </c>
      <c r="J80" s="74">
        <v>0</v>
      </c>
      <c r="K80" s="74">
        <v>-0.35899999999999999</v>
      </c>
      <c r="L80" s="74">
        <v>0</v>
      </c>
      <c r="M80" s="74">
        <v>11.861000000000001</v>
      </c>
      <c r="N80" s="95"/>
      <c r="O80" s="74">
        <v>0</v>
      </c>
      <c r="P80" s="3">
        <v>0</v>
      </c>
      <c r="Q80" s="74">
        <v>-116.78700000000001</v>
      </c>
      <c r="R80" s="3">
        <v>0</v>
      </c>
      <c r="S80" s="74">
        <v>-116.78700000000001</v>
      </c>
      <c r="T80" s="3">
        <v>0</v>
      </c>
      <c r="U80" s="74">
        <v>-116.78700000000001</v>
      </c>
      <c r="V80" s="3">
        <v>0</v>
      </c>
      <c r="W80" s="74">
        <v>0</v>
      </c>
      <c r="X80" s="3">
        <v>0</v>
      </c>
      <c r="Y80" s="74">
        <v>-96.572000000000003</v>
      </c>
      <c r="Z80" s="3">
        <v>0</v>
      </c>
      <c r="AA80" s="74">
        <v>-96.572000000000003</v>
      </c>
      <c r="AB80" s="3">
        <v>0</v>
      </c>
      <c r="AC80" s="74">
        <v>-96.572000000000003</v>
      </c>
      <c r="AD80" s="3">
        <v>0</v>
      </c>
      <c r="AE80" s="74">
        <v>0</v>
      </c>
      <c r="AF80" s="3">
        <v>0</v>
      </c>
      <c r="AG80" s="74">
        <v>-66.52</v>
      </c>
      <c r="AH80" s="3">
        <v>0</v>
      </c>
      <c r="AI80" s="74">
        <v>-66.52</v>
      </c>
      <c r="AJ80" s="3">
        <v>0</v>
      </c>
      <c r="AK80" s="74">
        <v>-68.962000000000003</v>
      </c>
      <c r="AM80" s="74">
        <v>0</v>
      </c>
      <c r="AN80" s="74"/>
      <c r="AO80" s="74"/>
      <c r="AP80" s="74"/>
      <c r="AQ80" s="74"/>
      <c r="AR80" s="95"/>
      <c r="AS80" s="74"/>
    </row>
    <row r="81" spans="1:45" x14ac:dyDescent="0.25">
      <c r="B81" s="53" t="s">
        <v>96</v>
      </c>
      <c r="C81" s="75" t="s">
        <v>220</v>
      </c>
      <c r="D81" s="92"/>
      <c r="E81" s="77">
        <v>0</v>
      </c>
      <c r="F81" s="74"/>
      <c r="G81" s="77">
        <v>-344.78</v>
      </c>
      <c r="H81" s="77">
        <v>0</v>
      </c>
      <c r="I81" s="77">
        <v>-344.78</v>
      </c>
      <c r="J81" s="77">
        <v>0</v>
      </c>
      <c r="K81" s="77">
        <v>-746.01</v>
      </c>
      <c r="L81" s="77">
        <v>0</v>
      </c>
      <c r="M81" s="77">
        <v>-745.59199999999998</v>
      </c>
      <c r="N81" s="95"/>
      <c r="O81" s="77">
        <v>-534.64300000000003</v>
      </c>
      <c r="P81" s="3">
        <v>0</v>
      </c>
      <c r="Q81" s="77">
        <v>-534.64300000000003</v>
      </c>
      <c r="R81" s="3">
        <v>0</v>
      </c>
      <c r="S81" s="77">
        <v>-1074.6010000000001</v>
      </c>
      <c r="T81" s="3">
        <v>0</v>
      </c>
      <c r="U81" s="77">
        <v>-1074.6010000000001</v>
      </c>
      <c r="V81" s="3">
        <v>0</v>
      </c>
      <c r="W81" s="77">
        <v>-476.5</v>
      </c>
      <c r="X81" s="3">
        <v>0</v>
      </c>
      <c r="Y81" s="77">
        <v>-476.5</v>
      </c>
      <c r="Z81" s="3">
        <v>0</v>
      </c>
      <c r="AA81" s="77">
        <v>-939.25800000000004</v>
      </c>
      <c r="AB81" s="3">
        <v>0</v>
      </c>
      <c r="AC81" s="77">
        <v>-939.25800000000004</v>
      </c>
      <c r="AD81" s="3">
        <v>0</v>
      </c>
      <c r="AE81" s="77">
        <v>-488.30700000000002</v>
      </c>
      <c r="AF81" s="3">
        <v>0</v>
      </c>
      <c r="AG81" s="77">
        <v>-488.30700000000002</v>
      </c>
      <c r="AH81" s="3">
        <v>0</v>
      </c>
      <c r="AI81" s="77">
        <v>-958.89700000000005</v>
      </c>
      <c r="AJ81" s="3">
        <v>0</v>
      </c>
      <c r="AK81" s="77">
        <v>-958.89700000000005</v>
      </c>
      <c r="AM81" s="77">
        <v>-550</v>
      </c>
      <c r="AN81" s="77"/>
      <c r="AO81" s="77"/>
      <c r="AP81" s="77"/>
      <c r="AQ81" s="77"/>
      <c r="AR81" s="94"/>
      <c r="AS81" s="77"/>
    </row>
    <row r="82" spans="1:45" x14ac:dyDescent="0.25">
      <c r="B82" s="52" t="s">
        <v>97</v>
      </c>
      <c r="C82" s="72" t="s">
        <v>218</v>
      </c>
      <c r="D82" s="92"/>
      <c r="E82" s="74">
        <v>-194.05099999999999</v>
      </c>
      <c r="F82" s="74"/>
      <c r="G82" s="74">
        <v>-1.661</v>
      </c>
      <c r="H82" s="74">
        <v>0</v>
      </c>
      <c r="I82" s="74">
        <v>-14.938000000000001</v>
      </c>
      <c r="J82" s="74">
        <v>0</v>
      </c>
      <c r="K82" s="74">
        <v>-27.896000000000001</v>
      </c>
      <c r="L82" s="74">
        <v>0</v>
      </c>
      <c r="M82" s="74">
        <v>-109.145</v>
      </c>
      <c r="N82" s="95"/>
      <c r="O82" s="74">
        <v>-6.9000000000000006E-2</v>
      </c>
      <c r="P82" s="3">
        <v>0</v>
      </c>
      <c r="Q82" s="74">
        <v>-6.9000000000000006E-2</v>
      </c>
      <c r="R82" s="3">
        <v>0</v>
      </c>
      <c r="S82" s="74">
        <v>-18.524999999999999</v>
      </c>
      <c r="T82" s="3">
        <v>0</v>
      </c>
      <c r="U82" s="74">
        <v>-74.173000000000002</v>
      </c>
      <c r="V82" s="3">
        <v>0</v>
      </c>
      <c r="W82" s="74">
        <v>0</v>
      </c>
      <c r="X82" s="3">
        <v>0</v>
      </c>
      <c r="Y82" s="74">
        <v>-4.5510000000000002</v>
      </c>
      <c r="Z82" s="3">
        <v>0</v>
      </c>
      <c r="AA82" s="74">
        <v>-4.7329999999999997</v>
      </c>
      <c r="AB82" s="3">
        <v>0</v>
      </c>
      <c r="AC82" s="74">
        <v>-86.506</v>
      </c>
      <c r="AD82" s="3">
        <v>0</v>
      </c>
      <c r="AE82" s="74">
        <v>0</v>
      </c>
      <c r="AF82" s="3">
        <v>0</v>
      </c>
      <c r="AG82" s="74">
        <v>-3.4750000000000001</v>
      </c>
      <c r="AH82" s="3">
        <v>0</v>
      </c>
      <c r="AI82" s="74">
        <v>-26.773</v>
      </c>
      <c r="AJ82" s="3">
        <v>0</v>
      </c>
      <c r="AK82" s="74">
        <v>-40.823</v>
      </c>
      <c r="AM82" s="74">
        <v>-55</v>
      </c>
      <c r="AN82" s="74"/>
      <c r="AO82" s="74"/>
      <c r="AP82" s="74"/>
      <c r="AQ82" s="74"/>
      <c r="AR82" s="95"/>
      <c r="AS82" s="74"/>
    </row>
    <row r="83" spans="1:45" x14ac:dyDescent="0.25">
      <c r="B83" s="53" t="s">
        <v>265</v>
      </c>
      <c r="C83" s="75" t="s">
        <v>267</v>
      </c>
      <c r="D83" s="92"/>
      <c r="E83" s="77">
        <f>(-57272)/1000</f>
        <v>-57.271999999999998</v>
      </c>
      <c r="F83" s="74"/>
      <c r="G83" s="77">
        <v>-0.62</v>
      </c>
      <c r="H83" s="77">
        <v>0</v>
      </c>
      <c r="I83" s="77">
        <v>-1.258</v>
      </c>
      <c r="J83" s="77">
        <v>0</v>
      </c>
      <c r="K83" s="77">
        <v>-0.99199999999999999</v>
      </c>
      <c r="L83" s="77">
        <v>0</v>
      </c>
      <c r="M83" s="77">
        <v>0</v>
      </c>
      <c r="N83" s="95"/>
      <c r="O83" s="77">
        <v>-0.85599999999999998</v>
      </c>
      <c r="P83" s="3">
        <v>0</v>
      </c>
      <c r="Q83" s="77">
        <v>-6.8250000000000002</v>
      </c>
      <c r="R83" s="3">
        <v>0</v>
      </c>
      <c r="S83" s="77">
        <v>-6.62</v>
      </c>
      <c r="T83" s="3">
        <v>0</v>
      </c>
      <c r="U83" s="77">
        <v>0</v>
      </c>
      <c r="V83" s="3">
        <v>0</v>
      </c>
      <c r="W83" s="77">
        <v>0</v>
      </c>
      <c r="X83" s="3">
        <v>0</v>
      </c>
      <c r="Y83" s="77">
        <v>0</v>
      </c>
      <c r="Z83" s="3">
        <v>0</v>
      </c>
      <c r="AA83" s="77">
        <v>0</v>
      </c>
      <c r="AB83" s="3">
        <v>0</v>
      </c>
      <c r="AC83" s="77">
        <v>0</v>
      </c>
      <c r="AD83" s="3">
        <v>0</v>
      </c>
      <c r="AE83" s="77">
        <v>0</v>
      </c>
      <c r="AF83" s="3">
        <v>0</v>
      </c>
      <c r="AG83" s="77">
        <v>0</v>
      </c>
      <c r="AH83" s="3">
        <v>0</v>
      </c>
      <c r="AI83" s="77">
        <v>0</v>
      </c>
      <c r="AJ83" s="3">
        <v>0</v>
      </c>
      <c r="AK83" s="77">
        <v>0</v>
      </c>
      <c r="AM83" s="77">
        <v>-17</v>
      </c>
      <c r="AN83" s="77"/>
      <c r="AO83" s="77"/>
      <c r="AP83" s="77"/>
      <c r="AQ83" s="77"/>
      <c r="AR83" s="94"/>
      <c r="AS83" s="77"/>
    </row>
    <row r="84" spans="1:45" x14ac:dyDescent="0.25">
      <c r="B84" s="52" t="s">
        <v>266</v>
      </c>
      <c r="C84" s="72" t="s">
        <v>268</v>
      </c>
      <c r="D84" s="92"/>
      <c r="E84" s="74">
        <v>23.137</v>
      </c>
      <c r="F84" s="74"/>
      <c r="G84" s="74">
        <v>0</v>
      </c>
      <c r="H84" s="74">
        <v>0</v>
      </c>
      <c r="I84" s="74">
        <v>0</v>
      </c>
      <c r="J84" s="74">
        <v>0</v>
      </c>
      <c r="K84" s="74">
        <v>0</v>
      </c>
      <c r="L84" s="74">
        <v>0</v>
      </c>
      <c r="M84" s="74">
        <v>0</v>
      </c>
      <c r="N84" s="95"/>
      <c r="O84" s="74">
        <v>0</v>
      </c>
      <c r="P84" s="3">
        <v>0</v>
      </c>
      <c r="Q84" s="74">
        <v>0</v>
      </c>
      <c r="R84" s="3">
        <v>0</v>
      </c>
      <c r="S84" s="74">
        <v>0</v>
      </c>
      <c r="T84" s="3">
        <v>0</v>
      </c>
      <c r="U84" s="74">
        <v>8.5589999999999993</v>
      </c>
      <c r="V84" s="3">
        <v>0</v>
      </c>
      <c r="W84" s="74">
        <v>0</v>
      </c>
      <c r="X84" s="3">
        <v>0</v>
      </c>
      <c r="Y84" s="74">
        <v>0</v>
      </c>
      <c r="Z84" s="3">
        <v>0</v>
      </c>
      <c r="AA84" s="74">
        <v>0</v>
      </c>
      <c r="AB84" s="3">
        <v>0</v>
      </c>
      <c r="AC84" s="74">
        <v>0</v>
      </c>
      <c r="AD84" s="3">
        <v>0</v>
      </c>
      <c r="AE84" s="74">
        <v>0</v>
      </c>
      <c r="AF84" s="3">
        <v>0</v>
      </c>
      <c r="AG84" s="74">
        <v>0</v>
      </c>
      <c r="AH84" s="3">
        <v>0</v>
      </c>
      <c r="AI84" s="74">
        <v>0</v>
      </c>
      <c r="AJ84" s="3">
        <v>0</v>
      </c>
      <c r="AK84" s="74">
        <v>0</v>
      </c>
      <c r="AM84" s="74">
        <v>0</v>
      </c>
      <c r="AN84" s="74"/>
      <c r="AO84" s="74">
        <v>0</v>
      </c>
      <c r="AP84" s="74"/>
      <c r="AQ84" s="74">
        <v>0</v>
      </c>
      <c r="AR84" s="95"/>
      <c r="AS84" s="74"/>
    </row>
    <row r="85" spans="1:45" x14ac:dyDescent="0.25">
      <c r="B85" s="51" t="s">
        <v>104</v>
      </c>
      <c r="C85" s="81" t="s">
        <v>219</v>
      </c>
      <c r="D85" s="92"/>
      <c r="E85" s="76">
        <f>(SUM(E76:E84))</f>
        <v>-1448.7759999999998</v>
      </c>
      <c r="F85" s="74"/>
      <c r="G85" s="76">
        <f>(SUM(G76:G84))</f>
        <v>-114.82699999999997</v>
      </c>
      <c r="H85" s="76">
        <v>0</v>
      </c>
      <c r="I85" s="76">
        <f>(SUM(I76:I84))</f>
        <v>-698.33200000000022</v>
      </c>
      <c r="J85" s="76">
        <v>0</v>
      </c>
      <c r="K85" s="76">
        <f>(SUM(K76:K84))</f>
        <v>-603.81399999999985</v>
      </c>
      <c r="L85" s="76">
        <v>0</v>
      </c>
      <c r="M85" s="76">
        <f>(SUM(M76:M84))</f>
        <v>-1716.8649999999993</v>
      </c>
      <c r="N85" s="95"/>
      <c r="O85" s="76">
        <f>(SUM(O76:O84))</f>
        <v>-461.03700000000003</v>
      </c>
      <c r="P85" s="3">
        <v>0</v>
      </c>
      <c r="Q85" s="76">
        <f>(SUM(Q76:Q84))</f>
        <v>-41.009999999999764</v>
      </c>
      <c r="R85" s="3">
        <v>0</v>
      </c>
      <c r="S85" s="76">
        <f>(SUM(S76:S84))</f>
        <v>-1575.3070000000002</v>
      </c>
      <c r="T85" s="3">
        <v>0</v>
      </c>
      <c r="U85" s="76">
        <f>(SUM(U76:U84))</f>
        <v>-2129.8469999999998</v>
      </c>
      <c r="V85" s="3">
        <v>0</v>
      </c>
      <c r="W85" s="76">
        <f>(SUM(W76:W84))</f>
        <v>29.907000000000039</v>
      </c>
      <c r="X85" s="3">
        <v>0</v>
      </c>
      <c r="Y85" s="76">
        <f>(SUM(Y76:Y84))</f>
        <v>-317.28399999999993</v>
      </c>
      <c r="Z85" s="3">
        <v>0</v>
      </c>
      <c r="AA85" s="76">
        <f>(SUM(AA76:AA84))</f>
        <v>-327.12499999999994</v>
      </c>
      <c r="AB85" s="3">
        <v>0</v>
      </c>
      <c r="AC85" s="76">
        <f>(SUM(AC76:AC84))</f>
        <v>-233.01199999999986</v>
      </c>
      <c r="AD85" s="3">
        <v>0</v>
      </c>
      <c r="AE85" s="76">
        <f>(SUM(AE76:AE84))</f>
        <v>220.32899999999995</v>
      </c>
      <c r="AF85" s="3">
        <v>0</v>
      </c>
      <c r="AG85" s="76">
        <f>(SUM(AG76:AG84))</f>
        <v>430.99599999999998</v>
      </c>
      <c r="AH85" s="3">
        <v>0</v>
      </c>
      <c r="AI85" s="76">
        <f>(SUM(AI76:AI84))</f>
        <v>-1016.4810000000003</v>
      </c>
      <c r="AJ85" s="3">
        <v>0</v>
      </c>
      <c r="AK85" s="76">
        <f>(SUM(AK76:AK84))</f>
        <v>-1521.7200000000007</v>
      </c>
      <c r="AM85" s="76">
        <f>(SUM(AM76:AM84))-1</f>
        <v>202</v>
      </c>
      <c r="AN85" s="77"/>
      <c r="AO85" s="76">
        <f>SUM(AO76:AO84)</f>
        <v>0</v>
      </c>
      <c r="AP85" s="74"/>
      <c r="AQ85" s="76">
        <f>SUM(AQ76:AQ84)</f>
        <v>0</v>
      </c>
      <c r="AR85" s="95"/>
      <c r="AS85" s="76">
        <f>SUM(AS76:AS84)</f>
        <v>0</v>
      </c>
    </row>
    <row r="86" spans="1:45" x14ac:dyDescent="0.25">
      <c r="C86" s="49"/>
      <c r="D86" s="92"/>
      <c r="E86" s="79">
        <v>0</v>
      </c>
      <c r="F86" s="74"/>
      <c r="G86" s="79">
        <v>0</v>
      </c>
      <c r="H86" s="79">
        <v>0</v>
      </c>
      <c r="I86" s="79">
        <v>0</v>
      </c>
      <c r="J86" s="79">
        <v>0</v>
      </c>
      <c r="K86" s="79">
        <v>0</v>
      </c>
      <c r="L86" s="79">
        <v>0</v>
      </c>
      <c r="M86" s="79">
        <v>0</v>
      </c>
      <c r="N86" s="95"/>
      <c r="O86" s="79">
        <v>0</v>
      </c>
      <c r="P86" s="3">
        <v>0</v>
      </c>
      <c r="Q86" s="79">
        <v>0</v>
      </c>
      <c r="R86" s="3">
        <v>0</v>
      </c>
      <c r="S86" s="79">
        <v>0</v>
      </c>
      <c r="T86" s="3">
        <v>0</v>
      </c>
      <c r="U86" s="79">
        <v>0</v>
      </c>
      <c r="V86" s="3">
        <v>0</v>
      </c>
      <c r="W86" s="79">
        <v>0</v>
      </c>
      <c r="X86" s="3">
        <v>0</v>
      </c>
      <c r="Y86" s="79">
        <v>0</v>
      </c>
      <c r="Z86" s="3">
        <v>0</v>
      </c>
      <c r="AA86" s="79">
        <v>0</v>
      </c>
      <c r="AB86" s="3">
        <v>0</v>
      </c>
      <c r="AC86" s="79">
        <v>0</v>
      </c>
      <c r="AD86" s="3">
        <v>0</v>
      </c>
      <c r="AE86" s="79">
        <v>0</v>
      </c>
      <c r="AF86" s="3">
        <v>0</v>
      </c>
      <c r="AG86" s="79">
        <v>0</v>
      </c>
      <c r="AH86" s="3">
        <v>0</v>
      </c>
      <c r="AI86" s="79">
        <v>0</v>
      </c>
      <c r="AJ86" s="3">
        <v>0</v>
      </c>
      <c r="AK86" s="79">
        <v>0</v>
      </c>
      <c r="AM86" s="79"/>
      <c r="AN86" s="74"/>
      <c r="AO86" s="79"/>
      <c r="AP86" s="74"/>
      <c r="AQ86" s="79"/>
      <c r="AR86" s="95"/>
      <c r="AS86" s="79"/>
    </row>
    <row r="87" spans="1:45" x14ac:dyDescent="0.25">
      <c r="B87" s="81" t="s">
        <v>98</v>
      </c>
      <c r="C87" s="81" t="s">
        <v>254</v>
      </c>
      <c r="D87" s="92"/>
      <c r="E87" s="76">
        <f>(SUM(E58,E73,E85))</f>
        <v>675.51500000000124</v>
      </c>
      <c r="F87" s="74"/>
      <c r="G87" s="76">
        <f>(SUM(G58,G73,G85))</f>
        <v>-390.38400000000001</v>
      </c>
      <c r="H87" s="76">
        <f t="shared" ref="H87:M87" si="4">(SUM(H58,H73,H85))</f>
        <v>0</v>
      </c>
      <c r="I87" s="76">
        <f t="shared" si="4"/>
        <v>-94.290999999999713</v>
      </c>
      <c r="J87" s="76">
        <f t="shared" si="4"/>
        <v>0</v>
      </c>
      <c r="K87" s="76">
        <f>SUM(K58,K73,K85)</f>
        <v>1415.6753242558259</v>
      </c>
      <c r="L87" s="76">
        <f t="shared" si="4"/>
        <v>0</v>
      </c>
      <c r="M87" s="76">
        <f>SUM(M58,M73,M85)</f>
        <v>870.16900000000032</v>
      </c>
      <c r="N87" s="95"/>
      <c r="O87" s="76">
        <f>SUM(O58,O73,O85)</f>
        <v>-621.72158150742598</v>
      </c>
      <c r="P87" s="3">
        <v>0</v>
      </c>
      <c r="Q87" s="76">
        <f>SUM(Q58,Q73,Q85)</f>
        <v>-337.74799999999999</v>
      </c>
      <c r="R87" s="3">
        <v>0</v>
      </c>
      <c r="S87" s="76">
        <f>SUM(S58,S73,S85)</f>
        <v>14.062999999998056</v>
      </c>
      <c r="T87" s="3">
        <v>0</v>
      </c>
      <c r="U87" s="76">
        <f>SUM(U58,U73,U85)</f>
        <v>-329.6899999999996</v>
      </c>
      <c r="V87" s="3">
        <v>0</v>
      </c>
      <c r="W87" s="76">
        <f>SUM(W58,W73,W85)</f>
        <v>-1255.7959999999998</v>
      </c>
      <c r="X87" s="3">
        <v>0</v>
      </c>
      <c r="Y87" s="76">
        <f>SUM(Y58,Y73,Y85)</f>
        <v>-1093.7460000000001</v>
      </c>
      <c r="Z87" s="3">
        <v>0</v>
      </c>
      <c r="AA87" s="76">
        <f>SUM(AA58,AA73,AA85)</f>
        <v>124.74600000000083</v>
      </c>
      <c r="AB87" s="3">
        <v>0</v>
      </c>
      <c r="AC87" s="76">
        <f>SUM(AC58,AC73,AC85)</f>
        <v>1427.5760000000012</v>
      </c>
      <c r="AD87" s="3">
        <v>0</v>
      </c>
      <c r="AE87" s="76">
        <f>SUM(AE58,AE73,AE85)</f>
        <v>-1706.7179999999994</v>
      </c>
      <c r="AF87" s="3">
        <v>0</v>
      </c>
      <c r="AG87" s="76">
        <f>SUM(AG58,AG73,AG85)</f>
        <v>-1280.0450000000001</v>
      </c>
      <c r="AH87" s="3">
        <v>0</v>
      </c>
      <c r="AI87" s="76">
        <f>SUM(AI58,AI73,AI85)</f>
        <v>-1388.7830000000008</v>
      </c>
      <c r="AJ87" s="3">
        <v>0</v>
      </c>
      <c r="AK87" s="76">
        <f>SUM(AK58,AK73,AK85)</f>
        <v>-1026.7570000000001</v>
      </c>
      <c r="AM87" s="76">
        <f>SUM(AM58,AM73,AM85)</f>
        <v>-1019</v>
      </c>
      <c r="AN87" s="77"/>
      <c r="AO87" s="76">
        <f>SUM(AO58,AO73,AO85)</f>
        <v>0</v>
      </c>
      <c r="AP87" s="77"/>
      <c r="AQ87" s="76">
        <f>SUM(AQ58,AQ73,AQ85)</f>
        <v>0</v>
      </c>
      <c r="AR87" s="94"/>
      <c r="AS87" s="76">
        <f>SUM(AS58,AS73,AS85)</f>
        <v>0</v>
      </c>
    </row>
    <row r="88" spans="1:45" x14ac:dyDescent="0.25">
      <c r="C88" s="49"/>
      <c r="D88" s="92"/>
      <c r="E88" s="74">
        <v>0</v>
      </c>
      <c r="F88" s="74"/>
      <c r="G88" s="74">
        <v>0</v>
      </c>
      <c r="H88" s="74">
        <v>0</v>
      </c>
      <c r="I88" s="74">
        <v>0</v>
      </c>
      <c r="J88" s="74">
        <v>0</v>
      </c>
      <c r="K88" s="74">
        <v>0</v>
      </c>
      <c r="L88" s="74">
        <v>0</v>
      </c>
      <c r="M88" s="74">
        <v>0</v>
      </c>
      <c r="N88" s="95"/>
      <c r="O88" s="74">
        <v>0</v>
      </c>
      <c r="P88" s="3">
        <v>0</v>
      </c>
      <c r="Q88" s="74">
        <v>0</v>
      </c>
      <c r="R88" s="3">
        <v>0</v>
      </c>
      <c r="S88" s="74">
        <v>0</v>
      </c>
      <c r="T88" s="3">
        <v>0</v>
      </c>
      <c r="U88" s="74">
        <v>0</v>
      </c>
      <c r="V88" s="3">
        <v>0</v>
      </c>
      <c r="W88" s="74">
        <v>0</v>
      </c>
      <c r="X88" s="3">
        <v>0</v>
      </c>
      <c r="Y88" s="74">
        <v>0</v>
      </c>
      <c r="Z88" s="3">
        <v>0</v>
      </c>
      <c r="AA88" s="74">
        <v>0</v>
      </c>
      <c r="AB88" s="3">
        <v>0</v>
      </c>
      <c r="AC88" s="74">
        <v>0</v>
      </c>
      <c r="AD88" s="3">
        <v>0</v>
      </c>
      <c r="AE88" s="74">
        <v>0</v>
      </c>
      <c r="AF88" s="3">
        <v>0</v>
      </c>
      <c r="AG88" s="74">
        <v>0</v>
      </c>
      <c r="AH88" s="3">
        <v>0</v>
      </c>
      <c r="AI88" s="74">
        <v>0</v>
      </c>
      <c r="AJ88" s="3">
        <v>0</v>
      </c>
      <c r="AK88" s="74">
        <v>0</v>
      </c>
      <c r="AM88" s="74"/>
      <c r="AN88" s="74"/>
      <c r="AO88" s="74"/>
      <c r="AP88" s="74"/>
      <c r="AQ88" s="74"/>
      <c r="AR88" s="95"/>
      <c r="AS88" s="74"/>
    </row>
    <row r="89" spans="1:45" ht="15" hidden="1" customHeight="1" x14ac:dyDescent="0.25">
      <c r="B89" s="52" t="s">
        <v>99</v>
      </c>
      <c r="C89" s="72"/>
      <c r="D89" s="92"/>
      <c r="E89" s="74" t="e">
        <f>(VLOOKUP($B89,#REF!,12,0))/1000</f>
        <v>#REF!</v>
      </c>
      <c r="F89" s="74"/>
      <c r="G89" s="74">
        <v>0</v>
      </c>
      <c r="H89" s="74">
        <v>0</v>
      </c>
      <c r="I89" s="74">
        <v>0</v>
      </c>
      <c r="J89" s="74">
        <v>0</v>
      </c>
      <c r="K89" s="74">
        <v>0</v>
      </c>
      <c r="L89" s="74">
        <v>0</v>
      </c>
      <c r="M89" s="74">
        <v>0</v>
      </c>
      <c r="N89" s="95"/>
      <c r="O89" s="74">
        <v>0</v>
      </c>
      <c r="P89" s="3">
        <v>0</v>
      </c>
      <c r="Q89" s="74">
        <v>0</v>
      </c>
      <c r="R89" s="3">
        <v>0</v>
      </c>
      <c r="S89" s="74">
        <v>0</v>
      </c>
      <c r="T89" s="3">
        <v>0</v>
      </c>
      <c r="U89" s="74">
        <v>0</v>
      </c>
      <c r="V89" s="3">
        <v>0</v>
      </c>
      <c r="W89" s="74">
        <v>0</v>
      </c>
      <c r="X89" s="3">
        <v>0</v>
      </c>
      <c r="Y89" s="74">
        <v>0</v>
      </c>
      <c r="Z89" s="3">
        <v>0</v>
      </c>
      <c r="AA89" s="74">
        <v>0</v>
      </c>
      <c r="AB89" s="3">
        <v>0</v>
      </c>
      <c r="AC89" s="74">
        <v>0</v>
      </c>
      <c r="AD89" s="3">
        <v>0</v>
      </c>
      <c r="AE89" s="74">
        <v>0</v>
      </c>
      <c r="AF89" s="3">
        <v>0</v>
      </c>
      <c r="AG89" s="74">
        <v>0</v>
      </c>
      <c r="AH89" s="3">
        <v>0</v>
      </c>
      <c r="AI89" s="74">
        <v>0</v>
      </c>
      <c r="AJ89" s="3">
        <v>0</v>
      </c>
      <c r="AK89" s="74">
        <v>0</v>
      </c>
      <c r="AM89" s="74"/>
      <c r="AN89" s="74"/>
      <c r="AO89" s="74">
        <v>0</v>
      </c>
      <c r="AP89" s="74"/>
      <c r="AQ89" s="74"/>
      <c r="AR89" s="95"/>
      <c r="AS89" s="74"/>
    </row>
    <row r="90" spans="1:45" x14ac:dyDescent="0.25">
      <c r="B90" s="53" t="s">
        <v>100</v>
      </c>
      <c r="C90" s="75" t="s">
        <v>221</v>
      </c>
      <c r="D90" s="92"/>
      <c r="E90" s="77">
        <v>444.52100000000002</v>
      </c>
      <c r="F90" s="74"/>
      <c r="G90" s="77">
        <v>155.05000000000001</v>
      </c>
      <c r="H90" s="77">
        <v>0</v>
      </c>
      <c r="I90" s="77">
        <v>-127.82299999999999</v>
      </c>
      <c r="J90" s="77">
        <v>0</v>
      </c>
      <c r="K90" s="77">
        <v>103.419</v>
      </c>
      <c r="L90" s="77">
        <v>0</v>
      </c>
      <c r="M90" s="77">
        <v>166.83500000000001</v>
      </c>
      <c r="N90" s="95"/>
      <c r="O90" s="77">
        <v>-377.197</v>
      </c>
      <c r="P90" s="3">
        <v>0</v>
      </c>
      <c r="Q90" s="77">
        <v>-199.09399999999999</v>
      </c>
      <c r="R90" s="3">
        <v>0</v>
      </c>
      <c r="S90" s="77">
        <v>-293.572</v>
      </c>
      <c r="T90" s="3">
        <v>0</v>
      </c>
      <c r="U90" s="77">
        <v>-176.827</v>
      </c>
      <c r="V90" s="3">
        <v>0</v>
      </c>
      <c r="W90" s="77">
        <v>-30.07</v>
      </c>
      <c r="X90" s="3">
        <v>0</v>
      </c>
      <c r="Y90" s="77">
        <v>-389.44299999999998</v>
      </c>
      <c r="Z90" s="3">
        <v>0</v>
      </c>
      <c r="AA90" s="77">
        <v>-192.57900000000001</v>
      </c>
      <c r="AB90" s="3">
        <v>0</v>
      </c>
      <c r="AC90" s="77">
        <v>-514.13300000000004</v>
      </c>
      <c r="AD90" s="3">
        <v>0</v>
      </c>
      <c r="AE90" s="77">
        <v>211.03399999999999</v>
      </c>
      <c r="AF90" s="3">
        <v>0</v>
      </c>
      <c r="AG90" s="77">
        <v>683.53099999999995</v>
      </c>
      <c r="AH90" s="3">
        <v>0</v>
      </c>
      <c r="AI90" s="77">
        <v>613.20100000000002</v>
      </c>
      <c r="AJ90" s="3">
        <v>0</v>
      </c>
      <c r="AK90" s="77">
        <v>541.22199999999998</v>
      </c>
      <c r="AM90" s="77">
        <v>-155</v>
      </c>
      <c r="AN90" s="77"/>
      <c r="AO90" s="77"/>
      <c r="AP90" s="77"/>
      <c r="AQ90" s="77"/>
      <c r="AR90" s="94"/>
      <c r="AS90" s="77"/>
    </row>
    <row r="91" spans="1:45" x14ac:dyDescent="0.25">
      <c r="A91" s="109"/>
      <c r="B91" s="117" t="s">
        <v>286</v>
      </c>
      <c r="C91" s="118"/>
      <c r="D91" s="119"/>
      <c r="E91" s="115">
        <v>0</v>
      </c>
      <c r="F91" s="115"/>
      <c r="G91" s="115">
        <v>0</v>
      </c>
      <c r="H91" s="115">
        <v>0</v>
      </c>
      <c r="I91" s="115">
        <v>0</v>
      </c>
      <c r="J91" s="115">
        <v>0</v>
      </c>
      <c r="K91" s="115">
        <v>0</v>
      </c>
      <c r="L91" s="115">
        <v>0</v>
      </c>
      <c r="M91" s="115">
        <v>0</v>
      </c>
      <c r="N91" s="120"/>
      <c r="O91" s="115">
        <v>0</v>
      </c>
      <c r="P91" s="3">
        <v>0</v>
      </c>
      <c r="Q91" s="115">
        <v>0</v>
      </c>
      <c r="R91" s="3">
        <v>0</v>
      </c>
      <c r="S91" s="115">
        <v>0</v>
      </c>
      <c r="T91" s="3">
        <v>0</v>
      </c>
      <c r="U91" s="115">
        <v>0</v>
      </c>
      <c r="V91" s="3">
        <v>0</v>
      </c>
      <c r="W91" s="115">
        <v>0</v>
      </c>
      <c r="X91" s="3">
        <v>0</v>
      </c>
      <c r="Y91" s="115">
        <v>0</v>
      </c>
      <c r="Z91" s="3">
        <v>0</v>
      </c>
      <c r="AA91" s="115">
        <v>0</v>
      </c>
      <c r="AB91" s="3">
        <v>0</v>
      </c>
      <c r="AC91" s="115">
        <v>0</v>
      </c>
      <c r="AD91" s="3">
        <v>0</v>
      </c>
      <c r="AE91" s="115">
        <v>0</v>
      </c>
      <c r="AF91" s="3">
        <v>0</v>
      </c>
      <c r="AG91" s="115">
        <v>0</v>
      </c>
      <c r="AH91" s="3">
        <v>0</v>
      </c>
      <c r="AI91" s="115">
        <v>-187.62100000000001</v>
      </c>
      <c r="AJ91" s="3">
        <v>0</v>
      </c>
      <c r="AK91" s="115">
        <v>300.43700000000001</v>
      </c>
      <c r="AM91" s="115">
        <v>79</v>
      </c>
      <c r="AN91" s="115"/>
      <c r="AO91" s="115"/>
      <c r="AP91" s="115"/>
      <c r="AQ91" s="115"/>
      <c r="AR91" s="120"/>
      <c r="AS91" s="115"/>
    </row>
    <row r="92" spans="1:45" x14ac:dyDescent="0.25">
      <c r="A92" s="109"/>
      <c r="B92" s="53" t="s">
        <v>105</v>
      </c>
      <c r="C92" s="75" t="s">
        <v>222</v>
      </c>
      <c r="D92" s="121"/>
      <c r="E92" s="76">
        <v>2292.9899999999998</v>
      </c>
      <c r="F92" s="77"/>
      <c r="G92" s="76">
        <v>3413.0259999999998</v>
      </c>
      <c r="H92" s="76">
        <v>0</v>
      </c>
      <c r="I92" s="76">
        <v>3413.0259999999998</v>
      </c>
      <c r="J92" s="76">
        <v>0</v>
      </c>
      <c r="K92" s="76">
        <v>3413.0259999999998</v>
      </c>
      <c r="L92" s="76">
        <v>0</v>
      </c>
      <c r="M92" s="76">
        <v>3413.0259999999998</v>
      </c>
      <c r="N92" s="94"/>
      <c r="O92" s="76">
        <v>4450.03</v>
      </c>
      <c r="P92" s="3">
        <v>0</v>
      </c>
      <c r="Q92" s="76">
        <v>4450.03</v>
      </c>
      <c r="R92" s="3">
        <v>0</v>
      </c>
      <c r="S92" s="76">
        <v>4450.03</v>
      </c>
      <c r="T92" s="3">
        <v>0</v>
      </c>
      <c r="U92" s="76">
        <v>4450.03</v>
      </c>
      <c r="V92" s="3">
        <v>0</v>
      </c>
      <c r="W92" s="76">
        <v>3943.5129999999999</v>
      </c>
      <c r="X92" s="3">
        <v>0</v>
      </c>
      <c r="Y92" s="76">
        <v>3943.5129999999999</v>
      </c>
      <c r="Z92" s="3">
        <v>0</v>
      </c>
      <c r="AA92" s="76">
        <v>3943.5129999999999</v>
      </c>
      <c r="AB92" s="3">
        <v>0</v>
      </c>
      <c r="AC92" s="76">
        <v>3943.5129999999999</v>
      </c>
      <c r="AD92" s="3">
        <v>0</v>
      </c>
      <c r="AE92" s="76">
        <v>4856.9560000000001</v>
      </c>
      <c r="AF92" s="3">
        <v>0</v>
      </c>
      <c r="AG92" s="76">
        <v>4856.9560000000001</v>
      </c>
      <c r="AH92" s="3">
        <v>0</v>
      </c>
      <c r="AI92" s="76">
        <v>4856.9560000000001</v>
      </c>
      <c r="AJ92" s="3">
        <v>0</v>
      </c>
      <c r="AK92" s="76">
        <f>(AC93-AK91)/1000</f>
        <v>4.5565190000000015</v>
      </c>
      <c r="AM92" s="76">
        <v>4371</v>
      </c>
      <c r="AN92" s="77"/>
      <c r="AO92" s="76"/>
      <c r="AP92" s="77"/>
      <c r="AQ92" s="76"/>
      <c r="AR92" s="94"/>
      <c r="AS92" s="76"/>
    </row>
    <row r="93" spans="1:45" ht="15.75" thickBot="1" x14ac:dyDescent="0.3">
      <c r="A93" s="109"/>
      <c r="B93" s="117" t="s">
        <v>106</v>
      </c>
      <c r="C93" s="118" t="s">
        <v>223</v>
      </c>
      <c r="D93" s="119"/>
      <c r="E93" s="123">
        <v>3413.0259999999998</v>
      </c>
      <c r="F93" s="115"/>
      <c r="G93" s="123">
        <v>3177.692</v>
      </c>
      <c r="H93" s="123">
        <v>0</v>
      </c>
      <c r="I93" s="123">
        <v>3190.9119999999998</v>
      </c>
      <c r="J93" s="123">
        <v>0</v>
      </c>
      <c r="K93" s="123">
        <f>(SUM(K87:K92))</f>
        <v>4932.1203242558258</v>
      </c>
      <c r="L93" s="123">
        <v>0</v>
      </c>
      <c r="M93" s="123">
        <f>(SUM(M87:M92))</f>
        <v>4450.0300000000007</v>
      </c>
      <c r="N93" s="120"/>
      <c r="O93" s="123">
        <v>2724.1390000000001</v>
      </c>
      <c r="P93" s="3">
        <v>0</v>
      </c>
      <c r="Q93" s="123">
        <v>3913.1860000000001</v>
      </c>
      <c r="R93" s="3">
        <v>0</v>
      </c>
      <c r="S93" s="123">
        <f>(SUM(S87:S92))</f>
        <v>4170.5209999999979</v>
      </c>
      <c r="T93" s="3">
        <v>0</v>
      </c>
      <c r="U93" s="123">
        <f>(SUM(U87:U92))</f>
        <v>3943.5129999999999</v>
      </c>
      <c r="V93" s="3">
        <v>0</v>
      </c>
      <c r="W93" s="123">
        <f>(SUM(W87:W92))</f>
        <v>2657.6469999999999</v>
      </c>
      <c r="X93" s="3">
        <v>0</v>
      </c>
      <c r="Y93" s="123">
        <f>(SUM(Y87:Y92))</f>
        <v>2460.3239999999996</v>
      </c>
      <c r="Z93" s="3">
        <v>0</v>
      </c>
      <c r="AA93" s="123">
        <f>(SUM(AA87:AA92))</f>
        <v>3875.6800000000007</v>
      </c>
      <c r="AB93" s="3">
        <v>0</v>
      </c>
      <c r="AC93" s="123">
        <f>(SUM(AC87:AC92))</f>
        <v>4856.956000000001</v>
      </c>
      <c r="AD93" s="3">
        <v>0</v>
      </c>
      <c r="AE93" s="123">
        <f>(SUM(AE87:AE92))</f>
        <v>3361.2720000000008</v>
      </c>
      <c r="AF93" s="3">
        <v>0</v>
      </c>
      <c r="AG93" s="123">
        <f>(SUM(AG87:AG92))</f>
        <v>4260.442</v>
      </c>
      <c r="AH93" s="3">
        <v>0</v>
      </c>
      <c r="AI93" s="123">
        <f>(SUM(AI87:AI92))</f>
        <v>3893.7529999999992</v>
      </c>
      <c r="AJ93" s="3">
        <v>0</v>
      </c>
      <c r="AK93" s="123">
        <f>(SUM(AK87:AK92))</f>
        <v>-180.54148100000006</v>
      </c>
      <c r="AL93" s="132"/>
      <c r="AM93" s="123">
        <f>SUM(AM92,AM87:AM90)</f>
        <v>3197</v>
      </c>
      <c r="AN93" s="115"/>
      <c r="AO93" s="123"/>
      <c r="AP93" s="115"/>
      <c r="AQ93" s="123">
        <f>SUM(AQ87:AQ92)</f>
        <v>0</v>
      </c>
      <c r="AR93" s="120"/>
      <c r="AS93" s="123">
        <f>SUM(AS87:AS92)</f>
        <v>0</v>
      </c>
    </row>
    <row r="94" spans="1:45" ht="15.75" thickTop="1" x14ac:dyDescent="0.25"/>
    <row r="95" spans="1:45" s="108" customFormat="1" x14ac:dyDescent="0.25">
      <c r="A95" s="99"/>
      <c r="B95" s="4"/>
      <c r="C95" s="4"/>
      <c r="D95" s="3"/>
      <c r="E95" s="3">
        <f t="shared" ref="E95:AE95" si="5">SUM(E90:E92)-E93+E87</f>
        <v>1.3642420526593924E-12</v>
      </c>
      <c r="F95" s="3">
        <f t="shared" si="5"/>
        <v>0</v>
      </c>
      <c r="G95" s="3">
        <f t="shared" si="5"/>
        <v>0</v>
      </c>
      <c r="H95" s="3">
        <f t="shared" si="5"/>
        <v>0</v>
      </c>
      <c r="I95" s="3">
        <f t="shared" si="5"/>
        <v>4.5474735088646412E-13</v>
      </c>
      <c r="J95" s="3">
        <f t="shared" si="5"/>
        <v>0</v>
      </c>
      <c r="K95" s="3">
        <f t="shared" si="5"/>
        <v>0</v>
      </c>
      <c r="L95" s="3">
        <f t="shared" si="5"/>
        <v>0</v>
      </c>
      <c r="M95" s="3">
        <f t="shared" si="5"/>
        <v>0</v>
      </c>
      <c r="N95" s="3">
        <f t="shared" si="5"/>
        <v>0</v>
      </c>
      <c r="O95" s="3">
        <f t="shared" si="5"/>
        <v>726.97241849257352</v>
      </c>
      <c r="P95" s="3">
        <f t="shared" si="5"/>
        <v>0</v>
      </c>
      <c r="Q95" s="3">
        <f t="shared" si="5"/>
        <v>1.9999999995548023E-3</v>
      </c>
      <c r="R95" s="3">
        <f t="shared" si="5"/>
        <v>0</v>
      </c>
      <c r="S95" s="3">
        <f t="shared" si="5"/>
        <v>-2.2737367544323206E-13</v>
      </c>
      <c r="T95" s="3">
        <f t="shared" si="5"/>
        <v>0</v>
      </c>
      <c r="U95" s="3">
        <f t="shared" si="5"/>
        <v>0</v>
      </c>
      <c r="V95" s="3">
        <f t="shared" si="5"/>
        <v>0</v>
      </c>
      <c r="W95" s="3">
        <f t="shared" si="5"/>
        <v>0</v>
      </c>
      <c r="X95" s="3">
        <f t="shared" si="5"/>
        <v>0</v>
      </c>
      <c r="Y95" s="3">
        <f t="shared" si="5"/>
        <v>0</v>
      </c>
      <c r="Z95" s="3">
        <f t="shared" si="5"/>
        <v>0</v>
      </c>
      <c r="AA95" s="3">
        <f t="shared" si="5"/>
        <v>-1.7053025658242404E-13</v>
      </c>
      <c r="AB95" s="3">
        <f t="shared" si="5"/>
        <v>0</v>
      </c>
      <c r="AC95" s="3">
        <f t="shared" si="5"/>
        <v>0</v>
      </c>
      <c r="AD95" s="3">
        <f t="shared" si="5"/>
        <v>0</v>
      </c>
      <c r="AE95" s="3">
        <f t="shared" si="5"/>
        <v>0</v>
      </c>
      <c r="AF95" s="3"/>
      <c r="AG95" s="3">
        <f t="shared" ref="AG95" si="6">SUM(AG90:AG92)-AG93+AG87</f>
        <v>0</v>
      </c>
      <c r="AH95" s="3"/>
      <c r="AI95" s="3"/>
      <c r="AJ95" s="99"/>
      <c r="AK95" s="3"/>
      <c r="AM95" s="3"/>
      <c r="AN95" s="3"/>
      <c r="AO95" s="3">
        <f t="shared" ref="AO95" si="7">SUM(AO90:AO92)-AO93+AO87</f>
        <v>0</v>
      </c>
      <c r="AP95" s="3"/>
      <c r="AQ95" s="3"/>
      <c r="AR95" s="99"/>
      <c r="AS95" s="3"/>
    </row>
  </sheetData>
  <mergeCells count="5">
    <mergeCell ref="G5:M5"/>
    <mergeCell ref="O5:U5"/>
    <mergeCell ref="W5:AC5"/>
    <mergeCell ref="AE5:AK5"/>
    <mergeCell ref="AM5:AS5"/>
  </mergeCells>
  <conditionalFormatting sqref="A75:O75">
    <cfRule type="expression" dxfId="331" priority="51">
      <formula>$A75="x"</formula>
    </cfRule>
  </conditionalFormatting>
  <conditionalFormatting sqref="B73">
    <cfRule type="expression" dxfId="330" priority="49">
      <formula>$A73="x"</formula>
    </cfRule>
  </conditionalFormatting>
  <conditionalFormatting sqref="B85">
    <cfRule type="expression" dxfId="329" priority="42">
      <formula>$A85="x"</formula>
    </cfRule>
  </conditionalFormatting>
  <conditionalFormatting sqref="AM93">
    <cfRule type="expression" dxfId="308" priority="38">
      <formula>$A93="Sim"</formula>
    </cfRule>
  </conditionalFormatting>
  <conditionalFormatting sqref="AM75:AS75">
    <cfRule type="expression" dxfId="307" priority="37">
      <formula>$A75="x"</formula>
    </cfRule>
  </conditionalFormatting>
  <conditionalFormatting sqref="AO92">
    <cfRule type="expression" dxfId="306" priority="36">
      <formula>$A92="x"</formula>
    </cfRule>
  </conditionalFormatting>
  <conditionalFormatting sqref="AO93">
    <cfRule type="expression" dxfId="305" priority="39">
      <formula>$A93="Sim"</formula>
    </cfRule>
  </conditionalFormatting>
  <conditionalFormatting sqref="AQ93">
    <cfRule type="expression" dxfId="304" priority="41">
      <formula>$A93="Sim"</formula>
    </cfRule>
  </conditionalFormatting>
  <conditionalFormatting sqref="AS93">
    <cfRule type="expression" dxfId="303" priority="40">
      <formula>$A93="Sim"</formula>
    </cfRule>
  </conditionalFormatting>
  <conditionalFormatting sqref="E93">
    <cfRule type="expression" dxfId="302" priority="35">
      <formula>$A93="Sim"</formula>
    </cfRule>
  </conditionalFormatting>
  <conditionalFormatting sqref="G93:M93">
    <cfRule type="expression" dxfId="301" priority="34">
      <formula>$A93="Sim"</formula>
    </cfRule>
  </conditionalFormatting>
  <conditionalFormatting sqref="O93">
    <cfRule type="expression" dxfId="300" priority="33">
      <formula>$A93="Sim"</formula>
    </cfRule>
  </conditionalFormatting>
  <conditionalFormatting sqref="Q75">
    <cfRule type="expression" dxfId="299" priority="32">
      <formula>$A75="x"</formula>
    </cfRule>
  </conditionalFormatting>
  <conditionalFormatting sqref="Q93">
    <cfRule type="expression" dxfId="298" priority="31">
      <formula>$A93="Sim"</formula>
    </cfRule>
  </conditionalFormatting>
  <conditionalFormatting sqref="S75">
    <cfRule type="expression" dxfId="297" priority="30">
      <formula>$A75="x"</formula>
    </cfRule>
  </conditionalFormatting>
  <conditionalFormatting sqref="U75">
    <cfRule type="expression" dxfId="295" priority="28">
      <formula>$A75="x"</formula>
    </cfRule>
  </conditionalFormatting>
  <conditionalFormatting sqref="W75">
    <cfRule type="expression" dxfId="293" priority="26">
      <formula>$A75="x"</formula>
    </cfRule>
  </conditionalFormatting>
  <conditionalFormatting sqref="Y75">
    <cfRule type="expression" dxfId="291" priority="24">
      <formula>$A75="x"</formula>
    </cfRule>
  </conditionalFormatting>
  <conditionalFormatting sqref="AA75">
    <cfRule type="expression" dxfId="289" priority="22">
      <formula>$A75="x"</formula>
    </cfRule>
  </conditionalFormatting>
  <conditionalFormatting sqref="AC75">
    <cfRule type="expression" dxfId="285" priority="20">
      <formula>$A75="x"</formula>
    </cfRule>
  </conditionalFormatting>
  <conditionalFormatting sqref="AE75">
    <cfRule type="expression" dxfId="283" priority="18">
      <formula>$A75="x"</formula>
    </cfRule>
  </conditionalFormatting>
  <conditionalFormatting sqref="AG75">
    <cfRule type="expression" dxfId="281" priority="16">
      <formula>$A75="x"</formula>
    </cfRule>
  </conditionalFormatting>
  <conditionalFormatting sqref="AI75">
    <cfRule type="expression" dxfId="279" priority="14">
      <formula>$A75="x"</formula>
    </cfRule>
  </conditionalFormatting>
  <conditionalFormatting sqref="AK75">
    <cfRule type="expression" dxfId="275" priority="12">
      <formula>$A75="x"</formula>
    </cfRule>
  </conditionalFormatting>
  <conditionalFormatting sqref="S93">
    <cfRule type="expression" dxfId="273" priority="10">
      <formula>$A93="Sim"</formula>
    </cfRule>
  </conditionalFormatting>
  <conditionalFormatting sqref="U93">
    <cfRule type="expression" dxfId="272" priority="9">
      <formula>$A93="Sim"</formula>
    </cfRule>
  </conditionalFormatting>
  <conditionalFormatting sqref="W93">
    <cfRule type="expression" dxfId="271" priority="8">
      <formula>$A93="Sim"</formula>
    </cfRule>
  </conditionalFormatting>
  <conditionalFormatting sqref="Y93">
    <cfRule type="expression" dxfId="270" priority="7">
      <formula>$A93="Sim"</formula>
    </cfRule>
  </conditionalFormatting>
  <conditionalFormatting sqref="AA93">
    <cfRule type="expression" dxfId="269" priority="6">
      <formula>$A93="Sim"</formula>
    </cfRule>
  </conditionalFormatting>
  <conditionalFormatting sqref="AC93">
    <cfRule type="expression" dxfId="268" priority="5">
      <formula>$A93="Sim"</formula>
    </cfRule>
  </conditionalFormatting>
  <conditionalFormatting sqref="AE93">
    <cfRule type="expression" dxfId="267" priority="4">
      <formula>$A93="Sim"</formula>
    </cfRule>
  </conditionalFormatting>
  <conditionalFormatting sqref="AG93">
    <cfRule type="expression" dxfId="266" priority="3">
      <formula>$A93="Sim"</formula>
    </cfRule>
  </conditionalFormatting>
  <conditionalFormatting sqref="AI93">
    <cfRule type="expression" dxfId="265" priority="2">
      <formula>$A93="Sim"</formula>
    </cfRule>
  </conditionalFormatting>
  <conditionalFormatting sqref="AK93">
    <cfRule type="expression" dxfId="264" priority="1">
      <formula>$A93="Sim"</formula>
    </cfRule>
  </conditionalFormatting>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90C5-0957-42A2-A70F-9EA1821B7FAA}">
  <dimension ref="A1:AS37"/>
  <sheetViews>
    <sheetView showGridLines="0" tabSelected="1" zoomScale="80" zoomScaleNormal="80" workbookViewId="0">
      <pane xSplit="3" ySplit="6" topLeftCell="N23" activePane="bottomRight" state="frozen"/>
      <selection pane="topRight" activeCell="D1" sqref="D1"/>
      <selection pane="bottomLeft" activeCell="A10" sqref="A10"/>
      <selection pane="bottomRight" activeCell="B34" sqref="B34:AL37"/>
    </sheetView>
  </sheetViews>
  <sheetFormatPr defaultColWidth="8.7109375" defaultRowHeight="15" outlineLevelCol="1" x14ac:dyDescent="0.25"/>
  <cols>
    <col min="1" max="1" width="3.7109375" customWidth="1"/>
    <col min="2" max="2" width="51.7109375" style="45" customWidth="1"/>
    <col min="3" max="3" width="67.28515625" style="45" hidden="1" customWidth="1"/>
    <col min="4" max="4" width="1.42578125" style="5" customWidth="1"/>
    <col min="5" max="5" width="11.7109375" style="3" customWidth="1"/>
    <col min="6" max="6" width="1.42578125" style="3" customWidth="1"/>
    <col min="7" max="7" width="11.7109375" style="3" customWidth="1" outlineLevel="1"/>
    <col min="8" max="8" width="1.42578125" style="3" customWidth="1" outlineLevel="1"/>
    <col min="9" max="9" width="12.7109375" style="3" customWidth="1" outlineLevel="1"/>
    <col min="10" max="10" width="1.42578125" style="3" customWidth="1" outlineLevel="1"/>
    <col min="11" max="11" width="12.7109375" style="3" customWidth="1" outlineLevel="1"/>
    <col min="12" max="12" width="1.42578125" customWidth="1" outlineLevel="1"/>
    <col min="13" max="13" width="11.7109375" style="3" customWidth="1"/>
    <col min="14" max="14" width="1.42578125" customWidth="1"/>
    <col min="15" max="15" width="12.7109375" style="3" customWidth="1" outlineLevel="1"/>
    <col min="16" max="16" width="1.42578125" style="3" customWidth="1" outlineLevel="1"/>
    <col min="17" max="17" width="13" style="3" customWidth="1" outlineLevel="1"/>
    <col min="18" max="18" width="1.42578125" style="3" customWidth="1" outlineLevel="1"/>
    <col min="19" max="19" width="13" style="3" customWidth="1" outlineLevel="1"/>
    <col min="20" max="20" width="1.42578125" customWidth="1" outlineLevel="1"/>
    <col min="21" max="21" width="11.7109375" style="3" customWidth="1"/>
    <col min="22" max="22" width="1.42578125" customWidth="1"/>
    <col min="23" max="23" width="13.28515625" style="3" customWidth="1" outlineLevel="1"/>
    <col min="24" max="24" width="1.42578125" style="3" customWidth="1" outlineLevel="1"/>
    <col min="25" max="25" width="13.42578125" style="3" customWidth="1" outlineLevel="1"/>
    <col min="26" max="26" width="1.42578125" style="3" customWidth="1" outlineLevel="1"/>
    <col min="27" max="27" width="13" style="3" customWidth="1" outlineLevel="1"/>
    <col min="28" max="28" width="1.42578125" customWidth="1" outlineLevel="1"/>
    <col min="29" max="29" width="17.42578125" style="3" bestFit="1" customWidth="1"/>
    <col min="30" max="30" width="2.5703125" customWidth="1"/>
    <col min="31" max="31" width="13.28515625" style="3" customWidth="1" outlineLevel="1"/>
    <col min="32" max="32" width="1.42578125" style="3" customWidth="1" outlineLevel="1"/>
    <col min="33" max="33" width="13.42578125" style="3" customWidth="1" outlineLevel="1"/>
    <col min="34" max="34" width="1.42578125" style="3" customWidth="1" outlineLevel="1"/>
    <col min="35" max="35" width="13" style="3" customWidth="1" outlineLevel="1"/>
    <col min="36" max="36" width="1.42578125" customWidth="1" outlineLevel="1"/>
    <col min="37" max="37" width="11.7109375" style="3" customWidth="1"/>
    <col min="38" max="38" width="2.5703125" customWidth="1"/>
    <col min="39" max="39" width="13.28515625" style="3" customWidth="1" outlineLevel="1"/>
    <col min="40" max="40" width="1.42578125" style="3" customWidth="1" outlineLevel="1"/>
    <col min="41" max="41" width="13.42578125" style="3" customWidth="1" outlineLevel="1"/>
    <col min="42" max="42" width="1.42578125" style="3" customWidth="1" outlineLevel="1"/>
    <col min="43" max="43" width="13" style="3" customWidth="1" outlineLevel="1"/>
    <col min="44" max="44" width="1.42578125" customWidth="1" outlineLevel="1"/>
    <col min="45" max="45" width="11.7109375" style="3" customWidth="1"/>
  </cols>
  <sheetData>
    <row r="1" spans="2:45" x14ac:dyDescent="0.25">
      <c r="B1" s="46"/>
      <c r="C1" s="46"/>
      <c r="E1" s="102"/>
      <c r="F1" s="102" t="s">
        <v>283</v>
      </c>
      <c r="G1" s="102"/>
      <c r="H1" s="102"/>
      <c r="I1" s="102"/>
      <c r="J1" s="102"/>
      <c r="K1" s="102"/>
      <c r="L1" s="100"/>
      <c r="M1" s="100"/>
      <c r="U1"/>
      <c r="AC1"/>
      <c r="AK1"/>
      <c r="AS1"/>
    </row>
    <row r="2" spans="2:45" ht="15" customHeight="1" x14ac:dyDescent="0.25">
      <c r="B2" s="47" t="s">
        <v>58</v>
      </c>
      <c r="C2" s="47" t="s">
        <v>237</v>
      </c>
      <c r="E2" s="102"/>
      <c r="F2" s="102"/>
      <c r="G2" s="102"/>
      <c r="H2" s="102"/>
      <c r="I2" s="102"/>
      <c r="J2" s="102"/>
      <c r="K2" s="102"/>
      <c r="L2" s="100"/>
      <c r="M2" s="100"/>
      <c r="U2"/>
      <c r="AC2"/>
      <c r="AK2"/>
      <c r="AS2"/>
    </row>
    <row r="3" spans="2:45" ht="15" customHeight="1" x14ac:dyDescent="0.25">
      <c r="B3" s="47" t="s">
        <v>238</v>
      </c>
      <c r="C3" s="47" t="s">
        <v>239</v>
      </c>
      <c r="E3" s="101"/>
      <c r="F3" s="100"/>
      <c r="G3" s="100"/>
      <c r="H3" s="100"/>
      <c r="I3" s="100"/>
      <c r="J3" s="100"/>
      <c r="K3" s="100"/>
      <c r="L3" s="100"/>
      <c r="M3" s="100"/>
      <c r="O3"/>
      <c r="P3"/>
      <c r="Q3"/>
      <c r="R3"/>
      <c r="S3"/>
      <c r="U3"/>
      <c r="W3"/>
      <c r="X3"/>
      <c r="Y3"/>
      <c r="Z3"/>
      <c r="AA3"/>
      <c r="AC3"/>
      <c r="AE3"/>
      <c r="AF3"/>
      <c r="AG3"/>
      <c r="AH3"/>
      <c r="AI3"/>
      <c r="AK3"/>
      <c r="AM3"/>
      <c r="AN3"/>
      <c r="AO3"/>
      <c r="AP3"/>
      <c r="AQ3"/>
      <c r="AS3"/>
    </row>
    <row r="4" spans="2:45" ht="15" customHeight="1" x14ac:dyDescent="0.25">
      <c r="B4" s="45" t="s">
        <v>59</v>
      </c>
      <c r="C4" s="45" t="s">
        <v>240</v>
      </c>
      <c r="E4" s="101"/>
      <c r="F4" s="100"/>
      <c r="G4" s="100"/>
      <c r="H4" s="100"/>
      <c r="I4" s="100"/>
      <c r="J4" s="100"/>
      <c r="K4" s="100"/>
      <c r="L4" s="100"/>
      <c r="M4" s="100"/>
      <c r="O4"/>
      <c r="P4"/>
      <c r="Q4"/>
      <c r="R4"/>
      <c r="S4"/>
      <c r="U4"/>
      <c r="W4"/>
      <c r="X4"/>
      <c r="Y4"/>
      <c r="Z4"/>
      <c r="AA4"/>
      <c r="AC4"/>
      <c r="AE4"/>
      <c r="AF4"/>
      <c r="AG4"/>
      <c r="AH4"/>
      <c r="AI4"/>
      <c r="AK4"/>
      <c r="AM4"/>
      <c r="AN4"/>
      <c r="AO4"/>
      <c r="AP4"/>
      <c r="AQ4"/>
      <c r="AS4"/>
    </row>
    <row r="5" spans="2:45" ht="15" customHeight="1" thickBot="1" x14ac:dyDescent="0.3">
      <c r="B5" s="48"/>
      <c r="C5" s="48"/>
      <c r="E5" s="69">
        <v>2020</v>
      </c>
      <c r="F5" s="70"/>
      <c r="G5" s="137">
        <v>2021</v>
      </c>
      <c r="H5" s="137"/>
      <c r="I5" s="137"/>
      <c r="J5" s="137"/>
      <c r="K5" s="137"/>
      <c r="L5" s="137"/>
      <c r="M5" s="137"/>
      <c r="N5" s="70"/>
      <c r="O5" s="137">
        <v>2022</v>
      </c>
      <c r="P5" s="137"/>
      <c r="Q5" s="137"/>
      <c r="R5" s="137"/>
      <c r="S5" s="137"/>
      <c r="T5" s="137"/>
      <c r="U5" s="137"/>
      <c r="W5" s="137">
        <v>2023</v>
      </c>
      <c r="X5" s="137"/>
      <c r="Y5" s="137"/>
      <c r="Z5" s="137"/>
      <c r="AA5" s="137"/>
      <c r="AB5" s="137"/>
      <c r="AC5" s="137"/>
      <c r="AE5" s="137">
        <v>2024</v>
      </c>
      <c r="AF5" s="137"/>
      <c r="AG5" s="137"/>
      <c r="AH5" s="137"/>
      <c r="AI5" s="137"/>
      <c r="AJ5" s="137"/>
      <c r="AK5" s="137"/>
      <c r="AM5" s="137">
        <v>2025</v>
      </c>
      <c r="AN5" s="137"/>
      <c r="AO5" s="137"/>
      <c r="AP5" s="137"/>
      <c r="AQ5" s="137"/>
      <c r="AR5" s="137"/>
      <c r="AS5" s="137"/>
    </row>
    <row r="6" spans="2:45" ht="15" customHeight="1" thickBot="1" x14ac:dyDescent="0.3">
      <c r="B6" s="50"/>
      <c r="C6" s="50"/>
      <c r="D6" s="91"/>
      <c r="E6" s="64">
        <v>44196</v>
      </c>
      <c r="F6" s="70"/>
      <c r="G6" s="64">
        <v>44286</v>
      </c>
      <c r="H6" s="70"/>
      <c r="I6" s="64">
        <v>44377</v>
      </c>
      <c r="J6" s="70"/>
      <c r="K6" s="97" t="s">
        <v>324</v>
      </c>
      <c r="L6" s="70"/>
      <c r="M6" s="64">
        <v>44561</v>
      </c>
      <c r="N6" s="70"/>
      <c r="O6" s="64">
        <v>44651</v>
      </c>
      <c r="P6" s="70"/>
      <c r="Q6" s="64">
        <v>44742</v>
      </c>
      <c r="R6" s="70"/>
      <c r="S6" s="97" t="s">
        <v>325</v>
      </c>
      <c r="T6" s="70"/>
      <c r="U6" s="64">
        <v>44926</v>
      </c>
      <c r="W6" s="64">
        <v>45016</v>
      </c>
      <c r="X6" s="70"/>
      <c r="Y6" s="64">
        <v>45107</v>
      </c>
      <c r="Z6" s="70"/>
      <c r="AA6" s="97" t="s">
        <v>323</v>
      </c>
      <c r="AB6" s="70"/>
      <c r="AC6" s="64">
        <v>45291</v>
      </c>
      <c r="AD6" s="64"/>
      <c r="AE6" s="64">
        <v>45382</v>
      </c>
      <c r="AF6" s="70"/>
      <c r="AG6" s="64">
        <v>45473</v>
      </c>
      <c r="AH6" s="70"/>
      <c r="AI6" s="97" t="s">
        <v>326</v>
      </c>
      <c r="AJ6" s="70"/>
      <c r="AK6" s="64">
        <v>45657</v>
      </c>
      <c r="AM6" s="97">
        <v>45747</v>
      </c>
      <c r="AN6" s="70"/>
      <c r="AO6" s="97" t="s">
        <v>320</v>
      </c>
      <c r="AP6" s="70"/>
      <c r="AQ6" s="97" t="s">
        <v>321</v>
      </c>
      <c r="AR6" s="70"/>
      <c r="AS6" s="97" t="s">
        <v>322</v>
      </c>
    </row>
    <row r="7" spans="2:45" ht="15" customHeight="1" x14ac:dyDescent="0.25">
      <c r="B7" s="51"/>
      <c r="C7" s="51"/>
      <c r="D7" s="62"/>
      <c r="E7" s="71"/>
      <c r="F7" s="90"/>
      <c r="G7" s="71"/>
      <c r="H7" s="63"/>
      <c r="I7" s="71"/>
      <c r="J7" s="71"/>
      <c r="K7" s="71"/>
      <c r="L7" s="71"/>
      <c r="M7" s="71"/>
      <c r="N7" s="90"/>
      <c r="O7" s="71"/>
      <c r="P7" s="63"/>
      <c r="Q7" s="71"/>
      <c r="R7" s="71"/>
      <c r="S7" s="71"/>
      <c r="T7" s="71"/>
      <c r="U7" s="71"/>
      <c r="W7" s="71"/>
      <c r="X7" s="63"/>
      <c r="Y7" s="71"/>
      <c r="Z7" s="71"/>
      <c r="AA7" s="71"/>
      <c r="AB7" s="71"/>
      <c r="AC7" s="71" t="s">
        <v>294</v>
      </c>
      <c r="AE7" s="71"/>
      <c r="AF7" s="63"/>
      <c r="AG7" s="71"/>
      <c r="AH7" s="71"/>
      <c r="AI7" s="71"/>
      <c r="AJ7" s="71"/>
      <c r="AK7" s="71"/>
      <c r="AM7" s="71"/>
      <c r="AN7" s="63"/>
      <c r="AO7" s="71"/>
      <c r="AP7" s="71"/>
      <c r="AQ7" s="71"/>
      <c r="AR7" s="71"/>
      <c r="AS7" s="71"/>
    </row>
    <row r="8" spans="2:45" ht="15" customHeight="1" x14ac:dyDescent="0.25">
      <c r="B8" s="47"/>
      <c r="C8" s="47"/>
      <c r="D8" s="62"/>
      <c r="E8" s="10"/>
      <c r="F8" s="10"/>
      <c r="G8" s="10"/>
      <c r="H8" s="10"/>
      <c r="I8" s="10"/>
      <c r="J8" s="10"/>
      <c r="K8" s="10"/>
      <c r="L8" s="10"/>
      <c r="M8" s="10"/>
      <c r="N8" s="10"/>
      <c r="O8" s="10"/>
      <c r="P8" s="10"/>
      <c r="Q8" s="10"/>
      <c r="R8" s="10"/>
      <c r="S8" s="10"/>
      <c r="T8" s="10"/>
      <c r="U8" s="10"/>
      <c r="W8" s="10"/>
      <c r="X8" s="10"/>
      <c r="Y8" s="10"/>
      <c r="Z8" s="10"/>
      <c r="AA8" s="10"/>
      <c r="AB8" s="10"/>
      <c r="AC8" s="10"/>
      <c r="AE8" s="10"/>
      <c r="AF8" s="10"/>
      <c r="AG8" s="10"/>
      <c r="AH8" s="10"/>
      <c r="AI8" s="10"/>
      <c r="AJ8" s="10"/>
      <c r="AK8" s="10"/>
      <c r="AM8" s="10"/>
      <c r="AN8" s="10"/>
      <c r="AO8" s="10"/>
      <c r="AP8" s="10"/>
      <c r="AQ8" s="10"/>
      <c r="AR8" s="10"/>
      <c r="AS8" s="10"/>
    </row>
    <row r="9" spans="2:45" ht="15" customHeight="1" x14ac:dyDescent="0.25">
      <c r="B9" s="53" t="s">
        <v>68</v>
      </c>
      <c r="C9" s="53" t="s">
        <v>168</v>
      </c>
      <c r="D9" s="61"/>
      <c r="E9" s="60">
        <v>16739.834999999999</v>
      </c>
      <c r="F9"/>
      <c r="G9" s="60">
        <v>49.491999999999997</v>
      </c>
      <c r="H9"/>
      <c r="I9" s="60">
        <v>9818.8549999999996</v>
      </c>
      <c r="J9"/>
      <c r="K9" s="60">
        <v>16245.99</v>
      </c>
      <c r="M9" s="60">
        <v>22295.681</v>
      </c>
      <c r="O9" s="60">
        <v>4899.8159999999998</v>
      </c>
      <c r="P9"/>
      <c r="Q9" s="60">
        <v>11599.960999999999</v>
      </c>
      <c r="R9"/>
      <c r="S9" s="60">
        <v>19242.990000000002</v>
      </c>
      <c r="U9" s="60">
        <v>25797.366000000002</v>
      </c>
      <c r="W9" s="60">
        <v>5795.5540000000001</v>
      </c>
      <c r="X9"/>
      <c r="Y9" s="60">
        <v>12696.75</v>
      </c>
      <c r="Z9"/>
      <c r="AA9" s="60">
        <v>291.47000000000003</v>
      </c>
      <c r="AC9" s="60">
        <v>25677.712</v>
      </c>
      <c r="AE9" s="60">
        <v>545.98800000000006</v>
      </c>
      <c r="AF9"/>
      <c r="AG9" s="60">
        <v>12461.351000000001</v>
      </c>
      <c r="AH9"/>
      <c r="AI9" s="60">
        <v>19523.816999999999</v>
      </c>
      <c r="AK9" s="60">
        <v>26564.574000000001</v>
      </c>
      <c r="AM9" s="60">
        <v>562</v>
      </c>
      <c r="AN9" s="60"/>
      <c r="AO9" s="60"/>
      <c r="AP9" s="60"/>
      <c r="AQ9" s="60"/>
      <c r="AR9" s="60"/>
      <c r="AS9" s="60"/>
    </row>
    <row r="10" spans="2:45" ht="15" customHeight="1" x14ac:dyDescent="0.25">
      <c r="B10" s="45" t="s">
        <v>47</v>
      </c>
      <c r="C10" s="45" t="s">
        <v>47</v>
      </c>
      <c r="D10" s="1"/>
      <c r="E10" s="1"/>
      <c r="F10"/>
      <c r="G10" s="1"/>
      <c r="H10"/>
      <c r="I10" s="1"/>
      <c r="J10"/>
      <c r="K10" s="1"/>
      <c r="M10" s="1"/>
      <c r="O10" s="1"/>
      <c r="P10"/>
      <c r="Q10" s="1"/>
      <c r="R10"/>
      <c r="S10" s="1"/>
      <c r="U10" s="1"/>
      <c r="W10" s="1"/>
      <c r="X10"/>
      <c r="Y10" s="1"/>
      <c r="Z10"/>
      <c r="AA10" s="1"/>
      <c r="AC10" s="1"/>
      <c r="AE10" s="1"/>
      <c r="AF10"/>
      <c r="AG10" s="1"/>
      <c r="AH10"/>
      <c r="AI10" s="1"/>
      <c r="AK10" s="1"/>
      <c r="AM10" s="1"/>
      <c r="AN10" s="1"/>
      <c r="AO10" s="1"/>
      <c r="AP10" s="1"/>
      <c r="AQ10" s="1"/>
      <c r="AR10" s="1"/>
      <c r="AS10" s="1"/>
    </row>
    <row r="11" spans="2:45" ht="15" customHeight="1" x14ac:dyDescent="0.25">
      <c r="B11" s="53" t="s">
        <v>108</v>
      </c>
      <c r="C11" s="53" t="s">
        <v>230</v>
      </c>
      <c r="D11" s="41"/>
      <c r="E11" s="22">
        <v>437.464</v>
      </c>
      <c r="F11"/>
      <c r="G11" s="22">
        <v>226.76599999999999</v>
      </c>
      <c r="H11"/>
      <c r="I11" s="22">
        <v>918.36599999999999</v>
      </c>
      <c r="J11"/>
      <c r="K11" s="22">
        <v>2.2330000000000001</v>
      </c>
      <c r="M11" s="22">
        <v>1626.712</v>
      </c>
      <c r="O11" s="22">
        <v>-316.529</v>
      </c>
      <c r="P11"/>
      <c r="Q11" s="22">
        <v>49.628999999999998</v>
      </c>
      <c r="R11"/>
      <c r="S11" s="22">
        <v>653.66700000000003</v>
      </c>
      <c r="U11" s="22">
        <v>1145.454</v>
      </c>
      <c r="W11" s="22">
        <v>78.257000000000005</v>
      </c>
      <c r="X11"/>
      <c r="Y11" s="22">
        <v>548.29999999999995</v>
      </c>
      <c r="Z11"/>
      <c r="AA11" s="22">
        <v>1371.9</v>
      </c>
      <c r="AC11" s="22">
        <v>2429.7620000000002</v>
      </c>
      <c r="AE11" s="22">
        <v>17.488</v>
      </c>
      <c r="AF11"/>
      <c r="AG11" s="22">
        <v>532.42200000000003</v>
      </c>
      <c r="AH11"/>
      <c r="AI11" s="22">
        <v>1363.78</v>
      </c>
      <c r="AK11" s="22">
        <v>855.21699999999998</v>
      </c>
      <c r="AM11" s="22">
        <v>-321</v>
      </c>
      <c r="AN11" s="22"/>
      <c r="AO11" s="22"/>
      <c r="AP11" s="22"/>
      <c r="AQ11" s="22"/>
      <c r="AR11" s="22"/>
      <c r="AS11" s="22"/>
    </row>
    <row r="12" spans="2:45" ht="15" customHeight="1" x14ac:dyDescent="0.25">
      <c r="B12" s="47"/>
      <c r="C12" s="47"/>
      <c r="D12" s="41"/>
      <c r="E12" s="41"/>
      <c r="F12"/>
      <c r="G12" s="41"/>
      <c r="H12"/>
      <c r="I12" s="41"/>
      <c r="J12"/>
      <c r="K12" s="41"/>
      <c r="M12" s="41"/>
      <c r="O12" s="41"/>
      <c r="P12"/>
      <c r="Q12" s="41"/>
      <c r="R12"/>
      <c r="S12" s="41"/>
      <c r="U12" s="41"/>
      <c r="W12" s="41"/>
      <c r="X12"/>
      <c r="Y12" s="41"/>
      <c r="Z12"/>
      <c r="AA12" s="41"/>
      <c r="AC12" s="41"/>
      <c r="AE12" s="41"/>
      <c r="AF12"/>
      <c r="AG12" s="41"/>
      <c r="AH12"/>
      <c r="AI12" s="41"/>
      <c r="AK12" s="41"/>
      <c r="AM12" s="41"/>
      <c r="AN12" s="41"/>
      <c r="AO12" s="41"/>
      <c r="AP12" s="41"/>
      <c r="AQ12" s="41"/>
      <c r="AR12" s="41"/>
      <c r="AS12" s="41"/>
    </row>
    <row r="13" spans="2:45" ht="15" customHeight="1" x14ac:dyDescent="0.25">
      <c r="B13" s="53" t="s">
        <v>114</v>
      </c>
      <c r="C13" s="53" t="s">
        <v>231</v>
      </c>
      <c r="D13" s="41"/>
      <c r="E13" s="22">
        <v>126.794</v>
      </c>
      <c r="F13"/>
      <c r="G13" s="22">
        <v>286.43299999999999</v>
      </c>
      <c r="H13"/>
      <c r="I13" s="22">
        <v>1221.2470000000001</v>
      </c>
      <c r="J13"/>
      <c r="K13" s="22">
        <v>2268.846</v>
      </c>
      <c r="M13" s="22">
        <v>22.111000000000001</v>
      </c>
      <c r="O13" s="22">
        <v>-319.375</v>
      </c>
      <c r="P13"/>
      <c r="Q13" s="22">
        <v>15.239000000000001</v>
      </c>
      <c r="R13"/>
      <c r="S13" s="22">
        <v>18.239999999999998</v>
      </c>
      <c r="U13" s="22">
        <v>1679.4359999999999</v>
      </c>
      <c r="W13" s="22">
        <v>14.54</v>
      </c>
      <c r="X13"/>
      <c r="Y13" s="22">
        <v>936.17100000000005</v>
      </c>
      <c r="Z13"/>
      <c r="AA13" s="22">
        <v>257.26600000000002</v>
      </c>
      <c r="AC13" s="22">
        <v>273.81</v>
      </c>
      <c r="AE13" s="22">
        <v>-59.286000000000001</v>
      </c>
      <c r="AF13"/>
      <c r="AG13" s="22">
        <v>625.89</v>
      </c>
      <c r="AH13"/>
      <c r="AI13" s="22">
        <v>1762.914</v>
      </c>
      <c r="AK13" s="22">
        <v>14.298</v>
      </c>
      <c r="AM13" s="22">
        <v>-43</v>
      </c>
      <c r="AN13" s="22"/>
      <c r="AO13" s="22"/>
      <c r="AP13" s="22"/>
      <c r="AQ13" s="22"/>
      <c r="AR13" s="22"/>
      <c r="AS13" s="22"/>
    </row>
    <row r="14" spans="2:45" ht="15" customHeight="1" x14ac:dyDescent="0.25">
      <c r="B14" s="58"/>
      <c r="C14" s="58"/>
      <c r="D14" s="41"/>
      <c r="E14" s="41"/>
      <c r="F14"/>
      <c r="G14" s="41"/>
      <c r="H14"/>
      <c r="I14" s="41"/>
      <c r="J14"/>
      <c r="K14" s="41"/>
      <c r="M14" s="41"/>
      <c r="O14" s="41"/>
      <c r="P14"/>
      <c r="Q14" s="41"/>
      <c r="R14"/>
      <c r="S14" s="41"/>
      <c r="U14" s="41"/>
      <c r="W14" s="41"/>
      <c r="X14"/>
      <c r="Y14" s="41"/>
      <c r="Z14"/>
      <c r="AA14" s="41"/>
      <c r="AC14" s="41"/>
      <c r="AE14" s="41"/>
      <c r="AF14"/>
      <c r="AG14" s="41"/>
      <c r="AH14"/>
      <c r="AI14" s="41"/>
      <c r="AK14" s="41"/>
      <c r="AM14" s="41"/>
      <c r="AN14" s="41"/>
      <c r="AO14" s="41"/>
      <c r="AP14" s="41"/>
      <c r="AQ14" s="41"/>
      <c r="AR14" s="41"/>
      <c r="AS14" s="41"/>
    </row>
    <row r="15" spans="2:45" ht="15" customHeight="1" x14ac:dyDescent="0.25">
      <c r="B15" s="48" t="s">
        <v>76</v>
      </c>
      <c r="C15" s="48" t="s">
        <v>189</v>
      </c>
      <c r="D15" s="41"/>
      <c r="E15" s="22">
        <v>1419.85</v>
      </c>
      <c r="F15"/>
      <c r="G15" s="22">
        <v>37.56</v>
      </c>
      <c r="H15"/>
      <c r="I15" s="22">
        <v>78.978999999999999</v>
      </c>
      <c r="J15"/>
      <c r="K15" s="22">
        <v>1186.3399999999999</v>
      </c>
      <c r="M15" s="22">
        <v>1666.3150000000001</v>
      </c>
      <c r="O15" s="22">
        <v>461.16199999999998</v>
      </c>
      <c r="P15"/>
      <c r="Q15" s="22">
        <v>887.39599999999996</v>
      </c>
      <c r="R15"/>
      <c r="S15" s="22">
        <v>1347.585</v>
      </c>
      <c r="U15" s="22">
        <v>1846.855</v>
      </c>
      <c r="W15" s="22">
        <v>468.52</v>
      </c>
      <c r="X15"/>
      <c r="Y15" s="22">
        <v>932.77</v>
      </c>
      <c r="Z15"/>
      <c r="AA15" s="22">
        <v>1385.114</v>
      </c>
      <c r="AC15" s="22">
        <v>1776.58</v>
      </c>
      <c r="AE15" s="22">
        <v>468.45800000000003</v>
      </c>
      <c r="AF15"/>
      <c r="AG15" s="22">
        <v>147.97399999999999</v>
      </c>
      <c r="AH15"/>
      <c r="AI15" s="22">
        <v>1595.5419999999999</v>
      </c>
      <c r="AK15" s="22">
        <v>2362.4169999999999</v>
      </c>
      <c r="AM15" s="22">
        <v>742</v>
      </c>
      <c r="AN15" s="22"/>
      <c r="AO15" s="22"/>
      <c r="AP15" s="22"/>
      <c r="AQ15" s="22"/>
      <c r="AR15" s="22"/>
      <c r="AS15" s="22"/>
    </row>
    <row r="16" spans="2:45" ht="15" customHeight="1" x14ac:dyDescent="0.25">
      <c r="B16" s="45" t="s">
        <v>70</v>
      </c>
      <c r="C16" s="45" t="s">
        <v>179</v>
      </c>
      <c r="D16" s="1"/>
      <c r="E16" s="41">
        <v>165.19499999999999</v>
      </c>
      <c r="F16"/>
      <c r="G16" s="41">
        <v>291.91800000000001</v>
      </c>
      <c r="H16"/>
      <c r="I16" s="41">
        <v>63.77</v>
      </c>
      <c r="J16"/>
      <c r="K16" s="41">
        <v>928.51400000000001</v>
      </c>
      <c r="M16" s="41">
        <v>1495.711</v>
      </c>
      <c r="O16" s="41">
        <v>29.988</v>
      </c>
      <c r="P16"/>
      <c r="Q16" s="41">
        <v>728.14</v>
      </c>
      <c r="R16"/>
      <c r="S16" s="41">
        <v>1129.578</v>
      </c>
      <c r="U16" s="41">
        <v>1295.425</v>
      </c>
      <c r="W16" s="41">
        <v>181.62</v>
      </c>
      <c r="X16"/>
      <c r="Y16" s="41">
        <v>499.26100000000002</v>
      </c>
      <c r="Z16"/>
      <c r="AA16" s="41">
        <v>858.48</v>
      </c>
      <c r="AC16" s="41">
        <v>999.58900000000006</v>
      </c>
      <c r="AE16" s="41">
        <v>349.75200000000001</v>
      </c>
      <c r="AF16"/>
      <c r="AG16" s="41">
        <v>71.766999999999996</v>
      </c>
      <c r="AH16"/>
      <c r="AI16" s="41">
        <v>158.73599999999999</v>
      </c>
      <c r="AK16" s="41">
        <v>1426.789</v>
      </c>
      <c r="AM16" s="41">
        <v>28</v>
      </c>
      <c r="AN16" s="41"/>
      <c r="AO16" s="41"/>
      <c r="AP16" s="41"/>
      <c r="AQ16" s="41"/>
      <c r="AR16" s="41"/>
      <c r="AS16" s="41"/>
    </row>
    <row r="17" spans="2:45" ht="15" customHeight="1" x14ac:dyDescent="0.25">
      <c r="B17" s="48" t="s">
        <v>47</v>
      </c>
      <c r="C17" s="48" t="s">
        <v>47</v>
      </c>
      <c r="D17" s="1"/>
      <c r="E17" s="13"/>
      <c r="F17"/>
      <c r="G17" s="13"/>
      <c r="H17"/>
      <c r="I17" s="13"/>
      <c r="J17"/>
      <c r="K17" s="13"/>
      <c r="M17" s="13"/>
      <c r="O17" s="13"/>
      <c r="P17"/>
      <c r="Q17" s="13"/>
      <c r="R17"/>
      <c r="S17" s="13"/>
      <c r="U17" s="13"/>
      <c r="W17" s="13"/>
      <c r="X17"/>
      <c r="Y17" s="13"/>
      <c r="Z17"/>
      <c r="AA17" s="13"/>
      <c r="AC17" s="13"/>
      <c r="AE17" s="13"/>
      <c r="AF17"/>
      <c r="AG17" s="13"/>
      <c r="AH17"/>
      <c r="AI17" s="13"/>
      <c r="AK17" s="13"/>
      <c r="AM17" s="13"/>
      <c r="AN17" s="13"/>
      <c r="AO17" s="13"/>
      <c r="AP17" s="13"/>
      <c r="AQ17" s="13"/>
      <c r="AR17" s="13"/>
      <c r="AS17" s="13"/>
    </row>
    <row r="18" spans="2:45" ht="15" customHeight="1" x14ac:dyDescent="0.25">
      <c r="B18" s="52" t="s">
        <v>35</v>
      </c>
      <c r="C18" s="52" t="s">
        <v>232</v>
      </c>
      <c r="D18" s="41"/>
      <c r="E18" s="41">
        <v>-51.89</v>
      </c>
      <c r="F18"/>
      <c r="G18" s="41">
        <v>-36.479999999999997</v>
      </c>
      <c r="H18"/>
      <c r="I18" s="41">
        <v>-21.757999999999999</v>
      </c>
      <c r="J18"/>
      <c r="K18" s="41">
        <v>-55.47</v>
      </c>
      <c r="M18" s="41">
        <v>-62.664999999999999</v>
      </c>
      <c r="O18" s="41">
        <v>-29.236999999999998</v>
      </c>
      <c r="P18"/>
      <c r="Q18" s="41">
        <v>-37.911000000000001</v>
      </c>
      <c r="R18"/>
      <c r="S18" s="41">
        <v>-81.424999999999997</v>
      </c>
      <c r="U18" s="41">
        <v>-52.1</v>
      </c>
      <c r="W18" s="41">
        <v>-28.651</v>
      </c>
      <c r="X18"/>
      <c r="Y18" s="41">
        <v>-24.754000000000001</v>
      </c>
      <c r="Z18"/>
      <c r="AA18" s="41">
        <v>-62.868000000000002</v>
      </c>
      <c r="AC18" s="41">
        <v>-55.387</v>
      </c>
      <c r="AE18" s="41">
        <v>-26.321999999999999</v>
      </c>
      <c r="AF18"/>
      <c r="AG18" s="41">
        <v>-68.8</v>
      </c>
      <c r="AH18"/>
      <c r="AI18" s="41">
        <v>-16.858000000000001</v>
      </c>
      <c r="AK18" s="41">
        <v>-157.279</v>
      </c>
      <c r="AM18" s="41">
        <v>-27</v>
      </c>
      <c r="AN18" s="41"/>
      <c r="AO18" s="41"/>
      <c r="AP18" s="41"/>
      <c r="AQ18" s="41"/>
      <c r="AR18" s="41"/>
      <c r="AS18" s="41"/>
    </row>
    <row r="19" spans="2:45" ht="15" customHeight="1" x14ac:dyDescent="0.25">
      <c r="B19" s="53" t="s">
        <v>36</v>
      </c>
      <c r="C19" s="53" t="s">
        <v>208</v>
      </c>
      <c r="D19" s="1"/>
      <c r="E19" s="13">
        <v>129.553</v>
      </c>
      <c r="F19"/>
      <c r="G19" s="13">
        <v>56.62</v>
      </c>
      <c r="H19"/>
      <c r="I19" s="13">
        <v>91.332999999999998</v>
      </c>
      <c r="J19"/>
      <c r="K19" s="13">
        <v>125.348</v>
      </c>
      <c r="M19" s="13">
        <v>181.3</v>
      </c>
      <c r="O19" s="13">
        <v>14.496</v>
      </c>
      <c r="P19"/>
      <c r="Q19" s="13">
        <v>34.579000000000001</v>
      </c>
      <c r="R19"/>
      <c r="S19" s="13">
        <v>4.758</v>
      </c>
      <c r="U19" s="13">
        <v>71.12</v>
      </c>
      <c r="W19" s="13">
        <v>3.26</v>
      </c>
      <c r="X19"/>
      <c r="Y19" s="13">
        <v>34.536000000000001</v>
      </c>
      <c r="Z19"/>
      <c r="AA19" s="13">
        <v>6.1139999999999999</v>
      </c>
      <c r="AC19" s="13">
        <v>241.565</v>
      </c>
      <c r="AE19" s="13">
        <v>0.73</v>
      </c>
      <c r="AF19"/>
      <c r="AG19" s="13">
        <v>19.37</v>
      </c>
      <c r="AH19"/>
      <c r="AI19" s="13">
        <v>14.237</v>
      </c>
      <c r="AK19" s="13">
        <v>319.452</v>
      </c>
      <c r="AM19" s="13">
        <v>31</v>
      </c>
      <c r="AN19" s="13"/>
      <c r="AO19" s="13"/>
      <c r="AP19" s="13"/>
      <c r="AQ19" s="13"/>
      <c r="AR19" s="13"/>
      <c r="AS19" s="13"/>
    </row>
    <row r="20" spans="2:45" ht="15" customHeight="1" x14ac:dyDescent="0.25">
      <c r="B20" s="45" t="s">
        <v>109</v>
      </c>
      <c r="C20" s="45" t="s">
        <v>269</v>
      </c>
      <c r="D20" s="41"/>
      <c r="E20" s="41"/>
      <c r="F20"/>
      <c r="G20" s="41"/>
      <c r="H20"/>
      <c r="I20" s="41"/>
      <c r="J20"/>
      <c r="K20" s="41"/>
      <c r="M20" s="41"/>
      <c r="O20" s="41"/>
      <c r="P20"/>
      <c r="Q20" s="41"/>
      <c r="R20"/>
      <c r="S20" s="41"/>
      <c r="U20" s="41"/>
      <c r="W20" s="41"/>
      <c r="X20"/>
      <c r="Y20" s="41"/>
      <c r="Z20"/>
      <c r="AA20" s="41"/>
      <c r="AC20" s="41"/>
      <c r="AE20" s="41"/>
      <c r="AF20"/>
      <c r="AG20" s="41"/>
      <c r="AH20"/>
      <c r="AI20" s="41"/>
      <c r="AK20" s="41"/>
      <c r="AM20" s="41"/>
      <c r="AN20" s="41"/>
      <c r="AO20" s="41"/>
      <c r="AP20" s="41"/>
      <c r="AQ20" s="41"/>
      <c r="AR20" s="41"/>
      <c r="AS20" s="41"/>
    </row>
    <row r="21" spans="2:45" ht="15" customHeight="1" x14ac:dyDescent="0.25">
      <c r="B21" s="53" t="s">
        <v>303</v>
      </c>
      <c r="C21" s="53"/>
      <c r="D21" s="1"/>
      <c r="E21" s="13"/>
      <c r="F21"/>
      <c r="G21" s="13"/>
      <c r="H21"/>
      <c r="I21" s="13"/>
      <c r="J21"/>
      <c r="K21" s="13"/>
      <c r="M21" s="13"/>
      <c r="O21" s="13"/>
      <c r="P21"/>
      <c r="Q21" s="13"/>
      <c r="R21"/>
      <c r="S21" s="13"/>
      <c r="U21" s="13"/>
      <c r="W21" s="13"/>
      <c r="X21"/>
      <c r="Y21" s="13"/>
      <c r="Z21"/>
      <c r="AA21" s="13"/>
      <c r="AC21" s="13"/>
      <c r="AE21" s="13"/>
      <c r="AF21"/>
      <c r="AG21" s="13"/>
      <c r="AH21"/>
      <c r="AI21" s="13"/>
      <c r="AK21" s="13">
        <v>192.78</v>
      </c>
      <c r="AM21" s="13"/>
      <c r="AN21" s="13"/>
      <c r="AO21" s="13"/>
      <c r="AP21" s="13"/>
      <c r="AQ21" s="13"/>
      <c r="AR21" s="13"/>
      <c r="AS21" s="13"/>
    </row>
    <row r="22" spans="2:45" ht="15" customHeight="1" x14ac:dyDescent="0.25">
      <c r="B22" s="52" t="s">
        <v>260</v>
      </c>
      <c r="C22" s="52" t="s">
        <v>262</v>
      </c>
      <c r="D22" s="1"/>
      <c r="E22" s="1">
        <v>11.824</v>
      </c>
      <c r="F22"/>
      <c r="G22" s="1"/>
      <c r="H22"/>
      <c r="I22" s="1"/>
      <c r="J22"/>
      <c r="K22" s="1"/>
      <c r="M22" s="1">
        <v>1.57</v>
      </c>
      <c r="O22" s="1">
        <v>3.92</v>
      </c>
      <c r="P22"/>
      <c r="Q22" s="1">
        <v>5.4720000000000004</v>
      </c>
      <c r="R22"/>
      <c r="S22" s="1">
        <v>21.314</v>
      </c>
      <c r="U22" s="1">
        <v>57.587000000000003</v>
      </c>
      <c r="W22" s="1">
        <v>13.337</v>
      </c>
      <c r="X22"/>
      <c r="Y22" s="1">
        <v>-1.641</v>
      </c>
      <c r="Z22"/>
      <c r="AA22" s="1">
        <v>-11.737</v>
      </c>
      <c r="AC22" s="1">
        <v>-42.161999999999999</v>
      </c>
      <c r="AE22" s="1">
        <v>28.4</v>
      </c>
      <c r="AF22"/>
      <c r="AG22" s="1">
        <v>11.164</v>
      </c>
      <c r="AH22"/>
      <c r="AI22" s="1">
        <v>-5.6660000000000004</v>
      </c>
      <c r="AK22" s="1">
        <v>2.899</v>
      </c>
      <c r="AM22" s="1">
        <v>-25</v>
      </c>
      <c r="AN22" s="1"/>
      <c r="AO22" s="1"/>
      <c r="AP22" s="1"/>
      <c r="AQ22" s="1"/>
      <c r="AR22" s="1"/>
      <c r="AS22" s="1"/>
    </row>
    <row r="23" spans="2:45" ht="15" customHeight="1" x14ac:dyDescent="0.25">
      <c r="B23" s="53" t="s">
        <v>101</v>
      </c>
      <c r="C23" s="53" t="s">
        <v>270</v>
      </c>
      <c r="D23" s="1"/>
      <c r="E23" s="13">
        <v>215.422</v>
      </c>
      <c r="F23"/>
      <c r="G23" s="13"/>
      <c r="H23"/>
      <c r="I23" s="13">
        <v>-0.437</v>
      </c>
      <c r="J23"/>
      <c r="K23" s="13">
        <v>35.31</v>
      </c>
      <c r="M23" s="13">
        <v>2.31</v>
      </c>
      <c r="O23" s="13"/>
      <c r="P23"/>
      <c r="Q23" s="13">
        <v>9.6519999999999992</v>
      </c>
      <c r="R23"/>
      <c r="S23" s="13"/>
      <c r="U23" s="13">
        <v>4.3159999999999998</v>
      </c>
      <c r="W23" s="13">
        <v>0.216</v>
      </c>
      <c r="X23"/>
      <c r="Y23" s="13">
        <v>0.216</v>
      </c>
      <c r="Z23"/>
      <c r="AA23" s="13">
        <v>4.13</v>
      </c>
      <c r="AC23" s="13">
        <v>-53.16</v>
      </c>
      <c r="AE23" s="13"/>
      <c r="AF23"/>
      <c r="AG23" s="13"/>
      <c r="AH23"/>
      <c r="AI23" s="13"/>
      <c r="AK23" s="13">
        <v>9.5459999999999994</v>
      </c>
      <c r="AM23" s="13"/>
      <c r="AN23" s="13"/>
      <c r="AO23" s="13"/>
      <c r="AP23" s="13"/>
      <c r="AQ23" s="13"/>
      <c r="AR23" s="13"/>
      <c r="AS23" s="13"/>
    </row>
    <row r="24" spans="2:45" ht="15" customHeight="1" x14ac:dyDescent="0.25">
      <c r="B24" s="52" t="s">
        <v>272</v>
      </c>
      <c r="C24" s="52" t="s">
        <v>271</v>
      </c>
      <c r="D24" s="1"/>
      <c r="E24" s="1"/>
      <c r="F24"/>
      <c r="G24" s="1"/>
      <c r="H24"/>
      <c r="I24" s="1">
        <v>-173.12</v>
      </c>
      <c r="J24"/>
      <c r="K24" s="1">
        <v>-352.49799999999999</v>
      </c>
      <c r="M24" s="1">
        <v>-276.69799999999998</v>
      </c>
      <c r="O24" s="1"/>
      <c r="P24"/>
      <c r="Q24" s="1"/>
      <c r="R24"/>
      <c r="S24" s="1"/>
      <c r="U24" s="1">
        <v>2.19</v>
      </c>
      <c r="W24" s="1"/>
      <c r="X24"/>
      <c r="Y24" s="1"/>
      <c r="Z24"/>
      <c r="AA24" s="1"/>
      <c r="AC24" s="1">
        <v>3.9340000000000002</v>
      </c>
      <c r="AE24" s="1">
        <v>4.5839999999999996</v>
      </c>
      <c r="AF24"/>
      <c r="AG24" s="1">
        <v>4.9829999999999997</v>
      </c>
      <c r="AH24"/>
      <c r="AI24" s="1"/>
      <c r="AK24" s="1"/>
      <c r="AM24" s="1"/>
      <c r="AN24" s="1"/>
      <c r="AO24" s="1"/>
      <c r="AP24" s="1"/>
      <c r="AQ24" s="1"/>
      <c r="AR24" s="1"/>
      <c r="AS24" s="1"/>
    </row>
    <row r="25" spans="2:45" ht="15" customHeight="1" x14ac:dyDescent="0.25">
      <c r="B25" s="53" t="s">
        <v>115</v>
      </c>
      <c r="C25" s="53" t="s">
        <v>236</v>
      </c>
      <c r="D25" s="1"/>
      <c r="E25" s="13">
        <v>5.7539999999999996</v>
      </c>
      <c r="F25"/>
      <c r="G25" s="13"/>
      <c r="H25"/>
      <c r="I25" s="13"/>
      <c r="J25"/>
      <c r="K25" s="13">
        <v>16.138000000000002</v>
      </c>
      <c r="M25" s="13">
        <v>16.138000000000002</v>
      </c>
      <c r="O25" s="13"/>
      <c r="P25"/>
      <c r="Q25" s="13"/>
      <c r="R25"/>
      <c r="S25" s="13"/>
      <c r="U25" s="13"/>
      <c r="W25" s="13"/>
      <c r="X25"/>
      <c r="Y25" s="13"/>
      <c r="Z25"/>
      <c r="AA25" s="13"/>
      <c r="AC25" s="13"/>
      <c r="AE25" s="13"/>
      <c r="AF25"/>
      <c r="AG25" s="13"/>
      <c r="AH25"/>
      <c r="AI25" s="13"/>
      <c r="AK25" s="13"/>
      <c r="AM25" s="13"/>
      <c r="AN25" s="13"/>
      <c r="AO25" s="13"/>
      <c r="AP25" s="13"/>
      <c r="AQ25" s="13"/>
      <c r="AR25" s="13"/>
      <c r="AS25" s="13"/>
    </row>
    <row r="26" spans="2:45" ht="15" customHeight="1" x14ac:dyDescent="0.25">
      <c r="B26" s="52" t="s">
        <v>110</v>
      </c>
      <c r="C26" s="52" t="s">
        <v>110</v>
      </c>
      <c r="D26" s="1"/>
      <c r="E26" s="1">
        <v>54.145000000000003</v>
      </c>
      <c r="F26"/>
      <c r="G26" s="1">
        <v>3.4380000000000002</v>
      </c>
      <c r="H26"/>
      <c r="I26" s="1">
        <v>11.157</v>
      </c>
      <c r="J26"/>
      <c r="K26" s="1">
        <v>17.170000000000002</v>
      </c>
      <c r="M26" s="1">
        <v>22.123999999999999</v>
      </c>
      <c r="O26" s="1"/>
      <c r="P26"/>
      <c r="Q26" s="1"/>
      <c r="R26"/>
      <c r="S26" s="1"/>
      <c r="U26" s="1"/>
      <c r="W26" s="1"/>
      <c r="X26"/>
      <c r="Y26" s="1"/>
      <c r="Z26"/>
      <c r="AA26" s="1"/>
      <c r="AC26" s="1"/>
      <c r="AE26" s="1"/>
      <c r="AF26"/>
      <c r="AG26" s="1"/>
      <c r="AH26"/>
      <c r="AI26" s="1"/>
      <c r="AK26" s="1"/>
      <c r="AM26" s="1"/>
      <c r="AN26" s="1"/>
      <c r="AO26" s="1"/>
      <c r="AP26" s="1"/>
      <c r="AQ26" s="1"/>
      <c r="AR26" s="1"/>
      <c r="AS26" s="1"/>
    </row>
    <row r="27" spans="2:45" ht="15" customHeight="1" x14ac:dyDescent="0.25">
      <c r="B27" s="53" t="s">
        <v>257</v>
      </c>
      <c r="C27" s="53" t="s">
        <v>255</v>
      </c>
      <c r="D27" s="1"/>
      <c r="E27" s="13">
        <v>1.173</v>
      </c>
      <c r="F27"/>
      <c r="G27" s="13">
        <v>-1.363</v>
      </c>
      <c r="H27"/>
      <c r="I27" s="13"/>
      <c r="J27"/>
      <c r="K27" s="13"/>
      <c r="M27" s="13">
        <v>2.161</v>
      </c>
      <c r="O27" s="13"/>
      <c r="P27"/>
      <c r="Q27" s="13"/>
      <c r="R27"/>
      <c r="S27" s="13">
        <v>3.12</v>
      </c>
      <c r="U27" s="13">
        <v>15.826000000000001</v>
      </c>
      <c r="W27" s="13"/>
      <c r="X27"/>
      <c r="Y27" s="13"/>
      <c r="Z27"/>
      <c r="AA27" s="13"/>
      <c r="AC27" s="13">
        <v>2.7269999999999999</v>
      </c>
      <c r="AE27" s="13"/>
      <c r="AF27"/>
      <c r="AG27" s="13"/>
      <c r="AH27"/>
      <c r="AI27" s="13"/>
      <c r="AK27" s="13">
        <v>16.77</v>
      </c>
      <c r="AM27" s="13"/>
      <c r="AN27" s="13"/>
      <c r="AO27" s="13"/>
      <c r="AP27" s="13"/>
      <c r="AQ27" s="13"/>
      <c r="AR27" s="13"/>
      <c r="AS27" s="13"/>
    </row>
    <row r="28" spans="2:45" ht="15" customHeight="1" thickBot="1" x14ac:dyDescent="0.4">
      <c r="B28" s="47" t="s">
        <v>111</v>
      </c>
      <c r="C28" s="47" t="s">
        <v>233</v>
      </c>
      <c r="D28" s="3"/>
      <c r="E28" s="133">
        <v>3878.576</v>
      </c>
      <c r="F28"/>
      <c r="G28" s="133">
        <v>97.945999999999998</v>
      </c>
      <c r="H28"/>
      <c r="I28" s="139">
        <v>2513.2159999999999</v>
      </c>
      <c r="J28"/>
      <c r="K28" s="133">
        <v>4169.5360000000001</v>
      </c>
      <c r="M28" s="133">
        <v>5248.17</v>
      </c>
      <c r="O28" s="133">
        <v>421.12599999999998</v>
      </c>
      <c r="P28"/>
      <c r="Q28" s="133">
        <v>1777.441</v>
      </c>
      <c r="R28"/>
      <c r="S28" s="133">
        <v>354.93599999999998</v>
      </c>
      <c r="U28" s="133">
        <v>492.48399999999998</v>
      </c>
      <c r="W28" s="133">
        <v>778.78800000000001</v>
      </c>
      <c r="X28"/>
      <c r="Y28" s="133">
        <v>2366.866</v>
      </c>
      <c r="Z28"/>
      <c r="AA28" s="133">
        <v>4289.95</v>
      </c>
      <c r="AC28" s="133">
        <f>(SUM(AC13:AC27))/1</f>
        <v>3147.4960000000001</v>
      </c>
      <c r="AE28" s="133">
        <f>(SUM(AE13:AE27))/1</f>
        <v>766.31599999999992</v>
      </c>
      <c r="AF28"/>
      <c r="AG28" s="133">
        <f>(SUM(AG13:AG27))/1</f>
        <v>812.34800000000007</v>
      </c>
      <c r="AH28"/>
      <c r="AI28" s="133">
        <f>(SUM(AI13:AI27))/1</f>
        <v>3508.9049999999997</v>
      </c>
      <c r="AK28" s="133">
        <f>(SUM(AK13:AK27))/1</f>
        <v>4187.6720000000005</v>
      </c>
      <c r="AM28" s="133">
        <f>SUM(AM13:AM27)</f>
        <v>706</v>
      </c>
      <c r="AN28" s="133"/>
      <c r="AO28" s="133"/>
      <c r="AP28" s="133"/>
      <c r="AQ28" s="133"/>
      <c r="AR28" s="133"/>
      <c r="AS28" s="133"/>
    </row>
    <row r="29" spans="2:45" ht="15" customHeight="1" thickTop="1" x14ac:dyDescent="0.25">
      <c r="B29" s="47"/>
      <c r="C29" s="47"/>
      <c r="D29" s="1"/>
      <c r="E29" s="1"/>
      <c r="F29"/>
      <c r="G29" s="1"/>
      <c r="H29"/>
      <c r="I29" s="1"/>
      <c r="J29"/>
      <c r="K29" s="1"/>
      <c r="M29" s="1"/>
      <c r="O29" s="1"/>
      <c r="P29"/>
      <c r="Q29" s="1"/>
      <c r="R29"/>
      <c r="S29" s="1"/>
      <c r="U29" s="1"/>
      <c r="W29" s="1"/>
      <c r="X29"/>
      <c r="Y29" s="1"/>
      <c r="Z29"/>
      <c r="AA29" s="1"/>
      <c r="AC29" s="1"/>
      <c r="AE29" s="1"/>
      <c r="AF29"/>
      <c r="AG29" s="1"/>
      <c r="AH29"/>
      <c r="AI29" s="1"/>
      <c r="AK29" s="1"/>
      <c r="AM29" s="1"/>
      <c r="AN29" s="1"/>
      <c r="AO29" s="1"/>
      <c r="AP29" s="1"/>
      <c r="AQ29" s="1"/>
      <c r="AR29" s="1"/>
      <c r="AS29" s="1"/>
    </row>
    <row r="30" spans="2:45" ht="15" customHeight="1" x14ac:dyDescent="0.25">
      <c r="B30" s="48" t="s">
        <v>112</v>
      </c>
      <c r="C30" s="48" t="s">
        <v>234</v>
      </c>
      <c r="D30" s="61"/>
      <c r="E30" s="60">
        <v>1136.367</v>
      </c>
      <c r="F30"/>
      <c r="G30" s="60">
        <v>21.457000000000001</v>
      </c>
      <c r="H30"/>
      <c r="I30" s="60">
        <v>468.721</v>
      </c>
      <c r="J30"/>
      <c r="K30" s="60">
        <v>1191.721</v>
      </c>
      <c r="M30" s="60">
        <v>1479.4970000000001</v>
      </c>
      <c r="O30" s="60">
        <v>254.517</v>
      </c>
      <c r="P30"/>
      <c r="Q30" s="60">
        <v>598.96699999999998</v>
      </c>
      <c r="R30"/>
      <c r="S30" s="60">
        <v>143.55699999999999</v>
      </c>
      <c r="U30" s="60">
        <v>25.751999999999999</v>
      </c>
      <c r="W30" s="60">
        <v>335.63299999999998</v>
      </c>
      <c r="X30"/>
      <c r="Y30" s="60">
        <v>81.524000000000001</v>
      </c>
      <c r="Z30"/>
      <c r="AA30" s="60">
        <v>1329.4459999999999</v>
      </c>
      <c r="AC30" s="60">
        <v>2392.19</v>
      </c>
      <c r="AE30" s="60">
        <v>412.86099999999999</v>
      </c>
      <c r="AF30"/>
      <c r="AG30" s="60">
        <v>191.63399999999999</v>
      </c>
      <c r="AH30"/>
      <c r="AI30" s="60">
        <v>1741.5509999999999</v>
      </c>
      <c r="AK30" s="60">
        <v>3277.1660000000002</v>
      </c>
      <c r="AM30" s="60">
        <v>548</v>
      </c>
      <c r="AN30" s="60"/>
      <c r="AO30" s="60"/>
      <c r="AP30" s="60"/>
      <c r="AQ30" s="60"/>
      <c r="AR30" s="60"/>
      <c r="AS30" s="60"/>
    </row>
    <row r="31" spans="2:45" ht="15" customHeight="1" x14ac:dyDescent="0.25">
      <c r="B31" s="45" t="s">
        <v>113</v>
      </c>
      <c r="C31" s="45" t="s">
        <v>235</v>
      </c>
      <c r="D31" s="61"/>
      <c r="E31" s="61">
        <v>7498.75</v>
      </c>
      <c r="F31"/>
      <c r="G31" s="61">
        <v>96.92</v>
      </c>
      <c r="H31"/>
      <c r="I31" s="61">
        <v>8516.1749999999993</v>
      </c>
      <c r="J31"/>
      <c r="K31" s="61">
        <v>8498.8799999999992</v>
      </c>
      <c r="M31" s="61">
        <v>8157.1180000000004</v>
      </c>
      <c r="O31" s="61">
        <v>8614.5460000000003</v>
      </c>
      <c r="P31"/>
      <c r="Q31" s="61">
        <v>8948.1</v>
      </c>
      <c r="R31"/>
      <c r="S31" s="61">
        <v>814.41300000000001</v>
      </c>
      <c r="U31" s="61">
        <v>7618.6229999999996</v>
      </c>
      <c r="W31" s="61">
        <v>9413.2260000000006</v>
      </c>
      <c r="X31"/>
      <c r="Y31" s="61">
        <v>938.57399999999996</v>
      </c>
      <c r="Z31"/>
      <c r="AA31" s="61">
        <v>851.91499999999996</v>
      </c>
      <c r="AC31" s="61">
        <v>7418.75</v>
      </c>
      <c r="AE31" s="61">
        <v>123.794</v>
      </c>
      <c r="AF31"/>
      <c r="AG31" s="61">
        <v>1894.5340000000001</v>
      </c>
      <c r="AH31"/>
      <c r="AI31" s="61">
        <v>1483.6479999999999</v>
      </c>
      <c r="AK31" s="61">
        <v>1739.925</v>
      </c>
      <c r="AM31" s="61">
        <v>12486</v>
      </c>
      <c r="AN31" s="61"/>
      <c r="AO31" s="61"/>
      <c r="AP31" s="61"/>
      <c r="AQ31" s="61"/>
      <c r="AR31" s="61"/>
      <c r="AS31" s="61"/>
    </row>
    <row r="32" spans="2:45" ht="15" customHeight="1" x14ac:dyDescent="0.25">
      <c r="C32" s="48" t="s">
        <v>256</v>
      </c>
      <c r="D32" s="61"/>
      <c r="E32" s="103">
        <f>E31/E28</f>
        <v>1.9333770950988198</v>
      </c>
      <c r="F32" s="104"/>
      <c r="G32" s="103"/>
      <c r="H32" s="103"/>
      <c r="I32" s="103"/>
      <c r="J32" s="103"/>
      <c r="K32" s="103"/>
      <c r="L32" s="103"/>
      <c r="M32" s="103">
        <f>M31/M28</f>
        <v>1.5542785389954976</v>
      </c>
      <c r="N32" s="104"/>
      <c r="O32" s="103"/>
      <c r="P32" s="103"/>
      <c r="Q32" s="103"/>
      <c r="R32" s="103"/>
      <c r="S32" s="105"/>
      <c r="T32" s="103"/>
      <c r="U32" s="105">
        <f>U31/U28</f>
        <v>15.46978785097587</v>
      </c>
      <c r="W32" s="105"/>
      <c r="X32" s="103"/>
      <c r="Y32" s="105"/>
      <c r="Z32" s="103"/>
      <c r="AA32" s="105"/>
      <c r="AB32" s="103"/>
      <c r="AC32" s="105">
        <f>AC31/5811677</f>
        <v>1.2765248309567101E-3</v>
      </c>
      <c r="AD32" s="134" t="s">
        <v>304</v>
      </c>
      <c r="AE32" s="105"/>
      <c r="AF32" s="105"/>
      <c r="AG32" s="105"/>
      <c r="AH32" s="105"/>
      <c r="AI32" s="105"/>
      <c r="AJ32" s="60"/>
      <c r="AK32" s="96">
        <v>1.66</v>
      </c>
      <c r="AM32" s="105"/>
      <c r="AN32" s="105"/>
      <c r="AO32" s="105"/>
      <c r="AP32" s="105"/>
      <c r="AQ32" s="105"/>
      <c r="AR32" s="60"/>
      <c r="AS32" s="96"/>
    </row>
    <row r="33" spans="1:45" ht="15" customHeight="1" x14ac:dyDescent="0.25"/>
    <row r="34" spans="1:45" ht="15" customHeight="1" x14ac:dyDescent="0.25">
      <c r="A34" s="134" t="s">
        <v>304</v>
      </c>
      <c r="B34" s="138" t="s">
        <v>327</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c r="AN34"/>
      <c r="AO34"/>
      <c r="AP34"/>
      <c r="AQ34"/>
      <c r="AS34"/>
    </row>
    <row r="35" spans="1:45" x14ac:dyDescent="0.25">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c r="AN35"/>
      <c r="AO35"/>
      <c r="AP35"/>
      <c r="AQ35"/>
      <c r="AS35"/>
    </row>
    <row r="36" spans="1:45" x14ac:dyDescent="0.25">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c r="AN36"/>
      <c r="AO36"/>
      <c r="AP36"/>
      <c r="AQ36"/>
      <c r="AS36"/>
    </row>
    <row r="37" spans="1:45" x14ac:dyDescent="0.25">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c r="AN37"/>
      <c r="AO37"/>
      <c r="AP37"/>
      <c r="AQ37"/>
      <c r="AS37"/>
    </row>
  </sheetData>
  <mergeCells count="6">
    <mergeCell ref="B34:AL37"/>
    <mergeCell ref="AM5:AS5"/>
    <mergeCell ref="G5:M5"/>
    <mergeCell ref="O5:U5"/>
    <mergeCell ref="W5:AC5"/>
    <mergeCell ref="AE5:AK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12CEE30020680439A33242A43FD1B43" ma:contentTypeVersion="12" ma:contentTypeDescription="Crie um novo documento." ma:contentTypeScope="" ma:versionID="19299dd76bacbfe34c274ad12629ba98">
  <xsd:schema xmlns:xsd="http://www.w3.org/2001/XMLSchema" xmlns:xs="http://www.w3.org/2001/XMLSchema" xmlns:p="http://schemas.microsoft.com/office/2006/metadata/properties" xmlns:ns3="343b90b6-84e8-4207-a6b1-89993c941ed6" xmlns:ns4="7813e78a-b5e7-4205-8c12-11ee07365c5d" targetNamespace="http://schemas.microsoft.com/office/2006/metadata/properties" ma:root="true" ma:fieldsID="4f0a654c7375d81172d438a9778f0b29" ns3:_="" ns4:_="">
    <xsd:import namespace="343b90b6-84e8-4207-a6b1-89993c941ed6"/>
    <xsd:import namespace="7813e78a-b5e7-4205-8c12-11ee07365c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b90b6-84e8-4207-a6b1-89993c941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3e78a-b5e7-4205-8c12-11ee07365c5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SharingHintHash" ma:index="12"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E78B2-98E6-4067-A014-1282DBE17927}">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343b90b6-84e8-4207-a6b1-89993c941ed6"/>
    <ds:schemaRef ds:uri="http://schemas.openxmlformats.org/package/2006/metadata/core-properties"/>
    <ds:schemaRef ds:uri="http://schemas.microsoft.com/office/infopath/2007/PartnerControls"/>
    <ds:schemaRef ds:uri="7813e78a-b5e7-4205-8c12-11ee07365c5d"/>
    <ds:schemaRef ds:uri="http://www.w3.org/XML/1998/namespace"/>
  </ds:schemaRefs>
</ds:datastoreItem>
</file>

<file path=customXml/itemProps2.xml><?xml version="1.0" encoding="utf-8"?>
<ds:datastoreItem xmlns:ds="http://schemas.openxmlformats.org/officeDocument/2006/customXml" ds:itemID="{58C40555-75A1-4F84-9594-9E1F76CC7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b90b6-84e8-4207-a6b1-89993c941ed6"/>
    <ds:schemaRef ds:uri="7813e78a-b5e7-4205-8c12-11ee07365c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90749-0DE7-42AE-B577-92AF0998E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 | Summary</vt:lpstr>
      <vt:lpstr>BP</vt:lpstr>
      <vt:lpstr>DRE</vt:lpstr>
      <vt:lpstr>DFC</vt:lpstr>
      <vt:lpstr>EBITDA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Sauro Bagnaresi Neto</dc:creator>
  <cp:lastModifiedBy>Jeniffer De Jesus Brazzarola</cp:lastModifiedBy>
  <dcterms:created xsi:type="dcterms:W3CDTF">2019-03-14T19:14:16Z</dcterms:created>
  <dcterms:modified xsi:type="dcterms:W3CDTF">2025-05-13T13:41:14Z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0x010100C12CEE30020680439A33242A43FD1B43</vt:lpwstr>
  </property>
  <property fmtid="{D5CDD505-2E9C-101B-9397-08002B2CF9AE}" pid="3" name="Order">
    <vt:r8>3344600</vt:r8>
  </property>
</Properties>
</file>