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2448B3F0-8C10-4862-8684-EE9E246B759B}" xr6:coauthVersionLast="47" xr6:coauthVersionMax="47" xr10:uidLastSave="{00000000-0000-0000-0000-000000000000}"/>
  <bookViews>
    <workbookView xWindow="-120" yWindow="-120" windowWidth="20730" windowHeight="11160" tabRatio="724" firstSheet="16" activeTab="21"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6" r:id="rId5"/>
    <sheet name="Vendas por Segmento" sheetId="25" r:id="rId6"/>
    <sheet name="Vendas por Produto" sheetId="30" r:id="rId7"/>
    <sheet name="CPP Siderurgia" sheetId="29" r:id="rId8"/>
    <sheet name="Exportações Siderurgia" sheetId="32" r:id="rId9"/>
    <sheet name="Produção e Vendas MUSA" sheetId="9" r:id="rId10"/>
    <sheet name="Vendas por produto MUSA" sheetId="31" r:id="rId11"/>
    <sheet name="DRE por Unidade TRI" sheetId="10" r:id="rId12"/>
    <sheet name="DRE por Unidade Ano" sheetId="11" r:id="rId13"/>
    <sheet name="DRE Consolidada TRI" sheetId="12" r:id="rId14"/>
    <sheet name="DRE Consolidada ANO" sheetId="13" r:id="rId15"/>
    <sheet name="Balanço" sheetId="14" r:id="rId16"/>
    <sheet name="Fluxo de Caixa TRI" sheetId="15" r:id="rId17"/>
    <sheet name="Fluxo de caixa ANO" sheetId="16" r:id="rId18"/>
    <sheet name="CAPEX" sheetId="17" r:id="rId19"/>
    <sheet name="Capital de Giro" sheetId="18" r:id="rId20"/>
    <sheet name="Dívida" sheetId="19" r:id="rId21"/>
    <sheet name="Indicadores" sheetId="28" r:id="rId22"/>
    <sheet name="FAQ" sheetId="20" r:id="rId23"/>
    <sheet name="Contato" sheetId="21" r:id="rId24"/>
    <sheet name="Demonstrativo EBITDA" sheetId="22" r:id="rId25"/>
    <sheet name="Resultado Operacional Financeir" sheetId="23" r:id="rId26"/>
    <sheet name="DRE Seg. FAQ" sheetId="26" r:id="rId27"/>
    <sheet name="Consolidação" sheetId="27" r:id="rId28"/>
  </sheets>
  <externalReferences>
    <externalReference r:id="rId29"/>
    <externalReference r:id="rId30"/>
    <externalReference r:id="rId31"/>
    <externalReference r:id="rId32"/>
    <externalReference r:id="rId33"/>
    <externalReference r:id="rId34"/>
  </externalReferences>
  <definedNames>
    <definedName name="\b" localSheetId="3">#REF!</definedName>
    <definedName name="\b" localSheetId="6">#REF!</definedName>
    <definedName name="\b" localSheetId="5">#REF!</definedName>
    <definedName name="\b">#REF!</definedName>
    <definedName name="\p" localSheetId="6">#REF!</definedName>
    <definedName name="\p" localSheetId="5">#REF!</definedName>
    <definedName name="\p">#REF!</definedName>
    <definedName name="\r" localSheetId="6">#REF!</definedName>
    <definedName name="\r" localSheetId="5">#REF!</definedName>
    <definedName name="\r">#REF!</definedName>
    <definedName name="dIVIDA">#REF!</definedName>
    <definedName name="dolar00" localSheetId="6">#REF!</definedName>
    <definedName name="dolar00" localSheetId="5">#REF!</definedName>
    <definedName name="dolar00">#REF!</definedName>
    <definedName name="dolar99" localSheetId="6">#REF!</definedName>
    <definedName name="dolar99" localSheetId="5">#REF!</definedName>
    <definedName name="dolar99">#REF!</definedName>
    <definedName name="Format" localSheetId="6">#REF!</definedName>
    <definedName name="Format" localSheetId="5">#REF!</definedName>
    <definedName name="Format">#REF!</definedName>
    <definedName name="_xlnm.Recorder" localSheetId="6">#REF!</definedName>
    <definedName name="_xlnm.Recorder" localSheetId="5">#REF!</definedName>
    <definedName name="_xlnm.Recorder">#REF!</definedName>
    <definedName name="Header" localSheetId="6">#REF!</definedName>
    <definedName name="Header" localSheetId="5">#REF!</definedName>
    <definedName name="Header">#REF!</definedName>
    <definedName name="nbfdhbfd" localSheetId="6">#REF!</definedName>
    <definedName name="nbfdhbfd" localSheetId="5">#REF!</definedName>
    <definedName name="nbfdhbfd">#REF!</definedName>
    <definedName name="Print" localSheetId="6">#REF!</definedName>
    <definedName name="Print" localSheetId="5">#REF!</definedName>
    <definedName name="Print">#REF!</definedName>
    <definedName name="Print_Area_MI" localSheetId="6">#REF!</definedName>
    <definedName name="Print_Area_MI" localSheetId="5">#REF!</definedName>
    <definedName name="Print_Area_MI">#REF!</definedName>
    <definedName name="RawData" localSheetId="6">#REF!</definedName>
    <definedName name="RawData" localSheetId="5">#REF!</definedName>
    <definedName name="RawData">#REF!</definedName>
    <definedName name="RawHeader" localSheetId="6">#REF!</definedName>
    <definedName name="RawHeader" localSheetId="5">#REF!</definedName>
    <definedName name="RawHeader">#REF!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 i="31" l="1"/>
  <c r="O18" i="31" s="1"/>
  <c r="O5" i="31"/>
  <c r="O4" i="31"/>
  <c r="O11" i="31"/>
  <c r="O13" i="31" s="1"/>
  <c r="AC11" i="12"/>
  <c r="O7" i="31" l="1"/>
  <c r="O19" i="31" s="1"/>
  <c r="O16" i="31"/>
  <c r="O17" i="31"/>
  <c r="Z5" i="28"/>
  <c r="Z6" i="28" s="1"/>
  <c r="Z8" i="28"/>
  <c r="Z10" i="28"/>
  <c r="Z11" i="28"/>
  <c r="Z12" i="28"/>
  <c r="Z13" i="28"/>
  <c r="Z14" i="28"/>
  <c r="Z15" i="28"/>
  <c r="Z16" i="28"/>
  <c r="AM21" i="30" l="1"/>
  <c r="AM22" i="30"/>
  <c r="AM23" i="30"/>
  <c r="AM24" i="30"/>
  <c r="AM25" i="30"/>
  <c r="AM20" i="30"/>
  <c r="AM13" i="30"/>
  <c r="AM14" i="30"/>
  <c r="AM15" i="30"/>
  <c r="AM16" i="30"/>
  <c r="AM17" i="30"/>
  <c r="AM12" i="30"/>
  <c r="AM5" i="30"/>
  <c r="AM6" i="30"/>
  <c r="AM7" i="30"/>
  <c r="AM8" i="30"/>
  <c r="AM9" i="30"/>
  <c r="AM4" i="30"/>
  <c r="L22" i="28" l="1"/>
  <c r="L23" i="28"/>
  <c r="L24" i="28" s="1"/>
  <c r="L25" i="28"/>
  <c r="L27" i="28"/>
  <c r="L29" i="28"/>
  <c r="L30" i="28"/>
  <c r="L31" i="28"/>
  <c r="L32" i="28"/>
  <c r="L33" i="28"/>
  <c r="L34" i="28"/>
  <c r="L35" i="28"/>
  <c r="Y5" i="28"/>
  <c r="Y6" i="28" s="1"/>
  <c r="Y8" i="28"/>
  <c r="Y10" i="28"/>
  <c r="Y11" i="28"/>
  <c r="Y12" i="28"/>
  <c r="Y13" i="28"/>
  <c r="Y14" i="28"/>
  <c r="Y15" i="28"/>
  <c r="Y16" i="28"/>
  <c r="X16" i="28" l="1"/>
  <c r="X15" i="28"/>
  <c r="X14" i="28"/>
  <c r="X13" i="28"/>
  <c r="X12" i="28"/>
  <c r="X11" i="28"/>
  <c r="X10" i="28"/>
  <c r="X8" i="28"/>
  <c r="X5" i="28"/>
  <c r="X6" i="28" s="1"/>
  <c r="W16" i="28" l="1"/>
  <c r="W15" i="28"/>
  <c r="W14" i="28"/>
  <c r="W13" i="28"/>
  <c r="W12" i="28"/>
  <c r="W11" i="28"/>
  <c r="W10" i="28"/>
  <c r="W8" i="28"/>
  <c r="W5" i="28"/>
  <c r="W6" i="28" s="1"/>
  <c r="K4" i="31" l="1"/>
  <c r="K5" i="31"/>
  <c r="K6" i="31"/>
  <c r="AL25" i="30"/>
  <c r="AL24" i="30"/>
  <c r="AL23" i="30"/>
  <c r="AL22" i="30"/>
  <c r="AL21" i="30"/>
  <c r="AL20" i="30"/>
  <c r="AL17" i="30"/>
  <c r="AL16" i="30"/>
  <c r="AL15" i="30"/>
  <c r="AL14" i="30"/>
  <c r="AL13" i="30"/>
  <c r="AL12" i="30"/>
  <c r="AL5" i="30"/>
  <c r="AL6" i="30"/>
  <c r="AL7" i="30"/>
  <c r="AL8" i="30"/>
  <c r="AL9" i="30"/>
  <c r="AL4" i="30"/>
  <c r="V5" i="28"/>
  <c r="V6" i="28" s="1"/>
  <c r="V8" i="28"/>
  <c r="V10" i="28"/>
  <c r="V11" i="28"/>
  <c r="V12" i="28"/>
  <c r="V13" i="28"/>
  <c r="V14" i="28"/>
  <c r="V15" i="28"/>
  <c r="V16" i="28"/>
  <c r="W7" i="9"/>
  <c r="W6" i="9"/>
  <c r="W5" i="9"/>
  <c r="W4" i="9"/>
  <c r="K22" i="28"/>
  <c r="K23" i="28"/>
  <c r="K24" i="28" s="1"/>
  <c r="K25" i="28"/>
  <c r="K27" i="28"/>
  <c r="K29" i="28"/>
  <c r="K30" i="28"/>
  <c r="K31" i="28"/>
  <c r="K32" i="28"/>
  <c r="K33" i="28"/>
  <c r="K34" i="28"/>
  <c r="K35" i="28"/>
  <c r="U5" i="28"/>
  <c r="U6" i="28" s="1"/>
  <c r="U8" i="28"/>
  <c r="U10" i="28"/>
  <c r="U11" i="28"/>
  <c r="U12" i="28"/>
  <c r="U13" i="28"/>
  <c r="U14" i="28"/>
  <c r="U15" i="28"/>
  <c r="U16" i="28"/>
  <c r="T5" i="28"/>
  <c r="T6" i="28" s="1"/>
  <c r="U44" i="15"/>
  <c r="T8" i="28" s="1"/>
  <c r="T10" i="28"/>
  <c r="T11" i="28"/>
  <c r="T12" i="28"/>
  <c r="T13" i="28"/>
  <c r="T14" i="28"/>
  <c r="T15" i="28"/>
  <c r="T16" i="28"/>
  <c r="V33" i="14"/>
  <c r="U6" i="15"/>
  <c r="U7" i="15"/>
  <c r="U8" i="15"/>
  <c r="U9" i="15"/>
  <c r="U10" i="15"/>
  <c r="U13" i="15"/>
  <c r="U14" i="15"/>
  <c r="U15" i="15"/>
  <c r="U18" i="15"/>
  <c r="U21" i="15"/>
  <c r="U22" i="15"/>
  <c r="U23" i="15"/>
  <c r="U24" i="15"/>
  <c r="U27" i="15"/>
  <c r="U31" i="15"/>
  <c r="U32" i="15"/>
  <c r="U33" i="15"/>
  <c r="U34" i="15"/>
  <c r="U35" i="15"/>
  <c r="U36" i="15"/>
  <c r="U41" i="15"/>
  <c r="U43" i="15"/>
  <c r="U46" i="15"/>
  <c r="U49" i="15"/>
  <c r="U51" i="15"/>
  <c r="U52" i="15"/>
  <c r="U53" i="15"/>
  <c r="U54" i="15"/>
  <c r="U56" i="15"/>
  <c r="U60" i="15"/>
  <c r="U64" i="15"/>
  <c r="U66" i="15"/>
  <c r="U68" i="15"/>
  <c r="U70" i="15"/>
  <c r="U72" i="15"/>
  <c r="U73" i="15"/>
  <c r="U76" i="15"/>
  <c r="U77" i="15"/>
  <c r="U78" i="15"/>
  <c r="U79" i="15"/>
  <c r="U80" i="15"/>
  <c r="U82" i="15"/>
  <c r="U83" i="15"/>
  <c r="U84" i="15"/>
  <c r="U7" i="9"/>
  <c r="U6" i="9"/>
  <c r="U5" i="9"/>
  <c r="U4" i="9"/>
  <c r="U11" i="30"/>
  <c r="U19" i="30" s="1"/>
  <c r="O9" i="9"/>
  <c r="P9" i="9"/>
  <c r="Q9" i="9"/>
  <c r="R9" i="9"/>
  <c r="S9" i="9"/>
  <c r="T9" i="9"/>
  <c r="N9" i="9"/>
  <c r="R31" i="12"/>
  <c r="U31" i="12"/>
  <c r="S16" i="28"/>
  <c r="S15" i="28"/>
  <c r="S14" i="28"/>
  <c r="S13" i="28"/>
  <c r="S12" i="28"/>
  <c r="S11" i="28"/>
  <c r="S10" i="28"/>
  <c r="S5" i="28"/>
  <c r="S6" i="28" s="1"/>
  <c r="S8" i="28"/>
  <c r="T33" i="14"/>
  <c r="S10" i="29"/>
  <c r="T11" i="30"/>
  <c r="T19" i="30" s="1"/>
  <c r="AK25" i="30"/>
  <c r="AK24" i="30"/>
  <c r="AK23" i="30"/>
  <c r="AK22" i="30"/>
  <c r="AK21" i="30"/>
  <c r="AK20" i="30"/>
  <c r="AK17" i="30"/>
  <c r="AK16" i="30"/>
  <c r="AK15" i="30"/>
  <c r="AK14" i="30"/>
  <c r="AK13" i="30"/>
  <c r="AK12" i="30"/>
  <c r="AK5" i="30"/>
  <c r="AK6" i="30"/>
  <c r="AK7" i="30"/>
  <c r="AK8" i="30"/>
  <c r="AK9" i="30"/>
  <c r="AK4" i="30"/>
  <c r="R10" i="28"/>
  <c r="R12" i="28"/>
  <c r="R16" i="28"/>
  <c r="R5" i="28"/>
  <c r="R6" i="28" s="1"/>
  <c r="T9" i="19"/>
  <c r="T7" i="19"/>
  <c r="S33" i="14"/>
  <c r="R14" i="28"/>
  <c r="R15" i="28"/>
  <c r="R8" i="28"/>
  <c r="R13" i="28"/>
  <c r="R11" i="28"/>
  <c r="R10" i="29"/>
  <c r="S11" i="30"/>
  <c r="S19" i="30" s="1"/>
  <c r="J22" i="28"/>
  <c r="J23" i="28"/>
  <c r="J25" i="28"/>
  <c r="J30" i="28"/>
  <c r="J31" i="28"/>
  <c r="J32" i="28"/>
  <c r="J33" i="28"/>
  <c r="J34" i="28"/>
  <c r="J21" i="28"/>
  <c r="J20" i="28"/>
  <c r="Q5" i="28"/>
  <c r="Q6" i="28" s="1"/>
  <c r="Q10" i="28"/>
  <c r="Q11" i="28"/>
  <c r="Q12" i="28"/>
  <c r="Q13" i="28"/>
  <c r="Q14" i="28"/>
  <c r="Q15" i="28"/>
  <c r="Q16" i="28"/>
  <c r="J27" i="28"/>
  <c r="Q8" i="28"/>
  <c r="Q24" i="13"/>
  <c r="P5" i="28"/>
  <c r="P6" i="28" s="1"/>
  <c r="P8" i="28"/>
  <c r="P10" i="28"/>
  <c r="P11" i="28"/>
  <c r="P12" i="28"/>
  <c r="P13" i="28"/>
  <c r="P14" i="28"/>
  <c r="P15" i="28"/>
  <c r="P16" i="28"/>
  <c r="O16" i="28"/>
  <c r="O15" i="28"/>
  <c r="O14" i="28"/>
  <c r="O13" i="28"/>
  <c r="O12" i="28"/>
  <c r="O11" i="28"/>
  <c r="O10" i="28"/>
  <c r="O8" i="28"/>
  <c r="O5" i="28"/>
  <c r="O6" i="28" s="1"/>
  <c r="I35" i="28"/>
  <c r="H35" i="28"/>
  <c r="G35" i="28"/>
  <c r="F35" i="28"/>
  <c r="E35" i="28"/>
  <c r="D35" i="28"/>
  <c r="C35" i="28"/>
  <c r="C30" i="28"/>
  <c r="E30" i="28"/>
  <c r="F30" i="28"/>
  <c r="G30" i="28"/>
  <c r="H30" i="28"/>
  <c r="I30" i="28"/>
  <c r="D30" i="28"/>
  <c r="D11" i="28"/>
  <c r="E11" i="28"/>
  <c r="F11" i="28"/>
  <c r="G11" i="28"/>
  <c r="H11" i="28"/>
  <c r="I11" i="28"/>
  <c r="J11" i="28"/>
  <c r="K11" i="28"/>
  <c r="L11" i="28"/>
  <c r="M11" i="28"/>
  <c r="N11" i="28"/>
  <c r="C11" i="28"/>
  <c r="E29" i="28"/>
  <c r="D29" i="28"/>
  <c r="C29" i="28"/>
  <c r="I27" i="28"/>
  <c r="G27" i="28"/>
  <c r="H27" i="28"/>
  <c r="E27" i="28"/>
  <c r="F27" i="28"/>
  <c r="C27" i="28"/>
  <c r="D27" i="28"/>
  <c r="C8" i="28"/>
  <c r="D8" i="28"/>
  <c r="E8" i="28"/>
  <c r="F8" i="28"/>
  <c r="G8" i="28"/>
  <c r="H8" i="28"/>
  <c r="I8" i="28"/>
  <c r="J8" i="28"/>
  <c r="K8" i="28"/>
  <c r="L8" i="28"/>
  <c r="M8" i="28"/>
  <c r="N8" i="28"/>
  <c r="G26" i="28"/>
  <c r="E26" i="28"/>
  <c r="F26" i="28"/>
  <c r="D26" i="28"/>
  <c r="C26" i="28"/>
  <c r="G23" i="28"/>
  <c r="G24" i="28" s="1"/>
  <c r="H23" i="28"/>
  <c r="H24" i="28" s="1"/>
  <c r="I23" i="28"/>
  <c r="I24" i="28" s="1"/>
  <c r="F23" i="28"/>
  <c r="F24" i="28" s="1"/>
  <c r="E23" i="28"/>
  <c r="E24" i="28" s="1"/>
  <c r="D23" i="28"/>
  <c r="D24" i="28" s="1"/>
  <c r="C23" i="28"/>
  <c r="C24" i="28" s="1"/>
  <c r="C16" i="28"/>
  <c r="D16" i="28"/>
  <c r="E16" i="28"/>
  <c r="F16" i="28"/>
  <c r="G16" i="28"/>
  <c r="H16" i="28"/>
  <c r="I16" i="28"/>
  <c r="J16" i="28"/>
  <c r="K16" i="28"/>
  <c r="L16" i="28"/>
  <c r="M16" i="28"/>
  <c r="N16" i="28"/>
  <c r="C15" i="28"/>
  <c r="D15" i="28"/>
  <c r="E15" i="28"/>
  <c r="F15" i="28"/>
  <c r="G15" i="28"/>
  <c r="H15" i="28"/>
  <c r="I15" i="28"/>
  <c r="J15" i="28"/>
  <c r="K15" i="28"/>
  <c r="L15" i="28"/>
  <c r="M15" i="28"/>
  <c r="N15" i="28"/>
  <c r="C14" i="28"/>
  <c r="D14" i="28"/>
  <c r="E14" i="28"/>
  <c r="F14" i="28"/>
  <c r="G14" i="28"/>
  <c r="H14" i="28"/>
  <c r="I14" i="28"/>
  <c r="J14" i="28"/>
  <c r="K14" i="28"/>
  <c r="L14" i="28"/>
  <c r="M14" i="28"/>
  <c r="N14" i="28"/>
  <c r="C13" i="28"/>
  <c r="D13" i="28"/>
  <c r="E13" i="28"/>
  <c r="F13" i="28"/>
  <c r="G13" i="28"/>
  <c r="H13" i="28"/>
  <c r="I13" i="28"/>
  <c r="J13" i="28"/>
  <c r="K13" i="28"/>
  <c r="L13" i="28"/>
  <c r="M13" i="28"/>
  <c r="N13" i="28"/>
  <c r="D12" i="28"/>
  <c r="E12" i="28"/>
  <c r="F12" i="28"/>
  <c r="G12" i="28"/>
  <c r="H12" i="28"/>
  <c r="I12" i="28"/>
  <c r="J12" i="28"/>
  <c r="K12" i="28"/>
  <c r="L12" i="28"/>
  <c r="M12" i="28"/>
  <c r="N12" i="28"/>
  <c r="C12" i="28"/>
  <c r="D10" i="28"/>
  <c r="C10" i="28"/>
  <c r="F10" i="28"/>
  <c r="G10" i="28"/>
  <c r="H10" i="28"/>
  <c r="I10" i="28"/>
  <c r="J10" i="28"/>
  <c r="K10" i="28"/>
  <c r="L10" i="28"/>
  <c r="M10" i="28"/>
  <c r="N10" i="28"/>
  <c r="E10" i="28"/>
  <c r="N5" i="28"/>
  <c r="N6" i="28" s="1"/>
  <c r="M5" i="28"/>
  <c r="M6" i="28" s="1"/>
  <c r="L5" i="28"/>
  <c r="L6" i="28" s="1"/>
  <c r="K5" i="28"/>
  <c r="K6" i="28" s="1"/>
  <c r="J5" i="28"/>
  <c r="J6" i="28" s="1"/>
  <c r="I5" i="28"/>
  <c r="I6" i="28" s="1"/>
  <c r="H5" i="28"/>
  <c r="H6" i="28" s="1"/>
  <c r="G5" i="28"/>
  <c r="G6" i="28" s="1"/>
  <c r="F5" i="28"/>
  <c r="F6" i="28" s="1"/>
  <c r="E5" i="28"/>
  <c r="E6" i="28" s="1"/>
  <c r="D5" i="28"/>
  <c r="D6" i="28" s="1"/>
  <c r="C5" i="28"/>
  <c r="C6" i="28" s="1"/>
  <c r="C34" i="28"/>
  <c r="D34" i="28"/>
  <c r="E34" i="28"/>
  <c r="F34" i="28"/>
  <c r="G34" i="28"/>
  <c r="H34" i="28"/>
  <c r="I34" i="28"/>
  <c r="C33" i="28"/>
  <c r="D33" i="28"/>
  <c r="E33" i="28"/>
  <c r="F33" i="28"/>
  <c r="G33" i="28"/>
  <c r="H33" i="28"/>
  <c r="I33" i="28"/>
  <c r="C32" i="28"/>
  <c r="D32" i="28"/>
  <c r="E32" i="28"/>
  <c r="F32" i="28"/>
  <c r="G32" i="28"/>
  <c r="H32" i="28"/>
  <c r="I32" i="28"/>
  <c r="C31" i="28"/>
  <c r="I31" i="28"/>
  <c r="H31" i="28"/>
  <c r="G31" i="28"/>
  <c r="F31" i="28"/>
  <c r="E31" i="28"/>
  <c r="D31" i="28"/>
  <c r="I29" i="28"/>
  <c r="H29" i="28"/>
  <c r="G29" i="28"/>
  <c r="F29" i="28"/>
  <c r="I25" i="28"/>
  <c r="H25" i="28"/>
  <c r="G25" i="28"/>
  <c r="D25" i="28"/>
  <c r="C25" i="28"/>
  <c r="I22" i="28"/>
  <c r="H22" i="28"/>
  <c r="G22" i="28"/>
  <c r="C22" i="28"/>
  <c r="D22" i="28"/>
  <c r="E22" i="28"/>
  <c r="F22" i="28"/>
  <c r="L27" i="12"/>
  <c r="N6" i="14"/>
  <c r="B47" i="11"/>
  <c r="J29" i="28" l="1"/>
  <c r="J35" i="28"/>
  <c r="J24" i="28"/>
  <c r="K7" i="31"/>
</calcChain>
</file>

<file path=xl/sharedStrings.xml><?xml version="1.0" encoding="utf-8"?>
<sst xmlns="http://schemas.openxmlformats.org/spreadsheetml/2006/main" count="1534" uniqueCount="424">
  <si>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</si>
  <si>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</si>
  <si>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</si>
  <si>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</si>
  <si>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</si>
  <si>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</si>
  <si>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</si>
  <si>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</si>
  <si>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</si>
  <si>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</si>
  <si>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</si>
  <si>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</si>
  <si>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</si>
  <si>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Quantidade (KT)</t>
  </si>
  <si>
    <t>Materiais Ferrosos</t>
  </si>
  <si>
    <t>Materiais Carbonosos</t>
  </si>
  <si>
    <t>Total dos materiais não renováveis</t>
  </si>
  <si>
    <t>Total</t>
  </si>
  <si>
    <t>Nota: Lista abrangente com matérias primas utilizadas disponível no Relatório Sustentabilidade.</t>
  </si>
  <si>
    <t>Quantidade (T)</t>
  </si>
  <si>
    <t>Carga Metálica (Minério de Ferro)</t>
  </si>
  <si>
    <t>Carvão Mineral</t>
  </si>
  <si>
    <t>Coque e PCI</t>
  </si>
  <si>
    <t>Mineração</t>
  </si>
  <si>
    <t>Soluções</t>
  </si>
  <si>
    <t>-</t>
  </si>
  <si>
    <t xml:space="preserve"> </t>
  </si>
  <si>
    <t>Total de energia elétrica</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</si>
  <si>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</si>
  <si>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</si>
  <si>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</si>
  <si>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</si>
  <si>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</si>
  <si>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</si>
  <si>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</si>
  <si>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</si>
  <si>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</si>
  <si>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</si>
  <si>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</si>
  <si>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</si>
  <si>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</si>
  <si>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</si>
  <si>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</si>
  <si>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</si>
  <si>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</si>
  <si>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</si>
  <si>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</si>
  <si>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</si>
  <si>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</si>
  <si>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</si>
  <si>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</si>
  <si>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</si>
  <si>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</si>
  <si>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</si>
  <si>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</si>
  <si>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</si>
  <si>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</si>
  <si>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</si>
  <si>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</si>
  <si>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</si>
  <si>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</si>
  <si>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</si>
  <si>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</si>
  <si>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 xml:space="preserve">* Consolidado 70% do Resultado da Unigal   </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</si>
  <si>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</si>
  <si>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</si>
  <si>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</si>
  <si>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</si>
  <si>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</si>
  <si>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</si>
  <si>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</si>
  <si>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</si>
  <si>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</si>
  <si>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Provisão Devedores Duvidosos</t>
  </si>
  <si>
    <t>Outras  Despesas com Vendas</t>
  </si>
  <si>
    <t xml:space="preserve">      Gerais e Administrativas</t>
  </si>
  <si>
    <t xml:space="preserve">        Outras (Despesas) Receitas</t>
  </si>
  <si>
    <t>Programa Reintegra</t>
  </si>
  <si>
    <t>Provisões para Demandas Judiciais</t>
  </si>
  <si>
    <t>Resultado da Venda e Baixa de Ativos</t>
  </si>
  <si>
    <t>Resultado Venda de Energia Elétrica Excedente</t>
  </si>
  <si>
    <t>Acordo com Porto Sudeste (líquido de despesas)</t>
  </si>
  <si>
    <t>Créditos Fiscais PIS/COFINS Importação</t>
  </si>
  <si>
    <t>Outras (Despesas) Receitas Líquidas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</si>
  <si>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</si>
  <si>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</si>
  <si>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</si>
  <si>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</si>
  <si>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</si>
  <si>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</si>
  <si>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</si>
  <si>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</si>
  <si>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</si>
  <si>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</si>
  <si>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</si>
  <si>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</si>
  <si>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</si>
  <si>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</si>
  <si>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</si>
  <si>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</si>
  <si>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</si>
  <si>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</si>
  <si>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</si>
  <si>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</si>
  <si>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</si>
  <si>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</si>
  <si>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</si>
  <si>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Instrumentos financeiros</t>
  </si>
  <si>
    <t>Outros Títulos e Valores a Receber</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</si>
  <si>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</si>
  <si>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</si>
  <si>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</si>
  <si>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</si>
  <si>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</si>
  <si>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</si>
  <si>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</si>
  <si>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</si>
  <si>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</si>
  <si>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</si>
  <si>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</si>
  <si>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</si>
  <si>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</si>
  <si>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</si>
  <si>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</si>
  <si>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</si>
  <si>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</si>
  <si>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</si>
  <si>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</si>
  <si>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</si>
  <si>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</si>
  <si>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</si>
  <si>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</si>
  <si>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</si>
  <si>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</si>
  <si>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</si>
  <si>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Plano de Outorga de Opção de Ações </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</si>
  <si>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</si>
  <si>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</si>
  <si>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</si>
  <si>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</si>
  <si>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</si>
  <si>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</si>
  <si>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</si>
  <si>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</si>
  <si>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</si>
  <si>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</si>
  <si>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</si>
  <si>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</si>
  <si>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</si>
  <si>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</si>
  <si>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</si>
  <si>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</si>
  <si>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</si>
  <si>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</si>
  <si>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</si>
  <si>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</si>
  <si>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</si>
  <si>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</si>
  <si>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</si>
  <si>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</si>
  <si>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</si>
  <si>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</si>
  <si>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</si>
  <si>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</si>
  <si>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</si>
  <si>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</si>
  <si>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</si>
  <si>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</si>
  <si>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</si>
  <si>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</si>
  <si>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</si>
  <si>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</si>
  <si>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</si>
  <si>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</si>
  <si>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</si>
  <si>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</si>
  <si>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</si>
  <si>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</si>
  <si>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</si>
  <si>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</si>
  <si>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</si>
  <si>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</si>
  <si>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</si>
  <si>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</si>
  <si>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</si>
  <si>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</si>
  <si>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</si>
  <si>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</si>
  <si>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</si>
  <si>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</si>
  <si>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</si>
  <si>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</si>
  <si>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</si>
  <si>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</si>
  <si>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</si>
  <si>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</si>
  <si>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</si>
  <si>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</si>
  <si>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</si>
  <si>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</si>
  <si>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Mil Tons</t>
  </si>
  <si>
    <t>Estoques de aço</t>
  </si>
  <si>
    <t>Dias em Estoque</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</si>
  <si>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</si>
  <si>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</si>
  <si>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</si>
  <si>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</si>
  <si>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</si>
  <si>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</si>
  <si>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</si>
  <si>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</si>
  <si>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</si>
  <si>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</si>
  <si>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</si>
  <si>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</si>
  <si>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</si>
  <si>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</si>
  <si>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Créditos Fiscais ICMS na base de cálculo PIS e COFINS</t>
  </si>
  <si>
    <t>Empréstimos compulsórios Eletrobras</t>
  </si>
  <si>
    <t>Provisão para perda - Depósitos judiciais</t>
  </si>
  <si>
    <t>Provisão creditos ICMS</t>
  </si>
  <si>
    <t>Impairment de Ativos</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</si>
  <si>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</si>
  <si>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</si>
  <si>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</si>
  <si>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</si>
  <si>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</si>
  <si>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</si>
  <si>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</si>
  <si>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</si>
  <si>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</si>
  <si>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</si>
  <si>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</si>
  <si>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</si>
  <si>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</si>
  <si>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</si>
  <si>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</si>
  <si>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</si>
  <si>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</si>
  <si>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</si>
  <si>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</si>
  <si>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</si>
  <si>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</si>
  <si>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</si>
  <si>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</si>
  <si>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</si>
  <si>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</si>
  <si>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</si>
  <si>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</si>
  <si>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</si>
  <si>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Peso total</t>
  </si>
  <si>
    <t>2T19</t>
  </si>
  <si>
    <t>Mil toneladas</t>
  </si>
  <si>
    <t>Vendas</t>
  </si>
  <si>
    <t>Gerais e Administrativas</t>
  </si>
  <si>
    <t>Outras (Despesas) Receitas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</si>
  <si>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</si>
  <si>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</si>
  <si>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</si>
  <si>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</si>
  <si>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</si>
  <si>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</si>
  <si>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</si>
  <si>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</si>
  <si>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</si>
  <si>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</si>
  <si>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</si>
  <si>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Valores a receber - Eletrobras</t>
  </si>
  <si>
    <t xml:space="preserve">   Lucro (Prejuízo) Líquido do Exercício</t>
  </si>
  <si>
    <t xml:space="preserve">   Ingressos de Empréstimos, Financiamentos e Debêntures</t>
  </si>
  <si>
    <t>4T19</t>
  </si>
  <si>
    <t>Placas Adquiridas Processadas</t>
  </si>
  <si>
    <t>Siderurgia*</t>
  </si>
  <si>
    <t>Despesas com Ociosidade (Inclui depreciação)</t>
  </si>
  <si>
    <t>Encargos judiciais</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</si>
  <si>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</si>
  <si>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</si>
  <si>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</si>
  <si>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</si>
  <si>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</si>
  <si>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</si>
  <si>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</si>
  <si>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</si>
  <si>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</si>
  <si>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Recuperação  de gastos com sinistro </t>
  </si>
  <si>
    <t xml:space="preserve">   Passivo Atuarial Recebido - Plano PB1</t>
  </si>
  <si>
    <t>Proventos pagos (R$ mi)</t>
  </si>
  <si>
    <t>Cotação das ações PNA (USIM5)</t>
  </si>
  <si>
    <t>Cotação das ações ON (USIM3)</t>
  </si>
  <si>
    <t>Dividend Yield (%)</t>
  </si>
  <si>
    <t>LPA</t>
  </si>
  <si>
    <t>P/L</t>
  </si>
  <si>
    <t>ROE (%)</t>
  </si>
  <si>
    <t>Payout Ratio (%)</t>
  </si>
  <si>
    <t>EV/EBITDA Ajustado</t>
  </si>
  <si>
    <t>Dívida Líquida/EBITDA Ajustado</t>
  </si>
  <si>
    <t>Margem EBITDA Ajustado (%)</t>
  </si>
  <si>
    <t>Margem Operacional (%)</t>
  </si>
  <si>
    <t>Margem Bruta (%)</t>
  </si>
  <si>
    <t>P/VPA</t>
  </si>
  <si>
    <t>ROIC (%)</t>
  </si>
  <si>
    <t>NA</t>
  </si>
  <si>
    <t>Variação da Receita Líquida (%)</t>
  </si>
  <si>
    <t>Variação de EBITDA Ajustado (%)</t>
  </si>
  <si>
    <t>Consumo de Energia Elétrica (GJ)</t>
  </si>
  <si>
    <t>2T20</t>
  </si>
  <si>
    <t>Provisão para contratos onerosos</t>
  </si>
  <si>
    <t>Provisão processo de reestruturação - Usiminas Mecânica</t>
  </si>
  <si>
    <t>Caixa e Equivalentes de Caixa</t>
  </si>
  <si>
    <t>Instrumentos Financeiros</t>
  </si>
  <si>
    <t xml:space="preserve">   Fornecedores</t>
  </si>
  <si>
    <t xml:space="preserve">   Valor Recebido pela Alienação de Imobilizado</t>
  </si>
  <si>
    <t xml:space="preserve">     Compras de Software</t>
  </si>
  <si>
    <t>3T20</t>
  </si>
  <si>
    <t>Minério de Ferro e Pelotas</t>
  </si>
  <si>
    <t>Carvão e Coque</t>
  </si>
  <si>
    <t>Mão de Obra</t>
  </si>
  <si>
    <t>Demais Matérias Primas</t>
  </si>
  <si>
    <t>Energia e Combustíveis</t>
  </si>
  <si>
    <t>Manutenção/Custos Gerais</t>
  </si>
  <si>
    <t>Depreciação e ociosidade</t>
  </si>
  <si>
    <t>Custo do Produto Produzido (CPP - %)</t>
  </si>
  <si>
    <t>CPP</t>
  </si>
  <si>
    <t>4T20</t>
  </si>
  <si>
    <t>Vendas Totais (mil toneladas)</t>
  </si>
  <si>
    <t>Placas</t>
  </si>
  <si>
    <t>Mercado Interno (mil toneladas)</t>
  </si>
  <si>
    <t>Exportações (mil toneladas)</t>
  </si>
  <si>
    <t>*Dados disponibilizados com defasagem de um trimestre</t>
  </si>
  <si>
    <t>Obs: Demais matérias primas consistem de: Placas Adquiridas Processadas, Fundentes, Ligas, dentre outros.</t>
  </si>
  <si>
    <t>Minério de Ferro</t>
  </si>
  <si>
    <t>1T21</t>
  </si>
  <si>
    <t>Lucro ou Prejuízo Bruto</t>
  </si>
  <si>
    <t>Receitas e Despesas Operacionais</t>
  </si>
  <si>
    <t>2T21</t>
  </si>
  <si>
    <t>Provisão para crédito de liquidação duvidosa</t>
  </si>
  <si>
    <t>Outras Receitas e Despesas</t>
  </si>
  <si>
    <t>Despesas com custas e obrigações judiciais</t>
  </si>
  <si>
    <t>Provisão créditos ICMS</t>
  </si>
  <si>
    <t xml:space="preserve">Outras (Despesas) Receitas </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</si>
  <si>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</si>
  <si>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</si>
  <si>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</si>
  <si>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</si>
  <si>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</si>
  <si>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Ajustes de Estoques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</si>
  <si>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</si>
  <si>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</si>
  <si>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</si>
  <si>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</si>
  <si>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</si>
  <si>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</si>
  <si>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</si>
  <si>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Empresas Ligadas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</si>
  <si>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</si>
  <si>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</si>
  <si>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</si>
  <si>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</si>
  <si>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</si>
  <si>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</si>
  <si>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</si>
  <si>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</si>
  <si>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</si>
  <si>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</si>
  <si>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</si>
  <si>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</si>
  <si>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América do Sul e Central</t>
  </si>
  <si>
    <t>ÁSIA</t>
  </si>
  <si>
    <t>Argentina</t>
  </si>
  <si>
    <t>Chile</t>
  </si>
  <si>
    <t>Equador</t>
  </si>
  <si>
    <t>República Dominicana</t>
  </si>
  <si>
    <t>Paraguai</t>
  </si>
  <si>
    <t>Brasil</t>
  </si>
  <si>
    <t>Venezuela</t>
  </si>
  <si>
    <t>Uruguai</t>
  </si>
  <si>
    <t>Colômbia</t>
  </si>
  <si>
    <t>Alemanha</t>
  </si>
  <si>
    <t>Reino Unido</t>
  </si>
  <si>
    <t>Portugal</t>
  </si>
  <si>
    <t>Bélgica</t>
  </si>
  <si>
    <t>Espanha</t>
  </si>
  <si>
    <t>Suíça</t>
  </si>
  <si>
    <t>Suécia</t>
  </si>
  <si>
    <t>Países Baixos</t>
  </si>
  <si>
    <t>Dinamarca</t>
  </si>
  <si>
    <t>Itália</t>
  </si>
  <si>
    <t>Finlândia</t>
  </si>
  <si>
    <t>França</t>
  </si>
  <si>
    <t>América do Norte</t>
  </si>
  <si>
    <t>Europa</t>
  </si>
  <si>
    <t>Estados Unidos</t>
  </si>
  <si>
    <t>Canadá</t>
  </si>
  <si>
    <t>Turquia</t>
  </si>
  <si>
    <t>Japão</t>
  </si>
  <si>
    <t>China</t>
  </si>
  <si>
    <t>Cingapura</t>
  </si>
  <si>
    <t>Líbano</t>
  </si>
  <si>
    <t>Coréia do Sul</t>
  </si>
  <si>
    <t>Hong Kong</t>
  </si>
  <si>
    <t>África</t>
  </si>
  <si>
    <t>Marrocos</t>
  </si>
  <si>
    <t>África do Sul</t>
  </si>
  <si>
    <t>Nigéria</t>
  </si>
  <si>
    <t>Bolívia</t>
  </si>
  <si>
    <t>México</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</si>
  <si>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</si>
  <si>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</si>
  <si>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</si>
  <si>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</si>
  <si>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</si>
  <si>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</si>
  <si>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</si>
  <si>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</si>
  <si>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CPP/ton</t>
  </si>
  <si>
    <t>CPV/ton</t>
  </si>
  <si>
    <t>Efeitos das menores disponibilidades das Coquerias</t>
  </si>
  <si>
    <t>Nota: Valores aproximados baseados nos consumos registrados pela Usiminas ao longo do ano de 2021</t>
  </si>
  <si>
    <t>*Dados referentes ao ano de 2021</t>
  </si>
  <si>
    <t>4T22</t>
  </si>
  <si>
    <t xml:space="preserve">  Pagamento de passivos de arrendamento</t>
  </si>
  <si>
    <t>1T23</t>
  </si>
  <si>
    <t>1T23*</t>
  </si>
  <si>
    <t xml:space="preserve">   Participações nos Resultados de Subsidiárias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</si>
</sst>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_);_(* \(#,##0\);_(* &quot;-&quot;??_);_(@_)"/>
    <numFmt numFmtId="173" formatCode="[$-416]d\-mmm\-yy;@"/>
    <numFmt numFmtId="174" formatCode="General_)"/>
    <numFmt numFmtId="175" formatCode="#,##0.0"/>
    <numFmt numFmtId="176" formatCode="#,##0.0;\-#,##0.0"/>
    <numFmt numFmtId="177" formatCode="0_ ;\-0\ "/>
    <numFmt numFmtId="178" formatCode="[$-416]mmm\-yy;@"/>
    <numFmt numFmtId="179" formatCode="&quot;R$&quot;* #,##0\ ;&quot;R$&quot;* \(#,##0\)"/>
    <numFmt numFmtId="180" formatCode="_(\¥* #,##0_);\(\¥#,##0\)"/>
    <numFmt numFmtId="181" formatCode="_-* #,##0.00\ &quot;Pts&quot;_-;\-* #,##0.00\ &quot;Pts&quot;_-;_-* &quot;-&quot;??\ &quot;Pts&quot;_-;_-@_-"/>
    <numFmt numFmtId="182" formatCode="_-* #,##0.00\ _D_M_-;\-* #,##0.00\ _D_M_-;_-* &quot;-&quot;??\ _D_M_-;_-@_-"/>
    <numFmt numFmtId="183" formatCode="_(&quot;R$&quot;* #,##0.0_);_(&quot;R$&quot;* \(#,##0.0\);_(&quot;R$&quot;* &quot;-&quot;??_);_(@_)"/>
    <numFmt numFmtId="184" formatCode="0.0000000"/>
    <numFmt numFmtId="185" formatCode="\(0\)"/>
    <numFmt numFmtId="186" formatCode="_(&quot;R$&quot;* #,##0.000_);_(&quot;R$&quot;* \(#,##0.000\);_(&quot;R$&quot;* &quot;-&quot;_);_(@_)"/>
    <numFmt numFmtId="187" formatCode="_-* #,##0.000_-;\-* #,##0.000_-;_-* &quot;-&quot;??_-;_-@_-"/>
    <numFmt numFmtId="188" formatCode="_(&quot;R$&quot;* #,##0.0000_);_(&quot;R$&quot;* \(#,##0.0000\);_(&quot;R$&quot;* &quot;-&quot;_);_(@_)"/>
    <numFmt numFmtId="189" formatCode="_(&quot;R$&quot;* #,##0_);_(&quot;R$&quot;* \(#,##0\);_(&quot;R$&quot;* &quot;-&quot;??_);_(@_)"/>
    <numFmt numFmtId="190" formatCode="\(\2.\2%\)"/>
    <numFmt numFmtId="191" formatCode="_(&quot;£&quot;* #,##0_);_(&quot;£&quot;* \(#,##0\);_(&quot;£&quot;* &quot;-&quot;_);_(@_)"/>
    <numFmt numFmtId="192" formatCode="&quot;\&quot;#,##0;&quot;\&quot;\-#,##0"/>
    <numFmt numFmtId="193" formatCode="&quot;\&quot;#,##0;[Red]&quot;\&quot;\-#,##0"/>
    <numFmt numFmtId="194" formatCode="&quot;R$&quot;#,##0.0_);\(&quot;R$&quot;#,##0.0\)"/>
    <numFmt numFmtId="195" formatCode="&quot;\&quot;#,##0.00;&quot;\&quot;\-#,##0.00"/>
    <numFmt numFmtId="196" formatCode="0.000000000"/>
    <numFmt numFmtId="197" formatCode="&quot;R$&quot;* #,##0.0\ ;&quot;R$&quot;* \(#,##0.0\)"/>
    <numFmt numFmtId="198" formatCode="&quot;R$&quot;* #,##0.00\ ;&quot;R$&quot;* \(#,##0.00\)"/>
    <numFmt numFmtId="199" formatCode="0.0000"/>
    <numFmt numFmtId="200" formatCode="_ &quot;\&quot;* #,##0_ ;_ &quot;\&quot;* \-#,##0_ ;_ &quot;\&quot;* &quot;-&quot;_ ;_ @_ "/>
    <numFmt numFmtId="201" formatCode="\(??0%"/>
    <numFmt numFmtId="202" formatCode="0_)"/>
    <numFmt numFmtId="203" formatCode=";;;"/>
    <numFmt numFmtId="204" formatCode="\r\/m\/d"/>
    <numFmt numFmtId="205" formatCode="mmmddyyyy"/>
    <numFmt numFmtId="206" formatCode="mmmm\ dd\,\ yyyy"/>
    <numFmt numFmtId="207" formatCode="hh\:mm"/>
    <numFmt numFmtId="208" formatCode="\$#,##0.00_);\(\$#,##0.00\)"/>
    <numFmt numFmtId="209" formatCode="mmm\.yy"/>
    <numFmt numFmtId="210" formatCode="#,##0\ ;\(#,##0\);\-\ "/>
    <numFmt numFmtId="211" formatCode="@&quot; ($)&quot;"/>
    <numFmt numFmtId="212" formatCode="@&quot; (%)&quot;"/>
    <numFmt numFmtId="213" formatCode="@&quot; (£)&quot;"/>
    <numFmt numFmtId="214" formatCode="@&quot; (¥)&quot;"/>
    <numFmt numFmtId="215" formatCode="@&quot; (€)&quot;"/>
    <numFmt numFmtId="216" formatCode="@&quot; (x)&quot;"/>
    <numFmt numFmtId="217" formatCode="0.0_)\%;\(0.0\)\%;0.0_)\%;@_)_%"/>
    <numFmt numFmtId="218" formatCode="#,##0.0_)_%;\(#,##0.0\)_%;0.0_)_%;@_)_%"/>
    <numFmt numFmtId="219" formatCode="#,##0.0_x;\(#,##0.0\)_x;0.0_x;@_x"/>
    <numFmt numFmtId="220" formatCode="#,##0.0_x_x;\(#,##0.0\)_x_x;0.0_x_x;@_x_x"/>
    <numFmt numFmtId="221" formatCode="#,##0.0_x_x_x;\(#,##0.0\)_x_x_x;0.0_x_x_x;@_x_x_x"/>
    <numFmt numFmtId="222" formatCode="#,##0.0_x_x_x_x;\(#,##0.0\)_x_x_x_x;0.0_x_x_x_x;@_x_x_x_x"/>
    <numFmt numFmtId="223" formatCode="#,##0.00_x;\(#,##0.00\)_x;0.00_x;@_x"/>
    <numFmt numFmtId="224" formatCode="#,##0.00_x_x;\(#,##0.00\)_x_x;0_x_x;@_x_x"/>
    <numFmt numFmtId="225" formatCode="#,##0.00_x_x_x;\(#,##0.00\)_x_x_x;0.00_x_x_x;@_x_x_x"/>
    <numFmt numFmtId="226" formatCode="#,##0.00_x_x_x_x;\(#,##0.00\)_x_x_x_x;0.00_x_x_x_x;@_x_x_x_x"/>
    <numFmt numFmtId="227" formatCode="#,##0_x;\(#,##0\)_x;0_x;@_x"/>
    <numFmt numFmtId="228" formatCode="#,##0_x_x;\(#,##0\)_x_x;0_x_x;@_x_x"/>
    <numFmt numFmtId="229" formatCode="#,##0_x_x_x;\(#,##0\)_x_x_x;0_x_x_x;@_x_x_x"/>
    <numFmt numFmtId="230" formatCode="#,##0_x_x_x_x;\(#,##0\)_x_x_x_x;0_x_x_x_x;@_x_x_x_x"/>
    <numFmt numFmtId="231" formatCode="_([$R$ -416]* #,##0.00_);_([$R$ -416]* \(#,##0.00\);_([$R$ -416]* &quot;-&quot;??_);_(@_)"/>
    <numFmt numFmtId="232" formatCode="0.000000"/>
    <numFmt numFmtId="233" formatCode="#,##0.0_);\(#,##0.0\)"/>
    <numFmt numFmtId="234" formatCode="#,##0.0_);\(#,##0.0\);#,##0.0_);@_)"/>
    <numFmt numFmtId="235" formatCode="&quot;R$ &quot;#,##0.00_);[Red]\(&quot;R$ &quot;#,##0.00\)"/>
    <numFmt numFmtId="236" formatCode="&quot;L.&quot;_(#,##0.00_);&quot;L.&quot;\(#,##0.00\)"/>
    <numFmt numFmtId="237" formatCode="&quot;R$&quot;_(#,##0.00_);&quot;R$&quot;\(#,##0.00\);&quot;R$&quot;_(0.00_);@_)"/>
    <numFmt numFmtId="238" formatCode="&quot;£&quot;_(#,##0.00_);&quot;£&quot;\(#,##0.00\)"/>
    <numFmt numFmtId="239" formatCode="&quot;£&quot;_(#,##0.00_);&quot;£&quot;\(#,##0.00\);&quot;£&quot;_(0.00_);@_)"/>
    <numFmt numFmtId="240" formatCode="&quot;R$&quot;_(#,##0.00_);&quot;R$&quot;\(#,##0.00\)"/>
    <numFmt numFmtId="241" formatCode="&quot;R$&quot;#,##0.0;\(&quot;R$&quot;#,##0.0\)"/>
    <numFmt numFmtId="242" formatCode="#,##0.00_);\(#,##0.00\);0.00_);@_)"/>
    <numFmt numFmtId="243" formatCode="\€_(#,##0.00_);\€\(#,##0.00\);\€_(0.00_);@_)"/>
    <numFmt numFmtId="244" formatCode="#,##0.0_)\x;\(#,##0.0\)\x"/>
    <numFmt numFmtId="245" formatCode="#,##0.0_)\x;\(#,##0.0\)\x;0.0_)\x;@_)_x"/>
    <numFmt numFmtId="246" formatCode="#,##0_)\x;\(#,##0\)\x;0_)\x;@_)_x"/>
    <numFmt numFmtId="247" formatCode="#,##0.0_)_x;\(#,##0.0\)_x"/>
    <numFmt numFmtId="248" formatCode="#,##0.0_)_x;\(#,##0.0\)_x;0.0_)_x;@_)_x"/>
    <numFmt numFmtId="249" formatCode="#,##0_)_x;\(#,##0\)_x;0_)_x;@_)_x"/>
    <numFmt numFmtId="250" formatCode="0.0_)\%;\(0.0\)\%"/>
    <numFmt numFmtId="251" formatCode="#,##0.0_)_%;\(#,##0.0\)_%"/>
    <numFmt numFmtId="252" formatCode="_(&quot;R$&quot;* #,##0.00_);_(&quot;R$&quot;* \(#,##0.00\);_(&quot;R$&quot;* &quot;-&quot;_);_(@_)"/>
    <numFmt numFmtId="253" formatCode="0.00_);[Red]\(0.00\)"/>
    <numFmt numFmtId="254" formatCode="\£\ #,##0_);[Red]\(\£\ #,##0\)"/>
    <numFmt numFmtId="255" formatCode="_(\£* #,##0_);_(\£* \(#,##0\);_(\£* &quot;-&quot;_);_(@_)"/>
    <numFmt numFmtId="256" formatCode="_(\£* #,##0.0_);_(\£* \(#,##0.0\);_(\£* &quot;-&quot;_);_(@_)"/>
    <numFmt numFmtId="257" formatCode="_(\£* #,##0.00_);_(\£* \(#,##0.00\);_(\£* &quot;-&quot;_);_(@_)"/>
    <numFmt numFmtId="258" formatCode="_(* #,##0\p_);_(* \(#,##0\p\);_(* &quot;-&quot;\ \p_);_(@_)"/>
    <numFmt numFmtId="259" formatCode="_(* #,##0.00\p_);_(* \(#,##0.00\p\);_(* &quot;-&quot;\ \p_);_(@_)"/>
    <numFmt numFmtId="260" formatCode="\£#,##0.00"/>
    <numFmt numFmtId="261" formatCode="\¥\ #,##0_);[Red]\(\¥\ #,##0\)"/>
    <numFmt numFmtId="262" formatCode="#,"/>
    <numFmt numFmtId="263" formatCode="&quot;\&quot;#,##0.00;[Red]&quot;\&quot;\-#,##0.00"/>
    <numFmt numFmtId="264" formatCode="#,##0.0;\(#,##0.0\);\-"/>
    <numFmt numFmtId="265" formatCode="#,##0.0&quot; F&quot;;\(#,##0.0&quot; F&quot;\);\-"/>
    <numFmt numFmtId="266" formatCode="0.0%;\(0.0%\);\-"/>
    <numFmt numFmtId="267" formatCode="\ "/>
    <numFmt numFmtId="268" formatCode="0.00\x"/>
    <numFmt numFmtId="269" formatCode="0.0\x"/>
    <numFmt numFmtId="270" formatCode="#,##0.0_);[Red]\(#,##0.0\)"/>
    <numFmt numFmtId="271" formatCode="0.0\ \x;\ \(0.0\ \x\)"/>
    <numFmt numFmtId="272" formatCode="0.00000000000000"/>
    <numFmt numFmtId="273" formatCode="[&lt;=9999999]###\-####;\(###\)\ ###\-####"/>
    <numFmt numFmtId="274" formatCode="_(* #,##0.0000_);_(* \(#,##0.0000\);_(* &quot;-&quot;??_);_(@_)"/>
    <numFmt numFmtId="275" formatCode="&quot;R$&quot;#,##0;&quot;R$&quot;\(#,##0\);&quot;R$&quot;&quot;-&quot;"/>
    <numFmt numFmtId="276" formatCode="&quot;R$&quot;\ #,##0"/>
    <numFmt numFmtId="277" formatCode="0.000&quot;%&quot;"/>
    <numFmt numFmtId="278" formatCode="&quot;R$&quot;* ##0.0\ ;&quot;R$&quot;* \(##0.0\);&quot;R$&quot;* &quot;N/A &quot;"/>
    <numFmt numFmtId="279" formatCode="#,##0_);[Red]\ \(#,##0\)"/>
    <numFmt numFmtId="280" formatCode="\$\ #,##0.00_);[Red]\$\(#,##0.00\);\$\ \ \ \-\ \ "/>
    <numFmt numFmtId="281" formatCode="0.00000"/>
    <numFmt numFmtId="282" formatCode="_ * #,##0.00_)\ _$_ ;_ * \(#,##0.00\)\ _$_ ;_ * &quot;-&quot;??_)\ _$_ ;_ @_ "/>
    <numFmt numFmtId="283" formatCode="&quot;£&quot;#,##0;\-&quot;£&quot;#,##0"/>
    <numFmt numFmtId="284" formatCode="_(&quot;R$&quot;* #,##0_);_(&quot;R$&quot;* \(#,##0\);_(&quot;R$&quot;* &quot;0&quot;_);_(@_)"/>
    <numFmt numFmtId="285" formatCode="0.000%"/>
    <numFmt numFmtId="286" formatCode="0.0_);[Red]\(0.0\)"/>
    <numFmt numFmtId="287" formatCode="###\-###\-####"/>
    <numFmt numFmtId="288" formatCode="#,##0.00000;[Red]\-#,##0.00000"/>
    <numFmt numFmtId="289" formatCode="&quot;R$&quot;#,##0.00\ ;&quot;R$&quot;* \(#,##0.00\);&quot;R$&quot;* \-\ \ "/>
    <numFmt numFmtId="290" formatCode="0\ %\ "/>
    <numFmt numFmtId="291" formatCode="#,##0;\(#,##0\);\-"/>
    <numFmt numFmtId="292" formatCode="#,##0&quot; MF&quot;;\(#,##0&quot; MF&quot;\);\-"/>
    <numFmt numFmtId="293" formatCode="mmmm\-yy"/>
    <numFmt numFmtId="294" formatCode="0.00;[Red]0.00"/>
    <numFmt numFmtId="295" formatCode="00000000"/>
    <numFmt numFmtId="296" formatCode="\ \ \ @"/>
    <numFmt numFmtId="297" formatCode="0_);[Red]\(0\)"/>
    <numFmt numFmtId="298" formatCode="_-&quot;R$ &quot;* #,##0_-;\-&quot;R$ &quot;* #,##0_-;_-&quot;R$ &quot;* &quot;-&quot;_-;_-@_-"/>
    <numFmt numFmtId="299" formatCode="_-&quot;R$ &quot;* #,##0.00_-;\-&quot;R$ &quot;* #,##0.00_-;_-&quot;R$ &quot;* &quot;-&quot;??_-;_-@_-"/>
    <numFmt numFmtId="300" formatCode="#,#00"/>
    <numFmt numFmtId="301" formatCode="_ * #,##0_ ;_ * \-#,##0_ ;_ * &quot;-&quot;_ ;_ @_ "/>
    <numFmt numFmtId="302" formatCode="_ * #,##0.00_ ;_ * \-#,##0.00_ ;_ * &quot;-&quot;??_ ;_ @_ "/>
    <numFmt numFmtId="303" formatCode="_-* #,##0\ &quot;DM&quot;_-;\-* #,##0\ &quot;DM&quot;_-;_-* &quot;-&quot;\ &quot;DM&quot;_-;_-@_-"/>
    <numFmt numFmtId="304" formatCode="_-* #,##0.00\ &quot;DM&quot;_-;\-* #,##0.00\ &quot;DM&quot;_-;_-* &quot;-&quot;??\ &quot;DM&quot;_-;_-@_-"/>
    <numFmt numFmtId="305" formatCode="&quot;R$ &quot;#,##0_);\(&quot;R$ &quot;#,##0\)"/>
    <numFmt numFmtId="306" formatCode="#,##0.0000_);\(#,##0.0000\)"/>
    <numFmt numFmtId="307" formatCode="%#,#00"/>
    <numFmt numFmtId="308" formatCode="#.##000"/>
    <numFmt numFmtId="309" formatCode="#\ ###\ ###\ ##0\ "/>
    <numFmt numFmtId="310" formatCode="_-* #,##0\ _D_M_-;\-* #,##0\ _D_M_-;_-* &quot;-&quot;\ _D_M_-;_-@_-"/>
    <numFmt numFmtId="311" formatCode="_(&quot;R$ &quot;* #,##0.0_);_(&quot;R$ &quot;* \(#,##0.0\);_(&quot;R$ &quot;* &quot;-&quot;??_);_(@_)"/>
    <numFmt numFmtId="312" formatCode="_(* #,##0.000_);_(* \(#,##0.000\);_(* &quot;-&quot;??_);_(@_)"/>
  </numFmts>
  <fonts count="134">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color rgb="FFFF0000"/>
      <name val="Arial"/>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8"/>
      <name val="Calibri"/>
      <family val="2"/>
      <scheme val="minor"/>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2"/>
      <name val="Trebuchet MS"/>
      <family val="2"/>
    </font>
    <font>
      <b/>
      <sz val="12"/>
      <name val="Trebuchet MS"/>
      <family val="2"/>
    </font>
    <font>
      <sz val="16"/>
      <color rgb="FFFFFFFF"/>
      <name val="Trebuchet MS"/>
      <family val="2"/>
    </font>
    <font>
      <sz val="16"/>
      <color rgb="FF000000"/>
      <name val="Trebuchet MS"/>
      <family val="2"/>
    </font>
    <font>
      <b/>
      <sz val="11"/>
      <color theme="0"/>
      <name val="Trebuchet MS"/>
      <family val="2"/>
    </font>
  </fonts>
  <fills count="106">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0093DD"/>
        <bgColor rgb="FF000000"/>
      </patternFill>
    </fill>
    <fill>
      <patternFill patternType="solid">
        <fgColor rgb="FFFFFFFF"/>
        <bgColor rgb="FF000000"/>
      </patternFill>
    </fill>
    <fill>
      <patternFill patternType="solid">
        <fgColor theme="0"/>
        <bgColor rgb="FF000000"/>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right/>
      <top style="thin">
        <color indexed="55"/>
      </top>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style="thin">
        <color theme="4" tint="0.39997558519241921"/>
      </top>
      <bottom style="thin">
        <color indexed="64"/>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s>
  <cellStyleXfs count="63445">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6" fillId="0" borderId="0"/>
    <xf numFmtId="0" fontId="26" fillId="0" borderId="0"/>
    <xf numFmtId="170" fontId="26" fillId="0" borderId="0" applyFont="0" applyFill="0" applyBorder="0" applyAlignment="0" applyProtection="0"/>
    <xf numFmtId="9" fontId="26" fillId="0" borderId="0" applyFont="0" applyFill="0" applyBorder="0" applyAlignment="0" applyProtection="0"/>
    <xf numFmtId="164" fontId="26" fillId="0" borderId="0" applyFont="0" applyFill="0" applyBorder="0" applyAlignment="0" applyProtection="0"/>
    <xf numFmtId="170" fontId="38" fillId="0" borderId="0" applyFont="0" applyFill="0" applyBorder="0" applyAlignment="0" applyProtection="0"/>
    <xf numFmtId="174" fontId="45" fillId="0" borderId="0"/>
    <xf numFmtId="40" fontId="50" fillId="0" borderId="0" applyFont="0" applyFill="0" applyBorder="0" applyAlignment="0" applyProtection="0"/>
    <xf numFmtId="0" fontId="51" fillId="0" borderId="0"/>
    <xf numFmtId="9"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51" fillId="0" borderId="0"/>
    <xf numFmtId="164" fontId="26" fillId="0" borderId="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51" fillId="0" borderId="0"/>
    <xf numFmtId="178" fontId="51" fillId="0" borderId="0"/>
    <xf numFmtId="179" fontId="51" fillId="0" borderId="0" applyFont="0" applyFill="0" applyBorder="0" applyAlignment="0" applyProtection="0"/>
    <xf numFmtId="0" fontId="51" fillId="0" borderId="0" applyFont="0" applyFill="0" applyBorder="0" applyProtection="0">
      <alignment horizontal="right"/>
    </xf>
    <xf numFmtId="18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5" fontId="51" fillId="0" borderId="0" applyFont="0" applyFill="0" applyBorder="0" applyAlignment="0" applyProtection="0"/>
    <xf numFmtId="186"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2" fontId="51" fillId="0" borderId="0" applyFont="0" applyFill="0" applyBorder="0" applyAlignment="0" applyProtection="0"/>
    <xf numFmtId="187"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9"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2"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184"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81"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79" fontId="51" fillId="0" borderId="0" applyFont="0" applyFill="0" applyBorder="0" applyAlignment="0" applyProtection="0"/>
    <xf numFmtId="191" fontId="51" fillId="0" borderId="0" applyFont="0" applyFill="0" applyBorder="0" applyAlignment="0" applyProtection="0"/>
    <xf numFmtId="181"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2" fontId="51" fillId="0" borderId="0" applyFont="0" applyFill="0" applyBorder="0" applyAlignment="0" applyProtection="0"/>
    <xf numFmtId="188" fontId="51" fillId="0" borderId="0" applyFont="0" applyFill="0" applyBorder="0" applyAlignment="0" applyProtection="0"/>
    <xf numFmtId="182" fontId="51" fillId="0" borderId="0" applyFont="0" applyFill="0" applyBorder="0" applyAlignment="0" applyProtection="0"/>
    <xf numFmtId="181" fontId="51" fillId="0" borderId="0" applyFont="0" applyFill="0" applyBorder="0" applyAlignment="0" applyProtection="0"/>
    <xf numFmtId="0" fontId="51" fillId="0" borderId="0" applyFont="0" applyFill="0" applyBorder="0" applyAlignment="0" applyProtection="0"/>
    <xf numFmtId="192" fontId="51" fillId="0" borderId="0" applyFont="0" applyFill="0" applyBorder="0" applyAlignment="0" applyProtection="0"/>
    <xf numFmtId="193" fontId="51" fillId="0" borderId="0" applyFont="0" applyFill="0" applyBorder="0" applyAlignment="0" applyProtection="0"/>
    <xf numFmtId="194" fontId="51" fillId="0" borderId="0">
      <alignment horizontal="right"/>
    </xf>
    <xf numFmtId="195" fontId="51" fillId="0" borderId="0" applyFont="0" applyFill="0" applyBorder="0" applyAlignment="0" applyProtection="0"/>
    <xf numFmtId="7" fontId="51" fillId="0" borderId="0">
      <alignment horizontal="right"/>
    </xf>
    <xf numFmtId="196" fontId="51" fillId="0" borderId="0" applyFont="0" applyFill="0" applyBorder="0" applyAlignment="0" applyProtection="0"/>
    <xf numFmtId="197" fontId="51" fillId="0" borderId="0" applyFont="0" applyFill="0" applyBorder="0" applyAlignment="0" applyProtection="0"/>
    <xf numFmtId="198" fontId="51" fillId="0" borderId="0" applyFont="0" applyFill="0" applyBorder="0" applyAlignment="0" applyProtection="0"/>
    <xf numFmtId="9" fontId="51" fillId="0" borderId="0" applyFont="0" applyFill="0" applyBorder="0" applyAlignment="0" applyProtection="0"/>
    <xf numFmtId="199" fontId="51" fillId="0" borderId="0" applyFont="0" applyFill="0" applyBorder="0" applyAlignment="0" applyProtection="0"/>
    <xf numFmtId="200" fontId="51" fillId="0" borderId="0" applyFont="0" applyFill="0" applyBorder="0" applyAlignment="0" applyProtection="0"/>
    <xf numFmtId="184" fontId="51" fillId="0" borderId="0" applyFont="0" applyFill="0" applyBorder="0" applyAlignment="0" applyProtection="0"/>
    <xf numFmtId="171" fontId="51" fillId="0" borderId="0" applyFont="0" applyFill="0" applyBorder="0" applyAlignment="0" applyProtection="0"/>
    <xf numFmtId="10" fontId="51" fillId="0" borderId="0" applyFont="0" applyFill="0" applyBorder="0" applyAlignment="0" applyProtection="0"/>
    <xf numFmtId="201" fontId="51" fillId="0" borderId="0" applyFont="0" applyFill="0" applyBorder="0" applyProtection="0">
      <alignment horizontal="right"/>
    </xf>
    <xf numFmtId="178" fontId="51" fillId="0" borderId="0" applyNumberFormat="0" applyFont="0" applyFill="0" applyBorder="0" applyAlignment="0" applyProtection="0"/>
    <xf numFmtId="0"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174" fontId="51" fillId="0" borderId="0"/>
    <xf numFmtId="37"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202" fontId="51" fillId="0" borderId="0"/>
    <xf numFmtId="37" fontId="51" fillId="0" borderId="0"/>
    <xf numFmtId="37"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174" fontId="51" fillId="0" borderId="0"/>
    <xf numFmtId="174" fontId="51" fillId="0" borderId="0"/>
    <xf numFmtId="174" fontId="51" fillId="0" borderId="0"/>
    <xf numFmtId="174" fontId="51" fillId="0" borderId="0"/>
    <xf numFmtId="174" fontId="51" fillId="0" borderId="0"/>
    <xf numFmtId="0" fontId="51" fillId="0" borderId="0"/>
    <xf numFmtId="202" fontId="51" fillId="0" borderId="0"/>
    <xf numFmtId="0" fontId="51" fillId="0" borderId="0"/>
    <xf numFmtId="202" fontId="51" fillId="0" borderId="0"/>
    <xf numFmtId="37" fontId="51" fillId="0" borderId="0"/>
    <xf numFmtId="37" fontId="51" fillId="0" borderId="0"/>
    <xf numFmtId="37" fontId="51" fillId="0" borderId="0"/>
    <xf numFmtId="37"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37" fontId="51" fillId="0" borderId="0"/>
    <xf numFmtId="174" fontId="51" fillId="0" borderId="0"/>
    <xf numFmtId="174" fontId="51" fillId="0" borderId="0"/>
    <xf numFmtId="0" fontId="51" fillId="0" borderId="0"/>
    <xf numFmtId="0" fontId="51" fillId="0" borderId="0"/>
    <xf numFmtId="0"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202" fontId="51" fillId="0" borderId="0"/>
    <xf numFmtId="0" fontId="51" fillId="0" borderId="0"/>
    <xf numFmtId="0" fontId="51" fillId="0" borderId="0"/>
    <xf numFmtId="174"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0" fontId="51" fillId="0" borderId="0"/>
    <xf numFmtId="202" fontId="51" fillId="0" borderId="0"/>
    <xf numFmtId="202" fontId="51" fillId="0" borderId="0"/>
    <xf numFmtId="202" fontId="51" fillId="0" borderId="0"/>
    <xf numFmtId="202"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5"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37" fontId="51" fillId="0" borderId="0"/>
    <xf numFmtId="37" fontId="51" fillId="0" borderId="0"/>
    <xf numFmtId="0" fontId="51" fillId="0" borderId="0"/>
    <xf numFmtId="37" fontId="51" fillId="0" borderId="0"/>
    <xf numFmtId="37" fontId="51" fillId="0" borderId="0"/>
    <xf numFmtId="0" fontId="51" fillId="0" borderId="0"/>
    <xf numFmtId="0" fontId="51" fillId="0" borderId="0"/>
    <xf numFmtId="174" fontId="51" fillId="0" borderId="0"/>
    <xf numFmtId="37" fontId="51" fillId="0" borderId="0"/>
    <xf numFmtId="37" fontId="51" fillId="0" borderId="0"/>
    <xf numFmtId="174" fontId="51" fillId="0" borderId="0"/>
    <xf numFmtId="37" fontId="51" fillId="0" borderId="0"/>
    <xf numFmtId="202" fontId="51" fillId="0" borderId="0"/>
    <xf numFmtId="37"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37" fontId="51" fillId="0" borderId="0"/>
    <xf numFmtId="171" fontId="51" fillId="0" borderId="0"/>
    <xf numFmtId="37" fontId="51" fillId="0" borderId="0"/>
    <xf numFmtId="20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202" fontId="51" fillId="0" borderId="0"/>
    <xf numFmtId="37" fontId="51" fillId="0" borderId="0"/>
    <xf numFmtId="0" fontId="51" fillId="0" borderId="0"/>
    <xf numFmtId="0" fontId="51" fillId="0" borderId="0"/>
    <xf numFmtId="174" fontId="51" fillId="0" borderId="0"/>
    <xf numFmtId="0" fontId="51" fillId="0" borderId="0"/>
    <xf numFmtId="202" fontId="51" fillId="0" borderId="0"/>
    <xf numFmtId="0" fontId="51" fillId="0" borderId="0"/>
    <xf numFmtId="0" fontId="51" fillId="0" borderId="0"/>
    <xf numFmtId="5" fontId="51" fillId="0" borderId="0"/>
    <xf numFmtId="0" fontId="51" fillId="0" borderId="0"/>
    <xf numFmtId="194" fontId="51" fillId="0" borderId="0"/>
    <xf numFmtId="202" fontId="51" fillId="0" borderId="0"/>
    <xf numFmtId="202" fontId="51" fillId="0" borderId="0"/>
    <xf numFmtId="202" fontId="51" fillId="0" borderId="0"/>
    <xf numFmtId="0" fontId="51" fillId="0" borderId="0"/>
    <xf numFmtId="202" fontId="51" fillId="0" borderId="0"/>
    <xf numFmtId="0" fontId="51" fillId="0" borderId="0"/>
    <xf numFmtId="171"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0" fontId="51" fillId="0" borderId="0"/>
    <xf numFmtId="37" fontId="51" fillId="0" borderId="0"/>
    <xf numFmtId="0" fontId="51" fillId="0" borderId="0"/>
    <xf numFmtId="0" fontId="51" fillId="0" borderId="0"/>
    <xf numFmtId="0" fontId="51" fillId="0" borderId="0"/>
    <xf numFmtId="174" fontId="51" fillId="0" borderId="0"/>
    <xf numFmtId="174" fontId="51" fillId="0" borderId="0"/>
    <xf numFmtId="0" fontId="51" fillId="0" borderId="0"/>
    <xf numFmtId="202" fontId="51" fillId="0" borderId="0"/>
    <xf numFmtId="202" fontId="51" fillId="0" borderId="0"/>
    <xf numFmtId="0" fontId="51" fillId="0" borderId="0"/>
    <xf numFmtId="37" fontId="51" fillId="0" borderId="0"/>
    <xf numFmtId="174" fontId="51" fillId="0" borderId="0"/>
    <xf numFmtId="0" fontId="51" fillId="0" borderId="0"/>
    <xf numFmtId="0" fontId="51" fillId="0" borderId="0"/>
    <xf numFmtId="174"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37" fontId="51" fillId="0" borderId="0"/>
    <xf numFmtId="0" fontId="51" fillId="0" borderId="0"/>
    <xf numFmtId="174" fontId="51" fillId="0" borderId="0"/>
    <xf numFmtId="0" fontId="51" fillId="0" borderId="0"/>
    <xf numFmtId="0" fontId="51" fillId="0" borderId="0"/>
    <xf numFmtId="37"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174" fontId="51" fillId="0" borderId="0"/>
    <xf numFmtId="0" fontId="51" fillId="0" borderId="0"/>
    <xf numFmtId="0" fontId="51" fillId="0" borderId="0"/>
    <xf numFmtId="0" fontId="51" fillId="0" borderId="0"/>
    <xf numFmtId="37" fontId="51" fillId="0" borderId="0"/>
    <xf numFmtId="202" fontId="51" fillId="0" borderId="0"/>
    <xf numFmtId="0" fontId="51" fillId="0" borderId="0"/>
    <xf numFmtId="0" fontId="51" fillId="0" borderId="0"/>
    <xf numFmtId="0" fontId="51" fillId="0" borderId="0"/>
    <xf numFmtId="37" fontId="51" fillId="0" borderId="0"/>
    <xf numFmtId="0" fontId="51" fillId="0" borderId="0"/>
    <xf numFmtId="202" fontId="51" fillId="0" borderId="0"/>
    <xf numFmtId="202" fontId="51" fillId="0" borderId="0"/>
    <xf numFmtId="0" fontId="51" fillId="0" borderId="0"/>
    <xf numFmtId="0" fontId="51" fillId="0" borderId="0"/>
    <xf numFmtId="0" fontId="51" fillId="0" borderId="0"/>
    <xf numFmtId="0" fontId="51" fillId="0" borderId="0"/>
    <xf numFmtId="202"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43" fontId="51" fillId="0" borderId="0" applyFont="0" applyFill="0" applyBorder="0" applyAlignment="0" applyProtection="0"/>
    <xf numFmtId="40" fontId="51" fillId="0" borderId="0" applyFont="0" applyFill="0" applyBorder="0" applyAlignment="0" applyProtection="0"/>
    <xf numFmtId="40" fontId="51" fillId="0" borderId="0" applyFont="0" applyFill="0" applyBorder="0" applyAlignment="0" applyProtection="0"/>
    <xf numFmtId="203" fontId="51" fillId="0" borderId="0" applyFont="0" applyFill="0" applyBorder="0" applyAlignment="0"/>
    <xf numFmtId="204" fontId="51" fillId="0" borderId="0"/>
    <xf numFmtId="0" fontId="51" fillId="0" borderId="0" applyFont="0" applyFill="0" applyBorder="0" applyAlignment="0" applyProtection="0"/>
    <xf numFmtId="205" fontId="51" fillId="0" borderId="0" applyFont="0" applyFill="0" applyBorder="0" applyAlignment="0" applyProtection="0"/>
    <xf numFmtId="40" fontId="51" fillId="0" borderId="0" applyFont="0" applyFill="0" applyBorder="0" applyAlignment="0" applyProtection="0"/>
    <xf numFmtId="206" fontId="51" fillId="0" borderId="0" applyFont="0" applyFill="0" applyBorder="0" applyAlignment="0" applyProtection="0"/>
    <xf numFmtId="38" fontId="51" fillId="0" borderId="0" applyFont="0" applyFill="0" applyBorder="0" applyAlignment="0" applyProtection="0"/>
    <xf numFmtId="38" fontId="51" fillId="0" borderId="0" applyFont="0" applyFill="0" applyBorder="0" applyAlignment="0" applyProtection="0"/>
    <xf numFmtId="40" fontId="51" fillId="0" borderId="0" applyFont="0" applyFill="0" applyBorder="0" applyAlignment="0" applyProtection="0"/>
    <xf numFmtId="207" fontId="51" fillId="0" borderId="0" applyFont="0" applyFill="0" applyBorder="0" applyAlignment="0" applyProtection="0"/>
    <xf numFmtId="0" fontId="51" fillId="0" borderId="0"/>
    <xf numFmtId="0" fontId="51" fillId="0" borderId="0"/>
    <xf numFmtId="0" fontId="51" fillId="0" borderId="0"/>
    <xf numFmtId="204" fontId="51" fillId="0" borderId="0"/>
    <xf numFmtId="204" fontId="51" fillId="0" borderId="0"/>
    <xf numFmtId="204" fontId="51" fillId="0" borderId="0"/>
    <xf numFmtId="208" fontId="51" fillId="0" borderId="0"/>
    <xf numFmtId="204" fontId="51" fillId="0" borderId="0"/>
    <xf numFmtId="208" fontId="51" fillId="0" borderId="0"/>
    <xf numFmtId="208"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4" fontId="51" fillId="0" borderId="0"/>
    <xf numFmtId="209" fontId="51" fillId="0" borderId="0"/>
    <xf numFmtId="204" fontId="51" fillId="0" borderId="0"/>
    <xf numFmtId="204" fontId="51" fillId="0" borderId="0"/>
    <xf numFmtId="209" fontId="51" fillId="0" borderId="0"/>
    <xf numFmtId="204" fontId="51" fillId="0" borderId="0"/>
    <xf numFmtId="209" fontId="51" fillId="0" borderId="0"/>
    <xf numFmtId="208" fontId="51" fillId="0" borderId="0"/>
    <xf numFmtId="0" fontId="51" fillId="0" borderId="0"/>
    <xf numFmtId="210" fontId="51" fillId="0" borderId="0" applyFill="0" applyBorder="0" applyProtection="0">
      <alignment vertical="center"/>
    </xf>
    <xf numFmtId="211" fontId="51" fillId="0" borderId="0" applyFont="0" applyFill="0" applyBorder="0" applyProtection="0">
      <alignment wrapText="1"/>
    </xf>
    <xf numFmtId="212" fontId="51" fillId="0" borderId="0" applyFont="0" applyFill="0" applyBorder="0" applyProtection="0">
      <alignment horizontal="left" wrapText="1"/>
    </xf>
    <xf numFmtId="213" fontId="51" fillId="0" borderId="0" applyFont="0" applyFill="0" applyBorder="0" applyProtection="0">
      <alignment wrapText="1"/>
    </xf>
    <xf numFmtId="214" fontId="51" fillId="0" borderId="0" applyFont="0" applyFill="0" applyBorder="0" applyProtection="0">
      <alignment wrapText="1"/>
    </xf>
    <xf numFmtId="215" fontId="51" fillId="0" borderId="0" applyFont="0" applyFill="0" applyBorder="0" applyProtection="0">
      <alignment wrapText="1"/>
    </xf>
    <xf numFmtId="216" fontId="51" fillId="0" borderId="0" applyFont="0" applyFill="0" applyBorder="0" applyProtection="0">
      <alignment wrapText="1"/>
    </xf>
    <xf numFmtId="217" fontId="51" fillId="0" borderId="0" applyFont="0" applyFill="0" applyBorder="0" applyAlignment="0" applyProtection="0"/>
    <xf numFmtId="218" fontId="51" fillId="0" borderId="0" applyFont="0" applyFill="0" applyBorder="0" applyAlignment="0" applyProtection="0"/>
    <xf numFmtId="219" fontId="51" fillId="0" borderId="0" applyFont="0" applyFill="0" applyBorder="0" applyProtection="0">
      <alignment horizontal="right"/>
    </xf>
    <xf numFmtId="220" fontId="51" fillId="0" borderId="0" applyFont="0" applyFill="0" applyBorder="0" applyProtection="0">
      <alignment horizontal="right"/>
    </xf>
    <xf numFmtId="221" fontId="51" fillId="0" borderId="0" applyFont="0" applyFill="0" applyBorder="0" applyProtection="0">
      <alignment horizontal="right"/>
    </xf>
    <xf numFmtId="222" fontId="51" fillId="0" borderId="0" applyFont="0" applyFill="0" applyBorder="0" applyProtection="0">
      <alignment horizontal="right"/>
    </xf>
    <xf numFmtId="223" fontId="51" fillId="0" borderId="0" applyFont="0" applyFill="0" applyBorder="0" applyProtection="0">
      <alignment horizontal="right"/>
    </xf>
    <xf numFmtId="224" fontId="51" fillId="0" borderId="0" applyFont="0" applyFill="0" applyBorder="0" applyProtection="0">
      <alignment horizontal="right"/>
    </xf>
    <xf numFmtId="225" fontId="51" fillId="0" borderId="0" applyFont="0" applyFill="0" applyBorder="0" applyProtection="0">
      <alignment horizontal="right"/>
    </xf>
    <xf numFmtId="226" fontId="51" fillId="0" borderId="0" applyFont="0" applyFill="0" applyBorder="0" applyProtection="0">
      <alignment horizontal="right"/>
    </xf>
    <xf numFmtId="227" fontId="51" fillId="0" borderId="0" applyFont="0" applyFill="0" applyBorder="0" applyProtection="0">
      <alignment horizontal="right"/>
    </xf>
    <xf numFmtId="228" fontId="51" fillId="0" borderId="0" applyFont="0" applyFill="0" applyBorder="0" applyProtection="0">
      <alignment horizontal="right"/>
    </xf>
    <xf numFmtId="229" fontId="51" fillId="0" borderId="0" applyFont="0" applyFill="0" applyBorder="0" applyProtection="0">
      <alignment horizontal="right"/>
    </xf>
    <xf numFmtId="230" fontId="51" fillId="0" borderId="0" applyFont="0" applyFill="0" applyBorder="0" applyProtection="0">
      <alignment horizontal="right"/>
    </xf>
    <xf numFmtId="0" fontId="51" fillId="0" borderId="0"/>
    <xf numFmtId="0" fontId="51" fillId="0" borderId="0"/>
    <xf numFmtId="231" fontId="51" fillId="0" borderId="0"/>
    <xf numFmtId="231" fontId="51" fillId="0" borderId="0"/>
    <xf numFmtId="231" fontId="51" fillId="0" borderId="0" applyFont="0" applyFill="0" applyBorder="0" applyAlignment="0" applyProtection="0"/>
    <xf numFmtId="0" fontId="51" fillId="0" borderId="0"/>
    <xf numFmtId="0" fontId="51" fillId="0" borderId="0">
      <alignment vertical="top"/>
    </xf>
    <xf numFmtId="0" fontId="51" fillId="0" borderId="0">
      <alignment vertical="top"/>
    </xf>
    <xf numFmtId="0" fontId="51" fillId="0" borderId="0"/>
    <xf numFmtId="231" fontId="51" fillId="0" borderId="0"/>
    <xf numFmtId="0" fontId="51" fillId="0" borderId="0">
      <alignment horizontal="center" vertical="center"/>
    </xf>
    <xf numFmtId="0" fontId="51" fillId="0" borderId="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232" fontId="51" fillId="0" borderId="0">
      <alignment horizontal="left" wrapText="1"/>
    </xf>
    <xf numFmtId="232" fontId="51" fillId="0" borderId="0">
      <alignment horizontal="left" wrapText="1"/>
    </xf>
    <xf numFmtId="232" fontId="51" fillId="0" borderId="0">
      <alignment horizontal="left" wrapText="1"/>
    </xf>
    <xf numFmtId="0" fontId="51" fillId="0" borderId="0">
      <alignment vertical="top"/>
    </xf>
    <xf numFmtId="0" fontId="51" fillId="0" borderId="0"/>
    <xf numFmtId="233"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234" fontId="51" fillId="0" borderId="0" applyFont="0" applyFill="0" applyBorder="0" applyAlignment="0" applyProtection="0"/>
    <xf numFmtId="0" fontId="51" fillId="0" borderId="0"/>
    <xf numFmtId="0" fontId="51" fillId="0" borderId="0"/>
    <xf numFmtId="235" fontId="51" fillId="0" borderId="0" applyFont="0" applyFill="0" applyBorder="0" applyAlignment="0" applyProtection="0"/>
    <xf numFmtId="232" fontId="51" fillId="0" borderId="0">
      <alignment horizontal="left" wrapText="1"/>
    </xf>
    <xf numFmtId="232" fontId="51" fillId="0" borderId="0">
      <alignment horizontal="left" wrapText="1"/>
    </xf>
    <xf numFmtId="235" fontId="51" fillId="0" borderId="0" applyFont="0" applyFill="0" applyBorder="0" applyAlignment="0" applyProtection="0"/>
    <xf numFmtId="236" fontId="51" fillId="0" borderId="0" applyFont="0" applyFill="0" applyBorder="0" applyAlignment="0" applyProtection="0"/>
    <xf numFmtId="237" fontId="51" fillId="0" borderId="0" applyFont="0" applyFill="0" applyBorder="0" applyAlignment="0" applyProtection="0"/>
    <xf numFmtId="238" fontId="51" fillId="0" borderId="0" applyFont="0" applyFill="0" applyBorder="0" applyAlignment="0" applyProtection="0"/>
    <xf numFmtId="239" fontId="51" fillId="0" borderId="0" applyFont="0" applyFill="0" applyBorder="0" applyAlignment="0" applyProtection="0"/>
    <xf numFmtId="239"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6"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7" fontId="51" fillId="0" borderId="0" applyFont="0" applyFill="0" applyBorder="0" applyAlignment="0" applyProtection="0"/>
    <xf numFmtId="241" fontId="51" fillId="0" borderId="0" applyFont="0" applyFill="0" applyBorder="0" applyAlignment="0" applyProtection="0"/>
    <xf numFmtId="241"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7" fontId="51" fillId="0" borderId="0" applyFont="0" applyFill="0" applyBorder="0" applyAlignment="0" applyProtection="0"/>
    <xf numFmtId="2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39" fontId="51" fillId="0" borderId="0" applyFont="0" applyFill="0" applyBorder="0" applyAlignment="0" applyProtection="0"/>
    <xf numFmtId="39"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242" fontId="51" fillId="0" borderId="0" applyFont="0" applyFill="0" applyBorder="0" applyAlignment="0" applyProtection="0"/>
    <xf numFmtId="178" fontId="51" fillId="0" borderId="0">
      <alignment vertical="top"/>
    </xf>
    <xf numFmtId="0" fontId="51"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238"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0" fontId="51" fillId="0" borderId="0" applyFont="0" applyFill="0" applyBorder="0" applyAlignment="0" applyProtection="0"/>
    <xf numFmtId="243" fontId="51" fillId="0" borderId="0" applyFont="0" applyFill="0" applyBorder="0" applyAlignment="0" applyProtection="0"/>
    <xf numFmtId="0" fontId="51" fillId="0" borderId="0"/>
    <xf numFmtId="0" fontId="51" fillId="0" borderId="0"/>
    <xf numFmtId="232" fontId="51" fillId="0" borderId="0">
      <alignment horizontal="left" wrapText="1"/>
    </xf>
    <xf numFmtId="231"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Border="0">
      <alignment horizontal="center"/>
    </xf>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Alignment="0" applyProtection="0"/>
    <xf numFmtId="0" fontId="51" fillId="0" borderId="0"/>
    <xf numFmtId="178" fontId="51" fillId="0" borderId="0">
      <alignment vertical="top"/>
    </xf>
    <xf numFmtId="235" fontId="51" fillId="0" borderId="0" applyFont="0" applyFill="0" applyBorder="0" applyAlignment="0" applyProtection="0"/>
    <xf numFmtId="0" fontId="51" fillId="0" borderId="0"/>
    <xf numFmtId="235" fontId="51" fillId="0" borderId="0" applyFont="0" applyFill="0" applyBorder="0" applyAlignment="0" applyProtection="0"/>
    <xf numFmtId="232" fontId="51" fillId="0" borderId="0">
      <alignment horizontal="left" wrapText="1"/>
    </xf>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44" fontId="51" fillId="0" borderId="0" applyFont="0" applyFill="0" applyBorder="0" applyAlignment="0" applyProtection="0"/>
    <xf numFmtId="245"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4" fontId="51" fillId="0" borderId="0" applyFont="0" applyFill="0" applyBorder="0" applyAlignment="0" applyProtection="0"/>
    <xf numFmtId="244"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6" fontId="51" fillId="0" borderId="0" applyFont="0" applyFill="0" applyBorder="0" applyAlignment="0" applyProtection="0"/>
    <xf numFmtId="247" fontId="51" fillId="0" borderId="0" applyFont="0" applyFill="0" applyBorder="0" applyAlignment="0" applyProtection="0"/>
    <xf numFmtId="248" fontId="51" fillId="0" borderId="0" applyFont="0" applyFill="0" applyBorder="0" applyAlignment="0" applyProtection="0"/>
    <xf numFmtId="247" fontId="51" fillId="0" borderId="0" applyFont="0" applyFill="0" applyBorder="0" applyAlignment="0" applyProtection="0"/>
    <xf numFmtId="247"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7" fontId="51" fillId="0" borderId="0" applyFont="0" applyFill="0" applyBorder="0" applyAlignment="0" applyProtection="0"/>
    <xf numFmtId="0" fontId="51" fillId="0" borderId="0" applyFont="0" applyFill="0" applyBorder="0" applyAlignment="0" applyProtection="0"/>
    <xf numFmtId="249" fontId="51" fillId="0" borderId="0" applyFont="0" applyFill="0" applyBorder="0" applyProtection="0">
      <alignment horizontal="right"/>
    </xf>
    <xf numFmtId="249" fontId="51" fillId="0" borderId="0" applyFont="0" applyFill="0" applyBorder="0" applyProtection="0">
      <alignment horizontal="right"/>
    </xf>
    <xf numFmtId="247" fontId="51" fillId="0" borderId="0" applyFont="0" applyFill="0" applyBorder="0" applyAlignment="0" applyProtection="0"/>
    <xf numFmtId="249" fontId="51" fillId="0" borderId="0" applyFont="0" applyFill="0" applyBorder="0" applyProtection="0">
      <alignment horizontal="right"/>
    </xf>
    <xf numFmtId="0" fontId="51" fillId="0" borderId="0" applyFont="0" applyFill="0" applyBorder="0" applyAlignment="0" applyProtection="0"/>
    <xf numFmtId="178" fontId="51" fillId="0" borderId="0">
      <alignment vertical="top"/>
    </xf>
    <xf numFmtId="250" fontId="51" fillId="0" borderId="0" applyFont="0" applyFill="0" applyBorder="0" applyAlignment="0" applyProtection="0"/>
    <xf numFmtId="217"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0"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218"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51" fontId="51" fillId="0" borderId="0" applyFont="0" applyFill="0" applyBorder="0" applyAlignment="0" applyProtection="0"/>
    <xf numFmtId="0" fontId="51" fillId="0" borderId="0" applyFont="0" applyFill="0" applyBorder="0" applyAlignment="0" applyProtection="0"/>
    <xf numFmtId="231" fontId="51" fillId="0" borderId="0"/>
    <xf numFmtId="0" fontId="51" fillId="0" borderId="0">
      <alignment vertical="center"/>
    </xf>
    <xf numFmtId="0" fontId="51" fillId="0" borderId="0" applyFont="0" applyFill="0" applyBorder="0" applyAlignment="0" applyProtection="0"/>
    <xf numFmtId="23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xf numFmtId="178" fontId="51" fillId="0" borderId="0">
      <alignment vertical="top"/>
    </xf>
    <xf numFmtId="0" fontId="51" fillId="0" borderId="0"/>
    <xf numFmtId="0" fontId="51" fillId="0" borderId="0"/>
    <xf numFmtId="0" fontId="51" fillId="0" borderId="0"/>
    <xf numFmtId="231" fontId="51" fillId="0" borderId="0" applyFont="0" applyFill="0" applyBorder="0" applyAlignment="0" applyProtection="0"/>
    <xf numFmtId="0" fontId="51" fillId="0" borderId="0"/>
    <xf numFmtId="0" fontId="51" fillId="0" borderId="0" applyNumberFormat="0" applyFill="0" applyBorder="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Border="0" applyAlignment="0" applyProtection="0">
      <alignment vertical="top"/>
    </xf>
    <xf numFmtId="0" fontId="51" fillId="0" borderId="0" applyNumberFormat="0" applyFill="0" applyBorder="0" applyProtection="0">
      <alignment vertical="top"/>
    </xf>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Alignment="0" applyProtection="0"/>
    <xf numFmtId="0" fontId="51" fillId="0" borderId="0" applyNumberFormat="0" applyFill="0" applyProtection="0">
      <alignment horizontal="center"/>
    </xf>
    <xf numFmtId="0" fontId="51" fillId="0" borderId="0" applyNumberFormat="0" applyFill="0" applyBorder="0" applyProtection="0">
      <alignment horizontal="left"/>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0" fontId="51" fillId="0" borderId="0" applyNumberFormat="0" applyFill="0" applyProtection="0">
      <alignment horizontal="centerContinuous"/>
    </xf>
    <xf numFmtId="0" fontId="51" fillId="0" borderId="0" applyNumberFormat="0" applyFill="0" applyProtection="0">
      <alignment horizontal="centerContinuous"/>
    </xf>
    <xf numFmtId="0" fontId="51" fillId="0" borderId="0" applyNumberFormat="0" applyFill="0" applyBorder="0" applyProtection="0">
      <alignment horizontal="centerContinuous"/>
    </xf>
    <xf numFmtId="178" fontId="51" fillId="0" borderId="0">
      <alignment vertical="top"/>
    </xf>
    <xf numFmtId="0" fontId="51" fillId="0" borderId="0"/>
    <xf numFmtId="0" fontId="51" fillId="0" borderId="0"/>
    <xf numFmtId="25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53" fontId="51" fillId="0" borderId="0" applyFont="0" applyFill="0" applyBorder="0" applyAlignment="0" applyProtection="0"/>
    <xf numFmtId="193" fontId="51" fillId="0" borderId="0" applyFont="0" applyFill="0" applyBorder="0" applyAlignment="0" applyProtection="0"/>
    <xf numFmtId="254" fontId="51" fillId="0" borderId="0" applyFont="0" applyFill="0" applyBorder="0" applyAlignment="0" applyProtection="0"/>
    <xf numFmtId="255" fontId="51" fillId="0" borderId="0" applyFont="0" applyFill="0" applyBorder="0" applyAlignment="0" applyProtection="0"/>
    <xf numFmtId="256" fontId="51" fillId="0" borderId="0" applyFont="0" applyFill="0" applyBorder="0" applyAlignment="0" applyProtection="0"/>
    <xf numFmtId="257" fontId="51" fillId="0" borderId="0" applyFont="0" applyFill="0" applyBorder="0" applyAlignment="0" applyProtection="0"/>
    <xf numFmtId="258" fontId="51" fillId="0" borderId="0" applyFont="0" applyFill="0" applyBorder="0" applyAlignment="0" applyProtection="0"/>
    <xf numFmtId="259" fontId="51" fillId="0" borderId="0" applyFont="0" applyFill="0" applyBorder="0" applyAlignment="0" applyProtection="0"/>
    <xf numFmtId="260" fontId="51" fillId="0" borderId="0" applyFont="0" applyFill="0" applyBorder="0" applyAlignment="0" applyProtection="0"/>
    <xf numFmtId="0" fontId="51" fillId="0" borderId="0"/>
    <xf numFmtId="0" fontId="51" fillId="0" borderId="0"/>
    <xf numFmtId="41" fontId="51" fillId="0" borderId="0" applyFont="0" applyFill="0" applyBorder="0" applyAlignment="0" applyProtection="0"/>
    <xf numFmtId="43" fontId="51" fillId="0" borderId="0" applyFont="0" applyFill="0" applyBorder="0" applyAlignment="0" applyProtection="0"/>
    <xf numFmtId="261" fontId="51" fillId="0" borderId="0" applyFont="0" applyFill="0" applyBorder="0" applyAlignment="0" applyProtection="0"/>
    <xf numFmtId="9" fontId="51" fillId="0" borderId="0"/>
    <xf numFmtId="174" fontId="51" fillId="0" borderId="0"/>
    <xf numFmtId="0" fontId="51" fillId="0" borderId="0" applyFont="0" applyFill="0" applyBorder="0" applyAlignment="0" applyProtection="0"/>
    <xf numFmtId="0" fontId="51" fillId="0" borderId="0" applyFont="0" applyFill="0" applyBorder="0" applyAlignment="0" applyProtection="0"/>
    <xf numFmtId="43" fontId="51" fillId="0" borderId="0" applyFont="0" applyFill="0" applyBorder="0" applyAlignment="0" applyProtection="0"/>
    <xf numFmtId="262" fontId="60" fillId="0" borderId="0">
      <protection locked="0"/>
    </xf>
    <xf numFmtId="0" fontId="51" fillId="0" borderId="0" applyNumberFormat="0" applyFill="0" applyBorder="0" applyAlignment="0" applyProtection="0">
      <alignment vertical="top"/>
      <protection locked="0"/>
    </xf>
    <xf numFmtId="0" fontId="51" fillId="0" borderId="0"/>
    <xf numFmtId="0" fontId="51" fillId="0" borderId="0"/>
    <xf numFmtId="0" fontId="51" fillId="0" borderId="0"/>
    <xf numFmtId="43" fontId="51" fillId="0" borderId="0" applyFont="0" applyFill="0" applyBorder="0" applyAlignment="0" applyProtection="0"/>
    <xf numFmtId="41" fontId="51" fillId="0" borderId="0" applyFont="0" applyFill="0" applyBorder="0" applyAlignment="0" applyProtection="0"/>
    <xf numFmtId="263" fontId="51" fillId="0" borderId="0" applyFont="0" applyFill="0" applyBorder="0" applyAlignment="0" applyProtection="0"/>
    <xf numFmtId="264" fontId="51" fillId="0" borderId="0">
      <alignment horizontal="center"/>
    </xf>
    <xf numFmtId="265" fontId="51" fillId="0" borderId="0">
      <alignment horizontal="center"/>
    </xf>
    <xf numFmtId="266" fontId="51" fillId="0" borderId="0">
      <alignment horizontal="center"/>
    </xf>
    <xf numFmtId="267" fontId="51" fillId="0" borderId="0">
      <alignment horizontal="center"/>
    </xf>
    <xf numFmtId="268" fontId="51" fillId="0" borderId="0">
      <alignment horizontal="center"/>
    </xf>
    <xf numFmtId="269" fontId="51" fillId="0" borderId="0">
      <alignment horizontal="center"/>
    </xf>
    <xf numFmtId="270" fontId="51" fillId="0" borderId="0" applyFont="0" applyFill="0" applyBorder="0" applyAlignment="0" applyProtection="0"/>
    <xf numFmtId="271" fontId="51" fillId="0" borderId="0" applyBorder="0"/>
    <xf numFmtId="40" fontId="51" fillId="0" borderId="0" applyFont="0" applyFill="0" applyBorder="0" applyAlignment="0" applyProtection="0"/>
    <xf numFmtId="23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2"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1" fontId="51" fillId="0" borderId="0"/>
    <xf numFmtId="0" fontId="51" fillId="0" borderId="0" applyFont="0" applyFill="0" applyBorder="0" applyAlignment="0" applyProtection="0"/>
    <xf numFmtId="263"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7"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xf numFmtId="28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0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44"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1" fontId="51" fillId="0" borderId="0"/>
    <xf numFmtId="41" fontId="51" fillId="0" borderId="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1" fontId="51" fillId="0" borderId="0" applyFont="0" applyFill="0" applyBorder="0" applyAlignment="0" applyProtection="0"/>
    <xf numFmtId="263" fontId="51" fillId="0" borderId="0" applyFont="0" applyFill="0" applyBorder="0" applyAlignment="0" applyProtection="0"/>
    <xf numFmtId="185"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9"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7" fontId="51" fillId="0" borderId="0" applyFont="0" applyFill="0" applyBorder="0" applyAlignment="0" applyProtection="0">
      <alignment horizontal="right"/>
      <protection locked="0"/>
    </xf>
    <xf numFmtId="285"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286"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279"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alignment horizontal="right"/>
      <protection locked="0"/>
    </xf>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278" fontId="51" fillId="0" borderId="0" applyFont="0" applyFill="0" applyBorder="0" applyAlignment="0" applyProtection="0"/>
    <xf numFmtId="280"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3" fontId="51" fillId="0" borderId="0" applyFont="0" applyFill="0" applyBorder="0" applyAlignment="0" applyProtection="0"/>
    <xf numFmtId="283"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82"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287"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8" fontId="51" fillId="0" borderId="0" applyFont="0" applyFill="0" applyBorder="0" applyAlignment="0" applyProtection="0"/>
    <xf numFmtId="263"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8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189"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274" fontId="51" fillId="0" borderId="0" applyFont="0" applyFill="0" applyBorder="0" applyAlignment="0" applyProtection="0"/>
    <xf numFmtId="274"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9" fontId="51" fillId="0" borderId="0" applyFont="0" applyFill="0" applyBorder="0" applyAlignment="0" applyProtection="0"/>
    <xf numFmtId="279"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0" fontId="51" fillId="0" borderId="0" applyFont="0" applyFill="0" applyBorder="0" applyAlignment="0" applyProtection="0"/>
    <xf numFmtId="0" fontId="51" fillId="0" borderId="0" applyFont="0" applyFill="0" applyBorder="0" applyAlignment="0" applyProtection="0"/>
    <xf numFmtId="41" fontId="51" fillId="0" borderId="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41" fontId="51" fillId="0" borderId="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6" fontId="51" fillId="0" borderId="0" applyFont="0" applyFill="0" applyBorder="0" applyAlignment="0" applyProtection="0"/>
    <xf numFmtId="276"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41" fontId="51" fillId="0" borderId="0"/>
    <xf numFmtId="41" fontId="51" fillId="0" borderId="0"/>
    <xf numFmtId="275" fontId="51" fillId="0" borderId="0" applyFont="0" applyFill="0" applyBorder="0" applyAlignment="0" applyProtection="0"/>
    <xf numFmtId="0"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89" fontId="51" fillId="0" borderId="0" applyFont="0" applyFill="0" applyBorder="0" applyAlignment="0" applyProtection="0"/>
    <xf numFmtId="278"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7" fontId="51" fillId="0" borderId="0" applyFont="0" applyFill="0" applyBorder="0" applyAlignment="0" applyProtection="0"/>
    <xf numFmtId="278" fontId="51" fillId="0" borderId="0" applyFont="0" applyFill="0" applyBorder="0" applyAlignment="0" applyProtection="0"/>
    <xf numFmtId="275" fontId="51" fillId="0" borderId="0" applyFont="0" applyFill="0" applyBorder="0" applyAlignment="0" applyProtection="0"/>
    <xf numFmtId="283"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185"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0" fontId="51" fillId="0" borderId="0" applyFont="0" applyFill="0" applyBorder="0" applyAlignment="0" applyProtection="0"/>
    <xf numFmtId="28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75" fontId="51" fillId="0" borderId="0" applyFont="0" applyFill="0" applyBorder="0" applyAlignment="0" applyProtection="0"/>
    <xf numFmtId="263" fontId="51" fillId="0" borderId="0" applyFont="0" applyFill="0" applyBorder="0" applyAlignment="0" applyProtection="0"/>
    <xf numFmtId="0" fontId="51" fillId="0" borderId="0" applyFont="0" applyFill="0" applyBorder="0" applyAlignment="0" applyProtection="0"/>
    <xf numFmtId="283" fontId="51" fillId="0" borderId="0" applyFont="0" applyFill="0" applyBorder="0" applyAlignment="0" applyProtection="0"/>
    <xf numFmtId="290" fontId="51" fillId="0" borderId="0" applyFont="0" applyFill="0" applyBorder="0" applyAlignment="0" applyProtection="0"/>
    <xf numFmtId="279" fontId="51" fillId="0" borderId="0" applyFont="0" applyFill="0" applyBorder="0" applyAlignment="0" applyProtection="0"/>
    <xf numFmtId="291" fontId="51" fillId="0" borderId="0">
      <alignment horizontal="center"/>
    </xf>
    <xf numFmtId="292" fontId="51" fillId="0" borderId="0">
      <alignment horizontal="center"/>
    </xf>
    <xf numFmtId="264" fontId="51" fillId="0" borderId="0">
      <alignment horizontal="center"/>
    </xf>
    <xf numFmtId="293" fontId="51" fillId="0" borderId="0">
      <alignment horizontal="center"/>
    </xf>
    <xf numFmtId="294" fontId="51" fillId="0" borderId="0">
      <alignment horizontal="left"/>
    </xf>
    <xf numFmtId="295" fontId="51" fillId="0" borderId="0">
      <alignment horizontal="left"/>
    </xf>
    <xf numFmtId="233" fontId="51" fillId="0" borderId="0"/>
    <xf numFmtId="296" fontId="51" fillId="0" borderId="0" applyBorder="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178"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1"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61" fillId="17"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51" fillId="0" borderId="0" applyNumberFormat="0" applyBorder="0" applyAlignment="0" applyProtection="0"/>
    <xf numFmtId="0" fontId="6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51" fillId="20" borderId="0" applyNumberFormat="0" applyBorder="0" applyAlignment="0" applyProtection="0"/>
    <xf numFmtId="0" fontId="51" fillId="20"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6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2"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6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6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62" fillId="35" borderId="0" applyNumberFormat="0" applyBorder="0" applyAlignment="0" applyProtection="0">
      <alignment vertical="center"/>
    </xf>
    <xf numFmtId="0" fontId="62" fillId="36" borderId="0" applyNumberFormat="0" applyBorder="0" applyAlignment="0" applyProtection="0">
      <alignment vertical="center"/>
    </xf>
    <xf numFmtId="0" fontId="62" fillId="37" borderId="0" applyNumberFormat="0" applyBorder="0" applyAlignment="0" applyProtection="0">
      <alignment vertical="center"/>
    </xf>
    <xf numFmtId="0" fontId="62" fillId="32" borderId="0" applyNumberFormat="0" applyBorder="0" applyAlignment="0" applyProtection="0">
      <alignment vertical="center"/>
    </xf>
    <xf numFmtId="0" fontId="62" fillId="35" borderId="0" applyNumberFormat="0" applyBorder="0" applyAlignment="0" applyProtection="0">
      <alignment vertical="center"/>
    </xf>
    <xf numFmtId="0" fontId="62" fillId="38" borderId="0" applyNumberFormat="0" applyBorder="0" applyAlignment="0" applyProtection="0">
      <alignment vertical="center"/>
    </xf>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63" fillId="39" borderId="0" applyNumberFormat="0" applyBorder="0" applyAlignment="0" applyProtection="0">
      <alignment vertical="center"/>
    </xf>
    <xf numFmtId="0" fontId="63" fillId="36" borderId="0" applyNumberFormat="0" applyBorder="0" applyAlignment="0" applyProtection="0">
      <alignment vertical="center"/>
    </xf>
    <xf numFmtId="0" fontId="63" fillId="37"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42" borderId="0" applyNumberFormat="0" applyBorder="0" applyAlignment="0" applyProtection="0">
      <alignment vertical="center"/>
    </xf>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5"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7"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0"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5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5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54"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4" fillId="58"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9"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0"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297" fontId="66" fillId="0" borderId="0">
      <alignment vertical="top"/>
    </xf>
    <xf numFmtId="174" fontId="38" fillId="0" borderId="0">
      <alignment vertical="top"/>
    </xf>
    <xf numFmtId="174" fontId="67" fillId="0" borderId="0">
      <alignment horizontal="right"/>
    </xf>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70" fillId="63" borderId="49"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69" fillId="62" borderId="48"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53"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71" fillId="64" borderId="50" applyNumberFormat="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72" fillId="0" borderId="52"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0" fontId="73" fillId="0" borderId="0"/>
    <xf numFmtId="0" fontId="74" fillId="0" borderId="0"/>
    <xf numFmtId="0" fontId="73" fillId="0" borderId="0"/>
    <xf numFmtId="0" fontId="74" fillId="0" borderId="0"/>
    <xf numFmtId="298" fontId="38" fillId="0" borderId="0" applyFont="0" applyFill="0" applyBorder="0" applyAlignment="0" applyProtection="0"/>
    <xf numFmtId="299" fontId="38" fillId="0" borderId="0" applyFont="0" applyFill="0" applyBorder="0" applyAlignment="0" applyProtection="0"/>
    <xf numFmtId="0" fontId="60" fillId="0" borderId="0">
      <protection locked="0"/>
    </xf>
    <xf numFmtId="0" fontId="60" fillId="0" borderId="0">
      <protection locked="0"/>
    </xf>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8"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9" borderId="0" applyNumberFormat="0" applyBorder="0" applyAlignment="0" applyProtection="0"/>
    <xf numFmtId="0" fontId="76" fillId="0" borderId="0">
      <protection locked="0"/>
    </xf>
    <xf numFmtId="0" fontId="76" fillId="0" borderId="0">
      <protection locked="0"/>
    </xf>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6"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9"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77" fillId="59" borderId="48" applyNumberFormat="0" applyAlignment="0" applyProtection="0"/>
    <xf numFmtId="0" fontId="47" fillId="0" borderId="0" applyNumberFormat="0" applyFill="0" applyBorder="0" applyAlignment="0" applyProtection="0"/>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0" fontId="60" fillId="0" borderId="0">
      <protection locked="0"/>
    </xf>
    <xf numFmtId="300" fontId="60" fillId="0" borderId="0">
      <protection locked="0"/>
    </xf>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301" fontId="38" fillId="0" borderId="0" applyFont="0" applyFill="0" applyBorder="0" applyAlignment="0" applyProtection="0"/>
    <xf numFmtId="302"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3"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44" fontId="38" fillId="0" borderId="0" applyFont="0" applyFill="0" applyBorder="0" applyAlignment="0" applyProtection="0"/>
    <xf numFmtId="44" fontId="26"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304"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60" fillId="0" borderId="0">
      <protection locked="0"/>
    </xf>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37" fontId="81"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48" fillId="0" borderId="0">
      <alignment vertical="top"/>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8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8"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178"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38" fillId="0" borderId="0"/>
    <xf numFmtId="0" fontId="38" fillId="0" borderId="0"/>
    <xf numFmtId="0" fontId="38"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51" fillId="0" borderId="0" applyNumberFormat="0" applyFont="0" applyFill="0" applyBorder="0" applyAlignment="0" applyProtection="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5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41"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26" fillId="0" borderId="0"/>
    <xf numFmtId="0" fontId="26" fillId="0" borderId="0"/>
    <xf numFmtId="0" fontId="26"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64"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xf numFmtId="0" fontId="38" fillId="0" borderId="0"/>
    <xf numFmtId="171"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305" fontId="45"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306" fontId="45" fillId="0" borderId="0"/>
    <xf numFmtId="306" fontId="45" fillId="0" borderId="0"/>
    <xf numFmtId="306" fontId="45" fillId="0" borderId="0"/>
    <xf numFmtId="306" fontId="45"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306" fontId="45" fillId="0" borderId="0"/>
    <xf numFmtId="306" fontId="45" fillId="0" borderId="0"/>
    <xf numFmtId="306" fontId="45" fillId="0" borderId="0"/>
    <xf numFmtId="0" fontId="1" fillId="0" borderId="0"/>
    <xf numFmtId="0" fontId="1" fillId="0" borderId="0"/>
    <xf numFmtId="0" fontId="41" fillId="0" borderId="0" applyNumberFormat="0" applyFill="0" applyBorder="0" applyAlignment="0" applyProtection="0"/>
    <xf numFmtId="0" fontId="51" fillId="0" borderId="0" applyNumberFormat="0" applyFont="0" applyFill="0" applyBorder="0" applyAlignment="0" applyProtection="0"/>
    <xf numFmtId="0" fontId="41" fillId="0" borderId="0" applyNumberFormat="0" applyFill="0" applyBorder="0" applyAlignment="0" applyProtection="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83" fillId="0" borderId="0"/>
    <xf numFmtId="0" fontId="83" fillId="0" borderId="0"/>
    <xf numFmtId="0" fontId="83"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applyNumberFormat="0" applyFont="0" applyFill="0" applyBorder="0" applyAlignment="0" applyProtection="0"/>
    <xf numFmtId="0" fontId="38" fillId="0" borderId="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77" borderId="0"/>
    <xf numFmtId="0" fontId="86" fillId="77"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86" fillId="77" borderId="0"/>
    <xf numFmtId="0" fontId="86" fillId="77" borderId="0"/>
    <xf numFmtId="0" fontId="86" fillId="77" borderId="0"/>
    <xf numFmtId="0" fontId="51"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ont="0" applyFill="0" applyBorder="0" applyAlignment="0" applyProtection="0"/>
    <xf numFmtId="0" fontId="38" fillId="0" borderId="0"/>
    <xf numFmtId="0" fontId="38" fillId="0" borderId="0"/>
    <xf numFmtId="0" fontId="38"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86" fillId="58" borderId="48" applyNumberFormat="0" applyFont="0" applyAlignment="0" applyProtection="0"/>
    <xf numFmtId="0" fontId="86" fillId="58" borderId="48" applyNumberFormat="0" applyFont="0" applyAlignment="0" applyProtection="0"/>
    <xf numFmtId="0" fontId="86" fillId="58" borderId="48"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0" applyNumberFormat="0" applyFont="0" applyFill="0" applyBorder="0" applyAlignment="0" applyProtection="0"/>
    <xf numFmtId="0" fontId="38" fillId="58" borderId="53" applyNumberFormat="0" applyFont="0" applyAlignment="0" applyProtection="0"/>
    <xf numFmtId="0" fontId="38" fillId="58" borderId="53" applyNumberFormat="0" applyFont="0" applyAlignment="0" applyProtection="0"/>
    <xf numFmtId="0" fontId="38" fillId="58" borderId="53"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0" borderId="47" applyNumberFormat="0" applyFont="0" applyAlignment="0" applyProtection="0"/>
    <xf numFmtId="0" fontId="51" fillId="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51" fillId="10" borderId="47" applyNumberFormat="0" applyFont="0" applyAlignment="0" applyProtection="0"/>
    <xf numFmtId="0" fontId="86" fillId="58" borderId="48" applyNumberFormat="0" applyFont="0" applyAlignment="0" applyProtection="0"/>
    <xf numFmtId="0" fontId="51" fillId="0" borderId="0" applyNumberFormat="0" applyFont="0" applyFill="0" applyBorder="0" applyAlignment="0" applyProtection="0"/>
    <xf numFmtId="307" fontId="60" fillId="0" borderId="0">
      <protection locked="0"/>
    </xf>
    <xf numFmtId="307" fontId="60" fillId="0" borderId="0">
      <protection locked="0"/>
    </xf>
    <xf numFmtId="307" fontId="60" fillId="0" borderId="0">
      <protection locked="0"/>
    </xf>
    <xf numFmtId="0" fontId="51" fillId="0" borderId="0" applyNumberFormat="0" applyFont="0" applyFill="0" applyBorder="0" applyAlignment="0" applyProtection="0"/>
    <xf numFmtId="308" fontId="60" fillId="0" borderId="0">
      <protection locked="0"/>
    </xf>
    <xf numFmtId="308" fontId="60" fillId="0" borderId="0">
      <protection locked="0"/>
    </xf>
    <xf numFmtId="308" fontId="60" fillId="0" borderId="0">
      <protection locked="0"/>
    </xf>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26"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87" fillId="0" borderId="0" applyFont="0" applyFill="0" applyBorder="0" applyAlignmen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0" fontId="60" fillId="0" borderId="0">
      <protection locked="0"/>
    </xf>
    <xf numFmtId="0" fontId="60" fillId="0" borderId="0">
      <protection locked="0"/>
    </xf>
    <xf numFmtId="0" fontId="60"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1" fillId="0" borderId="0" applyNumberFormat="0" applyFont="0" applyFill="0" applyBorder="0" applyAlignment="0" applyProtection="0"/>
    <xf numFmtId="38" fontId="88" fillId="0" borderId="0"/>
    <xf numFmtId="38" fontId="88" fillId="0" borderId="0"/>
    <xf numFmtId="38" fontId="88" fillId="0" borderId="0"/>
    <xf numFmtId="0" fontId="51" fillId="0" borderId="0" applyNumberFormat="0" applyFont="0" applyFill="0" applyBorder="0" applyAlignment="0" applyProtection="0"/>
    <xf numFmtId="309" fontId="67" fillId="0" borderId="0"/>
    <xf numFmtId="309" fontId="67" fillId="0" borderId="0"/>
    <xf numFmtId="309" fontId="67" fillId="0" borderId="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51" fillId="0" borderId="0" applyNumberFormat="0" applyFont="0" applyFill="0" applyBorder="0" applyAlignment="0" applyProtection="0"/>
    <xf numFmtId="0" fontId="89" fillId="63" borderId="54" applyNumberFormat="0" applyAlignment="0" applyProtection="0"/>
    <xf numFmtId="0" fontId="89" fillId="63" borderId="54" applyNumberFormat="0" applyAlignment="0" applyProtection="0"/>
    <xf numFmtId="0" fontId="89" fillId="63"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89" fillId="62" borderId="54" applyNumberFormat="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86" fillId="78" borderId="48" applyNumberFormat="0" applyProtection="0">
      <alignment vertical="center"/>
    </xf>
    <xf numFmtId="4" fontId="86" fillId="78" borderId="48"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4" fontId="86" fillId="78" borderId="48"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4" fontId="46" fillId="78" borderId="55" applyNumberFormat="0" applyProtection="0">
      <alignment vertical="center"/>
    </xf>
    <xf numFmtId="4" fontId="46" fillId="78" borderId="55" applyNumberFormat="0" applyProtection="0">
      <alignment vertical="center"/>
    </xf>
    <xf numFmtId="4" fontId="46"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1" fillId="79" borderId="48" applyNumberFormat="0" applyProtection="0">
      <alignment vertical="center"/>
    </xf>
    <xf numFmtId="4" fontId="91" fillId="79" borderId="48"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8" borderId="55" applyNumberFormat="0" applyProtection="0">
      <alignment vertical="center"/>
    </xf>
    <xf numFmtId="4" fontId="90" fillId="78" borderId="55" applyNumberFormat="0" applyProtection="0">
      <alignment vertical="center"/>
    </xf>
    <xf numFmtId="4" fontId="90" fillId="78" borderId="55"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4" fontId="91" fillId="79" borderId="48"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4" fontId="90" fillId="79" borderId="55" applyNumberFormat="0" applyProtection="0">
      <alignment vertical="center"/>
    </xf>
    <xf numFmtId="4" fontId="90" fillId="79" borderId="55" applyNumberFormat="0" applyProtection="0">
      <alignment vertical="center"/>
    </xf>
    <xf numFmtId="4" fontId="90" fillId="79"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86" fillId="79" borderId="48" applyNumberFormat="0" applyProtection="0">
      <alignment horizontal="left" vertical="center" indent="1"/>
    </xf>
    <xf numFmtId="4" fontId="86" fillId="79" borderId="48"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8" borderId="55" applyNumberFormat="0" applyProtection="0">
      <alignment horizontal="left" vertical="center" indent="1"/>
    </xf>
    <xf numFmtId="4" fontId="46" fillId="78" borderId="55" applyNumberFormat="0" applyProtection="0">
      <alignment horizontal="left" vertical="center" indent="1"/>
    </xf>
    <xf numFmtId="4" fontId="46" fillId="78" borderId="55"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4" fontId="86" fillId="79" borderId="48"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4" fontId="46" fillId="79" borderId="55" applyNumberFormat="0" applyProtection="0">
      <alignment horizontal="left" vertical="center" indent="1"/>
    </xf>
    <xf numFmtId="4" fontId="46" fillId="79" borderId="55" applyNumberFormat="0" applyProtection="0">
      <alignment horizontal="left" vertical="center" indent="1"/>
    </xf>
    <xf numFmtId="4" fontId="46" fillId="7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92" fillId="78" borderId="55" applyNumberFormat="0" applyProtection="0">
      <alignment horizontal="left" vertical="top" indent="1"/>
    </xf>
    <xf numFmtId="0" fontId="92" fillId="78"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8" borderId="55" applyNumberFormat="0" applyProtection="0">
      <alignment horizontal="left" vertical="top" indent="1"/>
    </xf>
    <xf numFmtId="0" fontId="46" fillId="78" borderId="55" applyNumberFormat="0" applyProtection="0">
      <alignment horizontal="left" vertical="top" indent="1"/>
    </xf>
    <xf numFmtId="0" fontId="46"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92" fillId="78"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46" fillId="79" borderId="55" applyNumberFormat="0" applyProtection="0">
      <alignment horizontal="left" vertical="top" indent="1"/>
    </xf>
    <xf numFmtId="0" fontId="46" fillId="79" borderId="55" applyNumberFormat="0" applyProtection="0">
      <alignment horizontal="left" vertical="top" indent="1"/>
    </xf>
    <xf numFmtId="0" fontId="46" fillId="7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4" fontId="46" fillId="80" borderId="0" applyNumberFormat="0" applyProtection="0">
      <alignment horizontal="left" vertical="center" indent="1"/>
    </xf>
    <xf numFmtId="4" fontId="46" fillId="80" borderId="0" applyNumberFormat="0" applyProtection="0">
      <alignment horizontal="left" vertical="center" indent="1"/>
    </xf>
    <xf numFmtId="4" fontId="46"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86" fillId="30" borderId="48" applyNumberFormat="0" applyProtection="0">
      <alignment horizontal="right" vertical="center"/>
    </xf>
    <xf numFmtId="4" fontId="86" fillId="30" borderId="48"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4" fontId="86" fillId="30" borderId="48"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4" fontId="48" fillId="30" borderId="55" applyNumberFormat="0" applyProtection="0">
      <alignment horizontal="right" vertical="center"/>
    </xf>
    <xf numFmtId="4" fontId="48" fillId="30" borderId="55" applyNumberFormat="0" applyProtection="0">
      <alignment horizontal="right" vertical="center"/>
    </xf>
    <xf numFmtId="4" fontId="48" fillId="30"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86" fillId="82" borderId="48" applyNumberFormat="0" applyProtection="0">
      <alignment horizontal="right" vertical="center"/>
    </xf>
    <xf numFmtId="4" fontId="86" fillId="82" borderId="48"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4" fontId="86" fillId="82" borderId="48"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4" fontId="48" fillId="36" borderId="55" applyNumberFormat="0" applyProtection="0">
      <alignment horizontal="right" vertical="center"/>
    </xf>
    <xf numFmtId="4" fontId="48" fillId="36" borderId="55" applyNumberFormat="0" applyProtection="0">
      <alignment horizontal="right" vertical="center"/>
    </xf>
    <xf numFmtId="4" fontId="48" fillId="3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86" fillId="83" borderId="56" applyNumberFormat="0" applyProtection="0">
      <alignment horizontal="right" vertical="center"/>
    </xf>
    <xf numFmtId="4" fontId="86" fillId="83" borderId="56"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4" fontId="86" fillId="83" borderId="56"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4" fontId="48" fillId="83" borderId="55" applyNumberFormat="0" applyProtection="0">
      <alignment horizontal="right" vertical="center"/>
    </xf>
    <xf numFmtId="4" fontId="48" fillId="83" borderId="55" applyNumberFormat="0" applyProtection="0">
      <alignment horizontal="right" vertical="center"/>
    </xf>
    <xf numFmtId="4" fontId="48" fillId="83"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86" fillId="38" borderId="48" applyNumberFormat="0" applyProtection="0">
      <alignment horizontal="right" vertical="center"/>
    </xf>
    <xf numFmtId="4" fontId="86" fillId="38" borderId="48"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4" fontId="86" fillId="38" borderId="48"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4" fontId="48" fillId="38" borderId="55" applyNumberFormat="0" applyProtection="0">
      <alignment horizontal="right" vertical="center"/>
    </xf>
    <xf numFmtId="4" fontId="48" fillId="38" borderId="55" applyNumberFormat="0" applyProtection="0">
      <alignment horizontal="right" vertical="center"/>
    </xf>
    <xf numFmtId="4" fontId="48" fillId="3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86" fillId="42" borderId="48" applyNumberFormat="0" applyProtection="0">
      <alignment horizontal="right" vertical="center"/>
    </xf>
    <xf numFmtId="4" fontId="86" fillId="42" borderId="48"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4" fontId="86" fillId="42" borderId="48"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4" fontId="48" fillId="42" borderId="55" applyNumberFormat="0" applyProtection="0">
      <alignment horizontal="right" vertical="center"/>
    </xf>
    <xf numFmtId="4" fontId="48" fillId="42" borderId="55" applyNumberFormat="0" applyProtection="0">
      <alignment horizontal="right" vertical="center"/>
    </xf>
    <xf numFmtId="4" fontId="48" fillId="42"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86" fillId="84" borderId="48" applyNumberFormat="0" applyProtection="0">
      <alignment horizontal="right" vertical="center"/>
    </xf>
    <xf numFmtId="4" fontId="86" fillId="84" borderId="48"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4" fontId="86" fillId="84" borderId="48"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4" fontId="48" fillId="84" borderId="55" applyNumberFormat="0" applyProtection="0">
      <alignment horizontal="right" vertical="center"/>
    </xf>
    <xf numFmtId="4" fontId="48" fillId="84" borderId="55" applyNumberFormat="0" applyProtection="0">
      <alignment horizontal="right" vertical="center"/>
    </xf>
    <xf numFmtId="4" fontId="48" fillId="84"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86" fillId="85" borderId="48" applyNumberFormat="0" applyProtection="0">
      <alignment horizontal="right" vertical="center"/>
    </xf>
    <xf numFmtId="4" fontId="86" fillId="85" borderId="48"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4" fontId="86" fillId="85" borderId="48"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4" fontId="48" fillId="85" borderId="55" applyNumberFormat="0" applyProtection="0">
      <alignment horizontal="right" vertical="center"/>
    </xf>
    <xf numFmtId="4" fontId="48" fillId="85" borderId="55" applyNumberFormat="0" applyProtection="0">
      <alignment horizontal="right" vertical="center"/>
    </xf>
    <xf numFmtId="4" fontId="48" fillId="85"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86" fillId="86" borderId="48" applyNumberFormat="0" applyProtection="0">
      <alignment horizontal="right" vertical="center"/>
    </xf>
    <xf numFmtId="4" fontId="86" fillId="86" borderId="48"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4" fontId="86" fillId="86" borderId="48"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4" fontId="48" fillId="86" borderId="55" applyNumberFormat="0" applyProtection="0">
      <alignment horizontal="right" vertical="center"/>
    </xf>
    <xf numFmtId="4" fontId="48" fillId="86" borderId="55" applyNumberFormat="0" applyProtection="0">
      <alignment horizontal="right" vertical="center"/>
    </xf>
    <xf numFmtId="4" fontId="48" fillId="86"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86" fillId="37" borderId="48" applyNumberFormat="0" applyProtection="0">
      <alignment horizontal="right" vertical="center"/>
    </xf>
    <xf numFmtId="4" fontId="86" fillId="37" borderId="48"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4" fontId="86" fillId="37" borderId="48"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4" fontId="48" fillId="37" borderId="55" applyNumberFormat="0" applyProtection="0">
      <alignment horizontal="right" vertical="center"/>
    </xf>
    <xf numFmtId="4" fontId="48" fillId="37" borderId="55" applyNumberFormat="0" applyProtection="0">
      <alignment horizontal="right" vertical="center"/>
    </xf>
    <xf numFmtId="4" fontId="48" fillId="37"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86" fillId="87" borderId="56" applyNumberFormat="0" applyProtection="0">
      <alignment horizontal="left" vertical="center" indent="1"/>
    </xf>
    <xf numFmtId="4" fontId="86" fillId="87" borderId="56"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4" fontId="86" fillId="87" borderId="56"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4" fontId="46" fillId="87" borderId="57" applyNumberFormat="0" applyProtection="0">
      <alignment horizontal="left" vertical="center" indent="1"/>
    </xf>
    <xf numFmtId="4" fontId="46" fillId="87" borderId="57" applyNumberFormat="0" applyProtection="0">
      <alignment horizontal="left" vertical="center" indent="1"/>
    </xf>
    <xf numFmtId="4" fontId="46" fillId="87" borderId="57"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38" fillId="89" borderId="56"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4" fontId="38" fillId="89"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89"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4" fontId="93" fillId="90" borderId="0" applyNumberFormat="0" applyProtection="0">
      <alignment horizontal="left" vertical="center" indent="1"/>
    </xf>
    <xf numFmtId="4" fontId="93" fillId="90" borderId="0" applyNumberFormat="0" applyProtection="0">
      <alignment horizontal="left" vertical="center" indent="1"/>
    </xf>
    <xf numFmtId="4" fontId="93" fillId="9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86" fillId="81" borderId="48" applyNumberFormat="0" applyProtection="0">
      <alignment horizontal="right" vertical="center"/>
    </xf>
    <xf numFmtId="4" fontId="86" fillId="81" borderId="48"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4" fontId="86" fillId="81" borderId="48"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4" fontId="48" fillId="81" borderId="55" applyNumberFormat="0" applyProtection="0">
      <alignment horizontal="right" vertical="center"/>
    </xf>
    <xf numFmtId="4" fontId="48" fillId="81" borderId="55" applyNumberFormat="0" applyProtection="0">
      <alignment horizontal="right" vertical="center"/>
    </xf>
    <xf numFmtId="4" fontId="48" fillId="81"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4" fontId="86" fillId="88" borderId="56"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4" fontId="48" fillId="88" borderId="0" applyNumberFormat="0" applyProtection="0">
      <alignment horizontal="left" vertical="center" indent="1"/>
    </xf>
    <xf numFmtId="4" fontId="48" fillId="88" borderId="0" applyNumberFormat="0" applyProtection="0">
      <alignment horizontal="left" vertical="center" indent="1"/>
    </xf>
    <xf numFmtId="4" fontId="48" fillId="8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4" fontId="86" fillId="81" borderId="56"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4" fontId="48" fillId="80" borderId="0" applyNumberFormat="0" applyProtection="0">
      <alignment horizontal="left" vertical="center" indent="1"/>
    </xf>
    <xf numFmtId="4" fontId="48" fillId="80" borderId="0" applyNumberFormat="0" applyProtection="0">
      <alignment horizontal="left" vertical="center" indent="1"/>
    </xf>
    <xf numFmtId="4" fontId="48" fillId="80"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1" borderId="48"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86" fillId="91"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89"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38" fillId="90" borderId="55" applyNumberFormat="0" applyProtection="0">
      <alignment horizontal="left" vertical="center" indent="1"/>
    </xf>
    <xf numFmtId="0" fontId="38" fillId="90" borderId="55" applyNumberFormat="0" applyProtection="0">
      <alignment horizontal="left" vertical="center" indent="1"/>
    </xf>
    <xf numFmtId="0" fontId="38" fillId="9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86" fillId="89" borderId="55" applyNumberFormat="0" applyProtection="0">
      <alignment horizontal="left" vertical="top" indent="1"/>
    </xf>
    <xf numFmtId="0" fontId="86" fillId="89"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38" fillId="89" borderId="55" applyNumberFormat="0" applyProtection="0">
      <alignment horizontal="left" vertical="top" indent="1"/>
    </xf>
    <xf numFmtId="0" fontId="38" fillId="89" borderId="55" applyNumberFormat="0" applyProtection="0">
      <alignment horizontal="left" vertical="top" indent="1"/>
    </xf>
    <xf numFmtId="0" fontId="38"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86" fillId="89" borderId="55" applyNumberFormat="0" applyProtection="0">
      <alignment horizontal="left" vertical="top" indent="1"/>
    </xf>
    <xf numFmtId="0" fontId="51" fillId="0" borderId="0" applyNumberFormat="0" applyFont="0" applyFill="0" applyBorder="0" applyAlignment="0" applyProtection="0"/>
    <xf numFmtId="0" fontId="38" fillId="90" borderId="55" applyNumberFormat="0" applyProtection="0">
      <alignment horizontal="left" vertical="top" indent="1"/>
    </xf>
    <xf numFmtId="0" fontId="38" fillId="90" borderId="55" applyNumberFormat="0" applyProtection="0">
      <alignment horizontal="left" vertical="top" indent="1"/>
    </xf>
    <xf numFmtId="0" fontId="38" fillId="9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92" borderId="48"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86" fillId="92"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1"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38" fillId="80" borderId="55" applyNumberFormat="0" applyProtection="0">
      <alignment horizontal="left" vertical="center" indent="1"/>
    </xf>
    <xf numFmtId="0" fontId="38" fillId="80" borderId="55" applyNumberFormat="0" applyProtection="0">
      <alignment horizontal="left" vertical="center" indent="1"/>
    </xf>
    <xf numFmtId="0" fontId="38" fillId="80"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86" fillId="81" borderId="55" applyNumberFormat="0" applyProtection="0">
      <alignment horizontal="left" vertical="top" indent="1"/>
    </xf>
    <xf numFmtId="0" fontId="86" fillId="81"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38" fillId="81" borderId="55" applyNumberFormat="0" applyProtection="0">
      <alignment horizontal="left" vertical="top" indent="1"/>
    </xf>
    <xf numFmtId="0" fontId="38" fillId="81" borderId="55" applyNumberFormat="0" applyProtection="0">
      <alignment horizontal="left" vertical="top" indent="1"/>
    </xf>
    <xf numFmtId="0" fontId="38"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86" fillId="81" borderId="55" applyNumberFormat="0" applyProtection="0">
      <alignment horizontal="left" vertical="top" indent="1"/>
    </xf>
    <xf numFmtId="0" fontId="51" fillId="0" borderId="0" applyNumberFormat="0" applyFont="0" applyFill="0" applyBorder="0" applyAlignment="0" applyProtection="0"/>
    <xf numFmtId="0" fontId="38" fillId="80" borderId="55" applyNumberFormat="0" applyProtection="0">
      <alignment horizontal="left" vertical="top" indent="1"/>
    </xf>
    <xf numFmtId="0" fontId="38" fillId="80" borderId="55" applyNumberFormat="0" applyProtection="0">
      <alignment horizontal="left" vertical="top" indent="1"/>
    </xf>
    <xf numFmtId="0" fontId="3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48"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86" fillId="35"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35"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38" fillId="93" borderId="55" applyNumberFormat="0" applyProtection="0">
      <alignment horizontal="left" vertical="center" indent="1"/>
    </xf>
    <xf numFmtId="0" fontId="38" fillId="93" borderId="55" applyNumberFormat="0" applyProtection="0">
      <alignment horizontal="left" vertical="center" indent="1"/>
    </xf>
    <xf numFmtId="0" fontId="38" fillId="93"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86" fillId="35" borderId="55" applyNumberFormat="0" applyProtection="0">
      <alignment horizontal="left" vertical="top" indent="1"/>
    </xf>
    <xf numFmtId="0" fontId="86" fillId="35"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38" fillId="35" borderId="55" applyNumberFormat="0" applyProtection="0">
      <alignment horizontal="left" vertical="top" indent="1"/>
    </xf>
    <xf numFmtId="0" fontId="38" fillId="35" borderId="55" applyNumberFormat="0" applyProtection="0">
      <alignment horizontal="left" vertical="top" indent="1"/>
    </xf>
    <xf numFmtId="0" fontId="38"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86" fillId="35" borderId="55" applyNumberFormat="0" applyProtection="0">
      <alignment horizontal="left" vertical="top" indent="1"/>
    </xf>
    <xf numFmtId="0" fontId="51" fillId="0" borderId="0" applyNumberFormat="0" applyFont="0" applyFill="0" applyBorder="0" applyAlignment="0" applyProtection="0"/>
    <xf numFmtId="0" fontId="38" fillId="93" borderId="55" applyNumberFormat="0" applyProtection="0">
      <alignment horizontal="left" vertical="top" indent="1"/>
    </xf>
    <xf numFmtId="0" fontId="38" fillId="93" borderId="55" applyNumberFormat="0" applyProtection="0">
      <alignment horizontal="left" vertical="top" indent="1"/>
    </xf>
    <xf numFmtId="0" fontId="38" fillId="93"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48"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86" fillId="88" borderId="48"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88"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38" fillId="94" borderId="55" applyNumberFormat="0" applyProtection="0">
      <alignment horizontal="left" vertical="center" indent="1"/>
    </xf>
    <xf numFmtId="0" fontId="38" fillId="94" borderId="55" applyNumberFormat="0" applyProtection="0">
      <alignment horizontal="left" vertical="center" indent="1"/>
    </xf>
    <xf numFmtId="0" fontId="38" fillId="94"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86" fillId="88" borderId="55" applyNumberFormat="0" applyProtection="0">
      <alignment horizontal="left" vertical="top" indent="1"/>
    </xf>
    <xf numFmtId="0" fontId="86" fillId="88"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38" fillId="88" borderId="55" applyNumberFormat="0" applyProtection="0">
      <alignment horizontal="left" vertical="top" indent="1"/>
    </xf>
    <xf numFmtId="0" fontId="38" fillId="88" borderId="55" applyNumberFormat="0" applyProtection="0">
      <alignment horizontal="left" vertical="top" indent="1"/>
    </xf>
    <xf numFmtId="0" fontId="38"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86" fillId="88" borderId="55" applyNumberFormat="0" applyProtection="0">
      <alignment horizontal="left" vertical="top" indent="1"/>
    </xf>
    <xf numFmtId="0" fontId="51" fillId="0" borderId="0" applyNumberFormat="0" applyFont="0" applyFill="0" applyBorder="0" applyAlignment="0" applyProtection="0"/>
    <xf numFmtId="0" fontId="38" fillId="94" borderId="55" applyNumberFormat="0" applyProtection="0">
      <alignment horizontal="left" vertical="top" indent="1"/>
    </xf>
    <xf numFmtId="0" fontId="38" fillId="94" borderId="55" applyNumberFormat="0" applyProtection="0">
      <alignment horizontal="left" vertical="top" indent="1"/>
    </xf>
    <xf numFmtId="0" fontId="38" fillId="94"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6" fillId="95" borderId="58" applyNumberFormat="0">
      <protection locked="0"/>
    </xf>
    <xf numFmtId="0" fontId="38" fillId="95" borderId="4" applyNumberFormat="0">
      <protection locked="0"/>
    </xf>
    <xf numFmtId="0" fontId="38" fillId="95" borderId="4" applyNumberFormat="0">
      <protection locked="0"/>
    </xf>
    <xf numFmtId="0" fontId="38" fillId="95" borderId="4"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6" fillId="95" borderId="58" applyNumberFormat="0">
      <protection locked="0"/>
    </xf>
    <xf numFmtId="0" fontId="86" fillId="95" borderId="58" applyNumberFormat="0">
      <protection locked="0"/>
    </xf>
    <xf numFmtId="0" fontId="85" fillId="0" borderId="0"/>
    <xf numFmtId="0" fontId="85" fillId="0" borderId="0"/>
    <xf numFmtId="0" fontId="85" fillId="0" borderId="0"/>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86" fillId="95" borderId="58" applyNumberFormat="0">
      <protection locked="0"/>
    </xf>
    <xf numFmtId="0" fontId="51" fillId="0" borderId="0" applyNumberFormat="0" applyFont="0" applyFill="0" applyBorder="0" applyAlignment="0" applyProtection="0"/>
    <xf numFmtId="0" fontId="85" fillId="0" borderId="0"/>
    <xf numFmtId="0" fontId="85" fillId="0" borderId="0"/>
    <xf numFmtId="0" fontId="85" fillId="0" borderId="0"/>
    <xf numFmtId="0" fontId="51" fillId="0" borderId="0" applyNumberFormat="0" applyFont="0" applyFill="0" applyBorder="0" applyAlignment="0" applyProtection="0"/>
    <xf numFmtId="0" fontId="94" fillId="89" borderId="59" applyBorder="0"/>
    <xf numFmtId="0" fontId="94" fillId="89" borderId="59" applyBorder="0"/>
    <xf numFmtId="0" fontId="94" fillId="89" borderId="59" applyBorder="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95" fillId="97" borderId="55" applyNumberFormat="0" applyProtection="0">
      <alignment vertical="center"/>
    </xf>
    <xf numFmtId="4" fontId="95" fillId="97"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7" borderId="55" applyNumberFormat="0" applyProtection="0">
      <alignment vertical="center"/>
    </xf>
    <xf numFmtId="4" fontId="48" fillId="97" borderId="55" applyNumberFormat="0" applyProtection="0">
      <alignment vertical="center"/>
    </xf>
    <xf numFmtId="4" fontId="48"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4" fontId="95" fillId="97"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4" fontId="48" fillId="96" borderId="55" applyNumberFormat="0" applyProtection="0">
      <alignment vertical="center"/>
    </xf>
    <xf numFmtId="4" fontId="48" fillId="96" borderId="55" applyNumberFormat="0" applyProtection="0">
      <alignment vertical="center"/>
    </xf>
    <xf numFmtId="4" fontId="48"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1" fillId="96" borderId="4" applyNumberFormat="0" applyProtection="0">
      <alignment vertical="center"/>
    </xf>
    <xf numFmtId="4" fontId="91" fillId="96" borderId="4"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7" borderId="55" applyNumberFormat="0" applyProtection="0">
      <alignment vertical="center"/>
    </xf>
    <xf numFmtId="4" fontId="96" fillId="97" borderId="55" applyNumberFormat="0" applyProtection="0">
      <alignment vertical="center"/>
    </xf>
    <xf numFmtId="4" fontId="96" fillId="97" borderId="55"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4" fontId="91" fillId="96" borderId="4"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4" fontId="96" fillId="96" borderId="55" applyNumberFormat="0" applyProtection="0">
      <alignment vertical="center"/>
    </xf>
    <xf numFmtId="4" fontId="96" fillId="96" borderId="55" applyNumberFormat="0" applyProtection="0">
      <alignment vertical="center"/>
    </xf>
    <xf numFmtId="4" fontId="96" fillId="96" borderId="55" applyNumberFormat="0" applyProtection="0">
      <alignmen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95" fillId="91" borderId="55" applyNumberFormat="0" applyProtection="0">
      <alignment horizontal="left" vertical="center" indent="1"/>
    </xf>
    <xf numFmtId="4" fontId="95" fillId="91"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7" borderId="55" applyNumberFormat="0" applyProtection="0">
      <alignment horizontal="left" vertical="center" indent="1"/>
    </xf>
    <xf numFmtId="4" fontId="48" fillId="97" borderId="55" applyNumberFormat="0" applyProtection="0">
      <alignment horizontal="left" vertical="center" indent="1"/>
    </xf>
    <xf numFmtId="4" fontId="48" fillId="97"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4" fontId="95" fillId="91"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4" fontId="48" fillId="96" borderId="55" applyNumberFormat="0" applyProtection="0">
      <alignment horizontal="left" vertical="center" indent="1"/>
    </xf>
    <xf numFmtId="4" fontId="48" fillId="96" borderId="55" applyNumberFormat="0" applyProtection="0">
      <alignment horizontal="left" vertical="center" indent="1"/>
    </xf>
    <xf numFmtId="4" fontId="48" fillId="96"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95" fillId="97" borderId="55" applyNumberFormat="0" applyProtection="0">
      <alignment horizontal="left" vertical="top" indent="1"/>
    </xf>
    <xf numFmtId="0" fontId="95" fillId="97"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7" borderId="55" applyNumberFormat="0" applyProtection="0">
      <alignment horizontal="left" vertical="top" indent="1"/>
    </xf>
    <xf numFmtId="0" fontId="48" fillId="97" borderId="55" applyNumberFormat="0" applyProtection="0">
      <alignment horizontal="left" vertical="top" indent="1"/>
    </xf>
    <xf numFmtId="0" fontId="48"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95" fillId="97"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48" fillId="96" borderId="55" applyNumberFormat="0" applyProtection="0">
      <alignment horizontal="left" vertical="top" indent="1"/>
    </xf>
    <xf numFmtId="0" fontId="48" fillId="96" borderId="55" applyNumberFormat="0" applyProtection="0">
      <alignment horizontal="left" vertical="top" indent="1"/>
    </xf>
    <xf numFmtId="0" fontId="48" fillId="96"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86" fillId="0" borderId="48" applyNumberFormat="0" applyProtection="0">
      <alignment horizontal="right" vertical="center"/>
    </xf>
    <xf numFmtId="4" fontId="86" fillId="0" borderId="48"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4" fontId="86" fillId="0" borderId="48"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4" fontId="48" fillId="88" borderId="55" applyNumberFormat="0" applyProtection="0">
      <alignment horizontal="right" vertical="center"/>
    </xf>
    <xf numFmtId="4" fontId="48" fillId="88" borderId="55" applyNumberFormat="0" applyProtection="0">
      <alignment horizontal="right" vertical="center"/>
    </xf>
    <xf numFmtId="4" fontId="48"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1" fillId="8" borderId="48" applyNumberFormat="0" applyProtection="0">
      <alignment horizontal="right" vertical="center"/>
    </xf>
    <xf numFmtId="4" fontId="91" fillId="8" borderId="48"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4" fontId="91" fillId="8" borderId="48"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4" fontId="96" fillId="88" borderId="55" applyNumberFormat="0" applyProtection="0">
      <alignment horizontal="right" vertical="center"/>
    </xf>
    <xf numFmtId="4" fontId="96" fillId="88" borderId="55" applyNumberFormat="0" applyProtection="0">
      <alignment horizontal="right" vertical="center"/>
    </xf>
    <xf numFmtId="4" fontId="96"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86" fillId="41" borderId="48" applyNumberFormat="0" applyProtection="0">
      <alignment horizontal="left" vertical="center" indent="1"/>
    </xf>
    <xf numFmtId="4" fontId="86" fillId="41" borderId="48" applyNumberFormat="0" applyProtection="0">
      <alignment horizontal="left" vertical="center" indent="1"/>
    </xf>
    <xf numFmtId="4" fontId="86" fillId="41" borderId="48"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4" fontId="48" fillId="81" borderId="55" applyNumberFormat="0" applyProtection="0">
      <alignment horizontal="left" vertical="center" indent="1"/>
    </xf>
    <xf numFmtId="4" fontId="48" fillId="81" borderId="55" applyNumberFormat="0" applyProtection="0">
      <alignment horizontal="left" vertical="center" indent="1"/>
    </xf>
    <xf numFmtId="4" fontId="48" fillId="81" borderId="55"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95" fillId="81" borderId="55" applyNumberFormat="0" applyProtection="0">
      <alignment horizontal="left" vertical="top" indent="1"/>
    </xf>
    <xf numFmtId="0" fontId="95" fillId="81"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1" borderId="55" applyNumberFormat="0" applyProtection="0">
      <alignment horizontal="left" vertical="top" indent="1"/>
    </xf>
    <xf numFmtId="0" fontId="48" fillId="81" borderId="55" applyNumberFormat="0" applyProtection="0">
      <alignment horizontal="left" vertical="top" indent="1"/>
    </xf>
    <xf numFmtId="0" fontId="48"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95" fillId="81"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48" fillId="80" borderId="55" applyNumberFormat="0" applyProtection="0">
      <alignment horizontal="left" vertical="top" indent="1"/>
    </xf>
    <xf numFmtId="0" fontId="48" fillId="80" borderId="55" applyNumberFormat="0" applyProtection="0">
      <alignment horizontal="left" vertical="top" indent="1"/>
    </xf>
    <xf numFmtId="0" fontId="48" fillId="80" borderId="55" applyNumberFormat="0" applyProtection="0">
      <alignment horizontal="left" vertical="top"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8" fillId="98" borderId="56" applyNumberFormat="0" applyProtection="0">
      <alignment horizontal="left" vertical="center" indent="1"/>
    </xf>
    <xf numFmtId="4" fontId="98" fillId="98" borderId="56"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4" fontId="98" fillId="98" borderId="56"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4" fontId="97" fillId="98" borderId="0" applyNumberFormat="0" applyProtection="0">
      <alignment horizontal="left" vertical="center" indent="1"/>
    </xf>
    <xf numFmtId="4" fontId="97" fillId="98" borderId="0" applyNumberFormat="0" applyProtection="0">
      <alignment horizontal="left" vertical="center" indent="1"/>
    </xf>
    <xf numFmtId="4" fontId="97" fillId="98" borderId="0" applyNumberFormat="0" applyProtection="0">
      <alignment horizontal="left" vertical="center" indent="1"/>
    </xf>
    <xf numFmtId="0" fontId="51" fillId="0" borderId="0" applyNumberFormat="0" applyFont="0" applyFill="0" applyBorder="0" applyAlignment="0" applyProtection="0"/>
    <xf numFmtId="0" fontId="86" fillId="99" borderId="4"/>
    <xf numFmtId="0" fontId="86" fillId="99" borderId="4"/>
    <xf numFmtId="0" fontId="86" fillId="99" borderId="4"/>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100" fillId="95" borderId="48" applyNumberFormat="0" applyProtection="0">
      <alignment horizontal="right" vertical="center"/>
    </xf>
    <xf numFmtId="4" fontId="100" fillId="95" borderId="48"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4" fontId="100" fillId="95" borderId="48"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4" fontId="99" fillId="88" borderId="55" applyNumberFormat="0" applyProtection="0">
      <alignment horizontal="right" vertical="center"/>
    </xf>
    <xf numFmtId="4" fontId="99" fillId="88" borderId="55" applyNumberFormat="0" applyProtection="0">
      <alignment horizontal="right" vertical="center"/>
    </xf>
    <xf numFmtId="4" fontId="99" fillId="88" borderId="55" applyNumberFormat="0" applyProtection="0">
      <alignment horizontal="right" vertical="center"/>
    </xf>
    <xf numFmtId="0" fontId="51" fillId="0" borderId="0" applyNumberFormat="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8" fontId="50"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8" fontId="87" fillId="0" borderId="0" applyFont="0" applyFill="0" applyBorder="0" applyAlignment="0" applyProtection="0">
      <alignment vertical="center"/>
    </xf>
    <xf numFmtId="311" fontId="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0" fontId="51" fillId="0" borderId="0" applyNumberFormat="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310"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0" fontId="50"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305"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51" fillId="0" borderId="0" applyNumberFormat="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26"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43" fontId="5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51"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51" fillId="0" borderId="0" applyNumberFormat="0" applyFon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174" fontId="107" fillId="0" borderId="5"/>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51" fillId="0" borderId="0" applyNumberFormat="0" applyFont="0" applyFill="0" applyBorder="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2"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0" fontId="108" fillId="0" borderId="61" applyNumberFormat="0" applyFill="0" applyAlignment="0" applyProtection="0"/>
    <xf numFmtId="174" fontId="107" fillId="0" borderId="5"/>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51" fillId="0" borderId="0" applyNumberFormat="0" applyFont="0" applyFill="0" applyBorder="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4"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0" fontId="109" fillId="0" borderId="63" applyNumberFormat="0" applyFill="0" applyAlignment="0" applyProtection="0"/>
    <xf numFmtId="174" fontId="107" fillId="0" borderId="5"/>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262" fontId="76" fillId="0" borderId="0">
      <protection locked="0"/>
    </xf>
    <xf numFmtId="262" fontId="76" fillId="0" borderId="0">
      <protection locked="0"/>
    </xf>
    <xf numFmtId="262" fontId="76" fillId="0" borderId="0">
      <protection locked="0"/>
    </xf>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0" fontId="51" fillId="0" borderId="0" applyNumberFormat="0" applyFont="0" applyFill="0" applyBorder="0" applyAlignment="0" applyProtection="0"/>
    <xf numFmtId="0" fontId="75" fillId="0" borderId="65" applyNumberFormat="0" applyFill="0" applyAlignment="0" applyProtection="0"/>
    <xf numFmtId="0" fontId="75" fillId="0" borderId="65" applyNumberFormat="0" applyFill="0" applyAlignment="0" applyProtection="0"/>
    <xf numFmtId="0" fontId="75" fillId="0" borderId="65" applyNumberFormat="0" applyFill="0" applyAlignment="0" applyProtection="0"/>
    <xf numFmtId="43" fontId="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51" fillId="0" borderId="0" applyFont="0" applyFill="0" applyBorder="0" applyAlignment="0" applyProtection="0"/>
    <xf numFmtId="43" fontId="38" fillId="0" borderId="0" applyFont="0" applyFill="0" applyBorder="0" applyAlignment="0" applyProtection="0"/>
    <xf numFmtId="0" fontId="63" fillId="100" borderId="0" applyNumberFormat="0" applyBorder="0" applyAlignment="0" applyProtection="0">
      <alignment vertical="center"/>
    </xf>
    <xf numFmtId="0" fontId="63" fillId="83" borderId="0" applyNumberFormat="0" applyBorder="0" applyAlignment="0" applyProtection="0">
      <alignment vertical="center"/>
    </xf>
    <xf numFmtId="0" fontId="63" fillId="85"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3" fillId="84" borderId="0" applyNumberFormat="0" applyBorder="0" applyAlignment="0" applyProtection="0">
      <alignment vertical="center"/>
    </xf>
    <xf numFmtId="0" fontId="111" fillId="0" borderId="0" applyNumberFormat="0" applyFill="0" applyBorder="0" applyAlignment="0" applyProtection="0">
      <alignment vertical="center"/>
    </xf>
    <xf numFmtId="0" fontId="112" fillId="101" borderId="50" applyNumberFormat="0" applyAlignment="0" applyProtection="0">
      <alignment vertical="center"/>
    </xf>
    <xf numFmtId="0" fontId="113" fillId="78" borderId="0" applyNumberFormat="0" applyBorder="0" applyAlignment="0" applyProtection="0">
      <alignment vertical="center"/>
    </xf>
    <xf numFmtId="0" fontId="62" fillId="97" borderId="53" applyNumberFormat="0" applyFont="0" applyAlignment="0" applyProtection="0">
      <alignment vertical="center"/>
    </xf>
    <xf numFmtId="0" fontId="114" fillId="0" borderId="66" applyNumberFormat="0" applyFill="0" applyAlignment="0" applyProtection="0">
      <alignment vertical="center"/>
    </xf>
    <xf numFmtId="0" fontId="51" fillId="0" borderId="0" applyNumberFormat="0" applyFont="0" applyFill="0" applyBorder="0" applyAlignment="0" applyProtection="0"/>
    <xf numFmtId="0" fontId="115" fillId="34" borderId="49" applyNumberFormat="0" applyAlignment="0" applyProtection="0">
      <alignment vertical="center"/>
    </xf>
    <xf numFmtId="0" fontId="116" fillId="91" borderId="54" applyNumberFormat="0" applyAlignment="0" applyProtection="0">
      <alignment vertical="center"/>
    </xf>
    <xf numFmtId="0" fontId="117" fillId="30" borderId="0" applyNumberFormat="0" applyBorder="0" applyAlignment="0" applyProtection="0">
      <alignment vertical="center"/>
    </xf>
    <xf numFmtId="0" fontId="51" fillId="0" borderId="0" applyNumberFormat="0" applyFont="0" applyFill="0" applyBorder="0" applyAlignment="0" applyProtection="0"/>
    <xf numFmtId="0" fontId="118" fillId="31" borderId="0" applyNumberFormat="0" applyBorder="0" applyAlignment="0" applyProtection="0">
      <alignment vertical="center"/>
    </xf>
    <xf numFmtId="0" fontId="119" fillId="0" borderId="67" applyNumberFormat="0" applyFill="0" applyAlignment="0" applyProtection="0">
      <alignment vertical="center"/>
    </xf>
    <xf numFmtId="0" fontId="120" fillId="0" borderId="62" applyNumberFormat="0" applyFill="0" applyAlignment="0" applyProtection="0">
      <alignment vertical="center"/>
    </xf>
    <xf numFmtId="0" fontId="121" fillId="0" borderId="68" applyNumberFormat="0" applyFill="0" applyAlignment="0" applyProtection="0">
      <alignment vertical="center"/>
    </xf>
    <xf numFmtId="0" fontId="121" fillId="0" borderId="0" applyNumberFormat="0" applyFill="0" applyBorder="0" applyAlignment="0" applyProtection="0">
      <alignment vertical="center"/>
    </xf>
    <xf numFmtId="0" fontId="122" fillId="91" borderId="49" applyNumberFormat="0" applyAlignment="0" applyProtection="0">
      <alignment vertical="center"/>
    </xf>
    <xf numFmtId="0" fontId="123"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5" fillId="0" borderId="69" applyNumberFormat="0" applyFill="0" applyAlignment="0" applyProtection="0">
      <alignment vertical="center"/>
    </xf>
    <xf numFmtId="0" fontId="126" fillId="0" borderId="0" applyNumberFormat="0" applyFill="0" applyBorder="0" applyAlignment="0" applyProtection="0">
      <alignment vertical="top"/>
      <protection locked="0"/>
    </xf>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26" fillId="0" borderId="0" applyFont="0" applyFill="0" applyBorder="0" applyAlignment="0" applyProtection="0"/>
    <xf numFmtId="0" fontId="38" fillId="0" borderId="0"/>
    <xf numFmtId="43" fontId="38" fillId="0" borderId="0" applyFont="0" applyFill="0" applyBorder="0" applyAlignment="0" applyProtection="0"/>
  </cellStyleXfs>
  <cellXfs count="418">
    <xf numFmtId="0" fontId="0" fillId="0" borderId="0" xfId="0"/>
    <xf numFmtId="0" fontId="6" fillId="0" borderId="0" xfId="0" applyFont="1" applyAlignment="1">
      <alignment horizontal="left"/>
    </xf>
    <xf numFmtId="0" fontId="7" fillId="0" borderId="0" xfId="3" applyFont="1"/>
    <xf numFmtId="0" fontId="10" fillId="0" borderId="0" xfId="0" applyFont="1"/>
    <xf numFmtId="0" fontId="10" fillId="2" borderId="1" xfId="0" applyFont="1" applyFill="1" applyBorder="1"/>
    <xf numFmtId="10" fontId="10" fillId="2" borderId="3" xfId="2" applyNumberFormat="1" applyFont="1" applyFill="1" applyBorder="1"/>
    <xf numFmtId="3" fontId="10" fillId="2" borderId="4" xfId="0" applyNumberFormat="1" applyFont="1" applyFill="1" applyBorder="1"/>
    <xf numFmtId="0" fontId="11" fillId="3" borderId="0" xfId="0" applyFont="1" applyFill="1" applyAlignment="1">
      <alignment horizontal="left" vertical="center"/>
    </xf>
    <xf numFmtId="0" fontId="11" fillId="3" borderId="0" xfId="0" applyFont="1" applyFill="1" applyAlignment="1">
      <alignment horizontal="center" vertical="center"/>
    </xf>
    <xf numFmtId="0" fontId="12" fillId="0" borderId="0" xfId="0" applyFont="1" applyAlignment="1">
      <alignment horizontal="left" vertical="center"/>
    </xf>
    <xf numFmtId="165" fontId="12" fillId="0" borderId="0" xfId="1" applyNumberFormat="1" applyFont="1" applyAlignment="1">
      <alignment horizontal="center" vertical="center"/>
    </xf>
    <xf numFmtId="0" fontId="6" fillId="2" borderId="0" xfId="0" applyFont="1" applyFill="1" applyAlignment="1">
      <alignment horizontal="left" vertical="center"/>
    </xf>
    <xf numFmtId="165" fontId="6" fillId="2" borderId="0" xfId="1" applyNumberFormat="1" applyFont="1" applyFill="1" applyAlignment="1">
      <alignment horizontal="center" vertical="center"/>
    </xf>
    <xf numFmtId="0" fontId="6" fillId="0" borderId="0" xfId="0" applyFont="1" applyAlignment="1">
      <alignment horizontal="left" vertical="center"/>
    </xf>
    <xf numFmtId="0" fontId="13" fillId="0" borderId="0" xfId="0" applyFont="1"/>
    <xf numFmtId="0" fontId="14" fillId="0" borderId="0" xfId="0" applyFont="1"/>
    <xf numFmtId="0" fontId="9" fillId="0" borderId="0" xfId="0" applyFont="1" applyAlignment="1">
      <alignment vertical="center"/>
    </xf>
    <xf numFmtId="0" fontId="9" fillId="0" borderId="0" xfId="0" applyFont="1" applyAlignment="1">
      <alignment horizontal="center" vertical="center"/>
    </xf>
    <xf numFmtId="0" fontId="16" fillId="0" borderId="0" xfId="0" applyFont="1"/>
    <xf numFmtId="0" fontId="16" fillId="4" borderId="4" xfId="0" applyFont="1" applyFill="1" applyBorder="1" applyAlignment="1">
      <alignment horizontal="center" vertical="center"/>
    </xf>
    <xf numFmtId="0" fontId="16" fillId="3" borderId="4"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3" borderId="4" xfId="0" applyFont="1" applyFill="1" applyBorder="1" applyAlignment="1">
      <alignment horizontal="center" vertical="center"/>
    </xf>
    <xf numFmtId="3" fontId="17" fillId="0" borderId="4" xfId="0" applyNumberFormat="1" applyFont="1" applyBorder="1" applyAlignment="1">
      <alignment horizontal="center" vertical="center"/>
    </xf>
    <xf numFmtId="0" fontId="18" fillId="0" borderId="0" xfId="0" applyFont="1" applyAlignment="1">
      <alignment horizontal="left" vertical="center" readingOrder="1"/>
    </xf>
    <xf numFmtId="0" fontId="20" fillId="3" borderId="4" xfId="0" applyFont="1" applyFill="1" applyBorder="1"/>
    <xf numFmtId="0" fontId="3" fillId="3" borderId="4" xfId="0" applyFont="1" applyFill="1" applyBorder="1"/>
    <xf numFmtId="0" fontId="21" fillId="3" borderId="4" xfId="0" applyFont="1" applyFill="1" applyBorder="1" applyAlignment="1">
      <alignment horizontal="center" vertical="center"/>
    </xf>
    <xf numFmtId="0" fontId="22" fillId="0" borderId="4" xfId="0" applyFont="1" applyBorder="1"/>
    <xf numFmtId="0" fontId="0" fillId="0" borderId="4" xfId="0" applyBorder="1"/>
    <xf numFmtId="3" fontId="23" fillId="0" borderId="4" xfId="0" applyNumberFormat="1" applyFont="1" applyBorder="1" applyAlignment="1">
      <alignment horizontal="center" vertical="center"/>
    </xf>
    <xf numFmtId="3" fontId="0" fillId="0" borderId="0" xfId="0" applyNumberFormat="1"/>
    <xf numFmtId="0" fontId="16" fillId="3" borderId="1" xfId="0" applyFont="1" applyFill="1" applyBorder="1"/>
    <xf numFmtId="0" fontId="16" fillId="3" borderId="3" xfId="0" applyFont="1" applyFill="1" applyBorder="1" applyAlignment="1">
      <alignment horizontal="center" vertical="center"/>
    </xf>
    <xf numFmtId="0" fontId="17" fillId="0" borderId="11" xfId="0" applyFont="1" applyBorder="1"/>
    <xf numFmtId="3" fontId="17" fillId="0" borderId="9" xfId="0" applyNumberFormat="1" applyFont="1" applyBorder="1" applyAlignment="1">
      <alignment horizontal="center" vertical="center"/>
    </xf>
    <xf numFmtId="3" fontId="17" fillId="0" borderId="12" xfId="0" applyNumberFormat="1" applyFont="1" applyBorder="1" applyAlignment="1">
      <alignment horizontal="center" vertical="center"/>
    </xf>
    <xf numFmtId="0" fontId="17" fillId="0" borderId="11" xfId="0" applyFont="1" applyBorder="1" applyAlignment="1">
      <alignment horizontal="left" indent="1"/>
    </xf>
    <xf numFmtId="0" fontId="17" fillId="0" borderId="10" xfId="0" applyFont="1" applyBorder="1"/>
    <xf numFmtId="3" fontId="17" fillId="0" borderId="8" xfId="0" applyNumberFormat="1" applyFont="1" applyBorder="1" applyAlignment="1">
      <alignment horizontal="center" vertical="center"/>
    </xf>
    <xf numFmtId="3" fontId="17" fillId="0" borderId="7" xfId="0" applyNumberFormat="1" applyFont="1" applyBorder="1" applyAlignment="1">
      <alignment horizontal="center" vertical="center"/>
    </xf>
    <xf numFmtId="0" fontId="25" fillId="3" borderId="0" xfId="0" applyFont="1" applyFill="1" applyAlignment="1">
      <alignment horizontal="left" vertical="center"/>
    </xf>
    <xf numFmtId="0" fontId="25" fillId="3" borderId="0" xfId="0" applyFont="1" applyFill="1"/>
    <xf numFmtId="2" fontId="27" fillId="3" borderId="0" xfId="4" applyNumberFormat="1" applyFont="1" applyFill="1" applyAlignment="1">
      <alignment horizontal="center" vertical="center" wrapText="1"/>
    </xf>
    <xf numFmtId="0" fontId="28" fillId="0" borderId="0" xfId="0" applyFont="1"/>
    <xf numFmtId="0" fontId="29" fillId="0" borderId="0" xfId="0" applyFont="1"/>
    <xf numFmtId="169" fontId="30" fillId="0" borderId="0" xfId="5" applyNumberFormat="1" applyFont="1" applyAlignment="1" applyProtection="1">
      <alignment horizontal="center" vertical="center"/>
      <protection locked="0"/>
    </xf>
    <xf numFmtId="169" fontId="30" fillId="0" borderId="0" xfId="5" applyNumberFormat="1" applyFont="1" applyAlignment="1">
      <alignment horizontal="center" vertical="center" wrapText="1"/>
    </xf>
    <xf numFmtId="0" fontId="28" fillId="0" borderId="0" xfId="0" applyFont="1" applyAlignment="1">
      <alignment wrapText="1"/>
    </xf>
    <xf numFmtId="0" fontId="28" fillId="2" borderId="0" xfId="0" applyFont="1" applyFill="1"/>
    <xf numFmtId="0" fontId="29" fillId="2" borderId="0" xfId="0" applyFont="1" applyFill="1"/>
    <xf numFmtId="169" fontId="31" fillId="2" borderId="0" xfId="6" applyNumberFormat="1" applyFont="1" applyFill="1" applyBorder="1" applyAlignment="1" applyProtection="1">
      <alignment horizontal="center" vertical="center" wrapText="1"/>
      <protection locked="0"/>
    </xf>
    <xf numFmtId="171" fontId="31" fillId="2" borderId="0" xfId="7" applyNumberFormat="1" applyFont="1" applyFill="1" applyBorder="1" applyAlignment="1" applyProtection="1">
      <alignment horizontal="right" vertical="center" wrapText="1"/>
      <protection locked="0"/>
    </xf>
    <xf numFmtId="0" fontId="29" fillId="0" borderId="0" xfId="0" applyFont="1" applyAlignment="1">
      <alignment horizontal="center" vertical="center"/>
    </xf>
    <xf numFmtId="0" fontId="25" fillId="3" borderId="0" xfId="0" applyFont="1" applyFill="1" applyAlignment="1">
      <alignment vertical="center"/>
    </xf>
    <xf numFmtId="0" fontId="27" fillId="3" borderId="0" xfId="4" applyFont="1" applyFill="1" applyAlignment="1">
      <alignment horizontal="center" vertical="center" wrapText="1"/>
    </xf>
    <xf numFmtId="0" fontId="32" fillId="3" borderId="15" xfId="4" applyFont="1" applyFill="1" applyBorder="1" applyAlignment="1" applyProtection="1">
      <alignment horizontal="center" vertical="center"/>
      <protection locked="0"/>
    </xf>
    <xf numFmtId="172" fontId="33" fillId="0" borderId="17" xfId="6" applyNumberFormat="1" applyFont="1" applyBorder="1" applyAlignment="1" applyProtection="1">
      <alignment horizontal="right" vertical="center" wrapText="1" indent="1"/>
      <protection locked="0"/>
    </xf>
    <xf numFmtId="172" fontId="34" fillId="0" borderId="18" xfId="6" applyNumberFormat="1" applyFont="1" applyBorder="1" applyAlignment="1" applyProtection="1">
      <alignment horizontal="right" vertical="center" wrapText="1" indent="1"/>
      <protection locked="0"/>
    </xf>
    <xf numFmtId="172" fontId="33" fillId="0" borderId="18" xfId="6" applyNumberFormat="1" applyFont="1" applyBorder="1" applyAlignment="1" applyProtection="1">
      <alignment horizontal="right" vertical="center" wrapText="1" indent="1"/>
      <protection locked="0"/>
    </xf>
    <xf numFmtId="171" fontId="33" fillId="5" borderId="18" xfId="7"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lignment horizontal="right" vertical="center" wrapText="1" indent="1"/>
    </xf>
    <xf numFmtId="172" fontId="34" fillId="0" borderId="18" xfId="6" applyNumberFormat="1" applyFont="1" applyFill="1" applyBorder="1" applyAlignment="1" applyProtection="1">
      <alignment horizontal="right" vertical="center" wrapText="1" indent="1"/>
      <protection locked="0"/>
    </xf>
    <xf numFmtId="172" fontId="34" fillId="0" borderId="19" xfId="6" applyNumberFormat="1" applyFont="1" applyFill="1" applyBorder="1" applyAlignment="1" applyProtection="1">
      <alignment horizontal="right" vertical="center" wrapText="1" indent="1"/>
      <protection locked="0"/>
    </xf>
    <xf numFmtId="172" fontId="34" fillId="6" borderId="18" xfId="6" applyNumberFormat="1" applyFont="1" applyFill="1" applyBorder="1" applyAlignment="1" applyProtection="1">
      <alignment horizontal="right" vertical="center" wrapText="1" indent="1"/>
      <protection locked="0"/>
    </xf>
    <xf numFmtId="172" fontId="0" fillId="0" borderId="0" xfId="0" applyNumberFormat="1"/>
    <xf numFmtId="172" fontId="34" fillId="0" borderId="20" xfId="6" applyNumberFormat="1" applyFont="1" applyFill="1" applyBorder="1" applyAlignment="1" applyProtection="1">
      <alignment horizontal="right" vertical="center" wrapText="1" indent="1"/>
      <protection locked="0"/>
    </xf>
    <xf numFmtId="172" fontId="33" fillId="0" borderId="18" xfId="6" applyNumberFormat="1" applyFont="1" applyFill="1" applyBorder="1" applyAlignment="1" applyProtection="1">
      <alignment horizontal="right" vertical="center" wrapText="1" indent="1"/>
      <protection locked="0"/>
    </xf>
    <xf numFmtId="171" fontId="33" fillId="7" borderId="18" xfId="7" applyNumberFormat="1" applyFont="1" applyFill="1" applyBorder="1" applyAlignment="1" applyProtection="1">
      <alignment horizontal="right" vertical="center" wrapText="1" indent="1"/>
      <protection locked="0"/>
    </xf>
    <xf numFmtId="172" fontId="33" fillId="6" borderId="18" xfId="6" applyNumberFormat="1" applyFont="1" applyFill="1" applyBorder="1" applyAlignment="1" applyProtection="1">
      <alignment horizontal="right" vertical="center" wrapText="1" indent="1"/>
      <protection locked="0"/>
    </xf>
    <xf numFmtId="0" fontId="34" fillId="0" borderId="0" xfId="5" applyFont="1" applyProtection="1">
      <protection locked="0"/>
    </xf>
    <xf numFmtId="0" fontId="32" fillId="3" borderId="21" xfId="5" applyFont="1" applyFill="1" applyBorder="1" applyAlignment="1" applyProtection="1">
      <alignment horizontal="center" vertical="center" wrapText="1"/>
      <protection locked="0"/>
    </xf>
    <xf numFmtId="15" fontId="25" fillId="3" borderId="22" xfId="5" applyNumberFormat="1" applyFont="1" applyFill="1" applyBorder="1" applyAlignment="1" applyProtection="1">
      <alignment horizontal="center" wrapText="1"/>
      <protection locked="0"/>
    </xf>
    <xf numFmtId="0" fontId="32" fillId="0" borderId="0" xfId="0" applyFont="1" applyAlignment="1" applyProtection="1">
      <alignment horizontal="center" wrapText="1"/>
      <protection locked="0"/>
    </xf>
    <xf numFmtId="15" fontId="32" fillId="0" borderId="0" xfId="0" applyNumberFormat="1" applyFont="1" applyAlignment="1" applyProtection="1">
      <alignment horizontal="center" wrapText="1"/>
      <protection locked="0"/>
    </xf>
    <xf numFmtId="0" fontId="33" fillId="5" borderId="23" xfId="0" applyFont="1" applyFill="1" applyBorder="1" applyAlignment="1">
      <alignment horizontal="center" wrapText="1"/>
    </xf>
    <xf numFmtId="3" fontId="33" fillId="5" borderId="23" xfId="7" applyNumberFormat="1" applyFont="1" applyFill="1" applyBorder="1" applyAlignment="1" applyProtection="1">
      <alignment horizontal="right" wrapText="1"/>
      <protection locked="0"/>
    </xf>
    <xf numFmtId="0" fontId="34" fillId="0" borderId="16" xfId="0" applyFont="1" applyBorder="1" applyAlignment="1">
      <alignment horizontal="left"/>
    </xf>
    <xf numFmtId="3" fontId="34" fillId="0" borderId="16" xfId="8" applyNumberFormat="1" applyFont="1" applyFill="1" applyBorder="1" applyAlignment="1" applyProtection="1">
      <alignment horizontal="right"/>
      <protection locked="0"/>
    </xf>
    <xf numFmtId="3" fontId="34" fillId="0" borderId="16" xfId="8" applyNumberFormat="1" applyFont="1" applyBorder="1" applyAlignment="1" applyProtection="1">
      <alignment horizontal="right"/>
      <protection locked="0"/>
    </xf>
    <xf numFmtId="172" fontId="34" fillId="0" borderId="16" xfId="8" applyNumberFormat="1" applyFont="1" applyBorder="1" applyAlignment="1" applyProtection="1">
      <alignment horizontal="right"/>
      <protection locked="0"/>
    </xf>
    <xf numFmtId="0" fontId="33" fillId="5" borderId="16" xfId="0" applyFont="1" applyFill="1" applyBorder="1" applyAlignment="1">
      <alignment horizontal="center" wrapText="1"/>
    </xf>
    <xf numFmtId="3" fontId="33" fillId="7" borderId="16" xfId="7" applyNumberFormat="1" applyFont="1" applyFill="1" applyBorder="1" applyAlignment="1" applyProtection="1">
      <alignment horizontal="right" wrapText="1"/>
      <protection locked="0"/>
    </xf>
    <xf numFmtId="0" fontId="33" fillId="0" borderId="16" xfId="0" applyFont="1" applyBorder="1" applyAlignment="1">
      <alignment horizontal="left"/>
    </xf>
    <xf numFmtId="172" fontId="33" fillId="0" borderId="16" xfId="8" applyNumberFormat="1" applyFont="1" applyFill="1" applyBorder="1" applyAlignment="1" applyProtection="1">
      <alignment horizontal="right"/>
      <protection locked="0"/>
    </xf>
    <xf numFmtId="172" fontId="34" fillId="0" borderId="16" xfId="8" applyNumberFormat="1" applyFont="1" applyFill="1" applyBorder="1" applyAlignment="1" applyProtection="1">
      <alignment horizontal="right"/>
      <protection locked="0"/>
    </xf>
    <xf numFmtId="172" fontId="33" fillId="0" borderId="16" xfId="8" applyNumberFormat="1" applyFont="1" applyBorder="1" applyAlignment="1" applyProtection="1">
      <alignment horizontal="right"/>
      <protection locked="0"/>
    </xf>
    <xf numFmtId="3" fontId="33" fillId="5" borderId="16" xfId="7" applyNumberFormat="1" applyFont="1" applyFill="1" applyBorder="1" applyAlignment="1" applyProtection="1">
      <alignment horizontal="right" wrapText="1"/>
      <protection locked="0"/>
    </xf>
    <xf numFmtId="0" fontId="32" fillId="0" borderId="0" xfId="5" applyFont="1" applyAlignment="1" applyProtection="1">
      <alignment wrapText="1"/>
      <protection locked="0"/>
    </xf>
    <xf numFmtId="15" fontId="32" fillId="0" borderId="0" xfId="5" applyNumberFormat="1" applyFont="1" applyAlignment="1" applyProtection="1">
      <alignment horizontal="center" wrapText="1"/>
      <protection locked="0"/>
    </xf>
    <xf numFmtId="0" fontId="36" fillId="0" borderId="0" xfId="5" applyFont="1" applyProtection="1">
      <protection locked="0"/>
    </xf>
    <xf numFmtId="0" fontId="33" fillId="5" borderId="23" xfId="5" applyFont="1" applyFill="1" applyBorder="1" applyAlignment="1">
      <alignment horizontal="center" vertical="center" wrapText="1"/>
    </xf>
    <xf numFmtId="0" fontId="34" fillId="0" borderId="16" xfId="5" applyFont="1" applyBorder="1" applyAlignment="1">
      <alignment horizontal="left"/>
    </xf>
    <xf numFmtId="3" fontId="34" fillId="0" borderId="16" xfId="6" applyNumberFormat="1" applyFont="1" applyBorder="1" applyAlignment="1" applyProtection="1">
      <alignment horizontal="right"/>
      <protection locked="0"/>
    </xf>
    <xf numFmtId="0" fontId="34" fillId="6" borderId="16" xfId="5" applyFont="1" applyFill="1" applyBorder="1" applyAlignment="1">
      <alignment horizontal="left"/>
    </xf>
    <xf numFmtId="3" fontId="34" fillId="6" borderId="16" xfId="6" applyNumberFormat="1" applyFont="1" applyFill="1" applyBorder="1" applyAlignment="1" applyProtection="1">
      <alignment horizontal="right"/>
      <protection locked="0"/>
    </xf>
    <xf numFmtId="172" fontId="34" fillId="0" borderId="16" xfId="6" applyNumberFormat="1" applyFont="1" applyBorder="1" applyAlignment="1" applyProtection="1">
      <alignment horizontal="right"/>
      <protection locked="0"/>
    </xf>
    <xf numFmtId="0" fontId="33" fillId="5" borderId="16" xfId="5" applyFont="1" applyFill="1" applyBorder="1" applyAlignment="1">
      <alignment horizontal="center" wrapText="1"/>
    </xf>
    <xf numFmtId="37" fontId="34" fillId="0" borderId="16" xfId="6" applyNumberFormat="1" applyFont="1" applyBorder="1" applyAlignment="1" applyProtection="1">
      <alignment horizontal="right"/>
      <protection locked="0"/>
    </xf>
    <xf numFmtId="0" fontId="33" fillId="0" borderId="16" xfId="5" applyFont="1" applyBorder="1" applyAlignment="1">
      <alignment horizontal="left"/>
    </xf>
    <xf numFmtId="37" fontId="33" fillId="0" borderId="16" xfId="6" applyNumberFormat="1" applyFont="1" applyBorder="1" applyAlignment="1" applyProtection="1">
      <alignment horizontal="right"/>
      <protection locked="0"/>
    </xf>
    <xf numFmtId="0" fontId="33" fillId="0" borderId="16" xfId="5" applyFont="1" applyBorder="1" applyAlignment="1">
      <alignment horizontal="left" vertical="center"/>
    </xf>
    <xf numFmtId="3" fontId="33" fillId="0" borderId="16" xfId="6" applyNumberFormat="1" applyFont="1" applyBorder="1" applyAlignment="1" applyProtection="1">
      <alignment horizontal="right"/>
      <protection locked="0"/>
    </xf>
    <xf numFmtId="0" fontId="32" fillId="3" borderId="24" xfId="5" applyFont="1" applyFill="1" applyBorder="1" applyAlignment="1" applyProtection="1">
      <alignment horizontal="center" vertical="center" wrapText="1"/>
      <protection locked="0"/>
    </xf>
    <xf numFmtId="0" fontId="25" fillId="3" borderId="0" xfId="5" applyFont="1" applyFill="1" applyAlignment="1" applyProtection="1">
      <alignment horizontal="center" vertical="center" wrapText="1"/>
      <protection locked="0"/>
    </xf>
    <xf numFmtId="0" fontId="34" fillId="0" borderId="16" xfId="5" applyFont="1" applyBorder="1" applyAlignment="1" applyProtection="1">
      <alignment horizontal="left" vertical="center" indent="1"/>
      <protection locked="0"/>
    </xf>
    <xf numFmtId="0" fontId="37" fillId="0" borderId="25" xfId="5" applyFont="1" applyBorder="1" applyAlignment="1" applyProtection="1">
      <alignment vertical="center" wrapText="1"/>
      <protection locked="0"/>
    </xf>
    <xf numFmtId="0" fontId="37" fillId="0" borderId="18" xfId="5" applyFont="1" applyBorder="1" applyAlignment="1" applyProtection="1">
      <alignment vertical="center" wrapText="1"/>
      <protection locked="0"/>
    </xf>
    <xf numFmtId="0" fontId="37" fillId="0" borderId="26" xfId="5" applyFont="1" applyBorder="1" applyAlignment="1" applyProtection="1">
      <alignment vertical="center" wrapText="1"/>
      <protection locked="0"/>
    </xf>
    <xf numFmtId="0" fontId="33" fillId="0" borderId="16" xfId="5" applyFont="1" applyBorder="1" applyAlignment="1">
      <alignment horizontal="left" vertical="center" wrapText="1" indent="1"/>
    </xf>
    <xf numFmtId="37" fontId="34" fillId="0" borderId="25" xfId="6" applyNumberFormat="1" applyFont="1" applyBorder="1" applyAlignment="1" applyProtection="1">
      <alignment horizontal="right" vertical="center" wrapText="1" indent="1"/>
      <protection locked="0"/>
    </xf>
    <xf numFmtId="37" fontId="34" fillId="0" borderId="18" xfId="6" applyNumberFormat="1" applyFont="1" applyBorder="1" applyAlignment="1" applyProtection="1">
      <alignment horizontal="right" vertical="center" wrapText="1" indent="1"/>
      <protection locked="0"/>
    </xf>
    <xf numFmtId="0" fontId="34" fillId="0" borderId="16" xfId="5" applyFont="1" applyBorder="1" applyAlignment="1">
      <alignment horizontal="left" vertical="center" wrapText="1" indent="1"/>
    </xf>
    <xf numFmtId="172" fontId="34" fillId="0" borderId="25" xfId="9" applyNumberFormat="1" applyFont="1" applyFill="1" applyBorder="1"/>
    <xf numFmtId="172" fontId="34" fillId="0" borderId="26" xfId="6" applyNumberFormat="1" applyFont="1" applyFill="1" applyBorder="1" applyAlignment="1" applyProtection="1">
      <alignment horizontal="right" vertical="center" wrapText="1" indent="1"/>
      <protection locked="0"/>
    </xf>
    <xf numFmtId="37" fontId="34" fillId="0" borderId="26" xfId="6" applyNumberFormat="1" applyFont="1" applyFill="1" applyBorder="1" applyAlignment="1" applyProtection="1">
      <alignment horizontal="right" vertical="center" wrapText="1" indent="1"/>
      <protection locked="0"/>
    </xf>
    <xf numFmtId="172" fontId="33" fillId="0" borderId="25" xfId="9" applyNumberFormat="1" applyFont="1" applyFill="1" applyBorder="1"/>
    <xf numFmtId="172" fontId="33" fillId="0" borderId="26" xfId="6" applyNumberFormat="1" applyFont="1" applyFill="1" applyBorder="1" applyAlignment="1" applyProtection="1">
      <alignment horizontal="right" vertical="center" wrapText="1" indent="1"/>
      <protection locked="0"/>
    </xf>
    <xf numFmtId="0" fontId="2" fillId="0" borderId="0" xfId="0" applyFont="1"/>
    <xf numFmtId="0" fontId="33" fillId="5" borderId="16" xfId="5" applyFont="1" applyFill="1" applyBorder="1" applyAlignment="1">
      <alignment horizontal="left" vertical="center" wrapText="1"/>
    </xf>
    <xf numFmtId="172" fontId="33" fillId="5" borderId="18" xfId="5" applyNumberFormat="1" applyFont="1" applyFill="1" applyBorder="1" applyAlignment="1" applyProtection="1">
      <alignment horizontal="center" vertical="center" wrapText="1"/>
      <protection locked="0"/>
    </xf>
    <xf numFmtId="172" fontId="33" fillId="5" borderId="26" xfId="5" applyNumberFormat="1" applyFont="1" applyFill="1" applyBorder="1" applyAlignment="1" applyProtection="1">
      <alignment horizontal="center" vertical="center" wrapText="1"/>
      <protection locked="0"/>
    </xf>
    <xf numFmtId="172" fontId="34" fillId="0" borderId="25" xfId="6" applyNumberFormat="1" applyFont="1" applyFill="1" applyBorder="1" applyAlignment="1" applyProtection="1">
      <alignment horizontal="right" vertical="center" wrapText="1" indent="1"/>
      <protection locked="0"/>
    </xf>
    <xf numFmtId="0" fontId="34" fillId="0" borderId="16" xfId="5" quotePrefix="1" applyFont="1" applyBorder="1" applyAlignment="1">
      <alignment horizontal="left" vertical="center" wrapText="1" indent="1"/>
    </xf>
    <xf numFmtId="172" fontId="34" fillId="6" borderId="26" xfId="6" applyNumberFormat="1" applyFont="1" applyFill="1" applyBorder="1" applyAlignment="1" applyProtection="1">
      <alignment horizontal="right" vertical="center" wrapText="1" indent="1"/>
      <protection locked="0"/>
    </xf>
    <xf numFmtId="0" fontId="34" fillId="0" borderId="0" xfId="5" quotePrefix="1" applyFont="1" applyAlignment="1">
      <alignment horizontal="left" vertical="center" wrapText="1" indent="1"/>
    </xf>
    <xf numFmtId="172" fontId="39" fillId="0" borderId="25" xfId="5" applyNumberFormat="1" applyFont="1" applyBorder="1" applyProtection="1">
      <protection locked="0"/>
    </xf>
    <xf numFmtId="172" fontId="36" fillId="0" borderId="0" xfId="5" applyNumberFormat="1" applyFont="1" applyProtection="1">
      <protection locked="0"/>
    </xf>
    <xf numFmtId="0" fontId="33" fillId="7" borderId="0" xfId="5" applyFont="1" applyFill="1" applyAlignment="1">
      <alignment horizontal="left" vertical="center" wrapText="1" indent="1"/>
    </xf>
    <xf numFmtId="172" fontId="34" fillId="7" borderId="25" xfId="6" applyNumberFormat="1" applyFont="1" applyFill="1" applyBorder="1" applyAlignment="1" applyProtection="1">
      <alignment horizontal="right" vertical="center" wrapText="1" indent="1"/>
      <protection locked="0"/>
    </xf>
    <xf numFmtId="172" fontId="34" fillId="7" borderId="0" xfId="6" applyNumberFormat="1" applyFont="1" applyFill="1" applyBorder="1" applyAlignment="1" applyProtection="1">
      <alignment horizontal="right" vertical="center" wrapText="1" indent="1"/>
      <protection locked="0"/>
    </xf>
    <xf numFmtId="0" fontId="34" fillId="7" borderId="16" xfId="5" quotePrefix="1" applyFont="1" applyFill="1" applyBorder="1" applyAlignment="1">
      <alignment horizontal="left" vertical="center" wrapText="1" indent="1"/>
    </xf>
    <xf numFmtId="172" fontId="29" fillId="7" borderId="25" xfId="9" applyNumberFormat="1" applyFont="1" applyFill="1" applyBorder="1"/>
    <xf numFmtId="172" fontId="34" fillId="7" borderId="26" xfId="6" applyNumberFormat="1" applyFont="1" applyFill="1" applyBorder="1" applyAlignment="1" applyProtection="1">
      <alignment horizontal="right" vertical="center" wrapText="1" indent="1"/>
      <protection locked="0"/>
    </xf>
    <xf numFmtId="0" fontId="33" fillId="7" borderId="16" xfId="5" quotePrefix="1" applyFont="1" applyFill="1" applyBorder="1" applyAlignment="1">
      <alignment horizontal="left" vertical="center" wrapText="1" indent="1"/>
    </xf>
    <xf numFmtId="172" fontId="33" fillId="7" borderId="25" xfId="6" applyNumberFormat="1" applyFont="1" applyFill="1" applyBorder="1" applyAlignment="1" applyProtection="1">
      <alignment horizontal="right" vertical="center" wrapText="1" indent="1"/>
      <protection locked="0"/>
    </xf>
    <xf numFmtId="172" fontId="33" fillId="7" borderId="26" xfId="6" applyNumberFormat="1" applyFont="1" applyFill="1" applyBorder="1" applyAlignment="1" applyProtection="1">
      <alignment horizontal="right" vertical="center" wrapText="1" indent="1"/>
      <protection locked="0"/>
    </xf>
    <xf numFmtId="172" fontId="34" fillId="7" borderId="18" xfId="6" applyNumberFormat="1" applyFont="1" applyFill="1" applyBorder="1" applyAlignment="1" applyProtection="1">
      <alignment horizontal="right" vertical="center" wrapText="1" indent="1"/>
      <protection locked="0"/>
    </xf>
    <xf numFmtId="0" fontId="34" fillId="7" borderId="0" xfId="5" applyFont="1" applyFill="1" applyAlignment="1">
      <alignment horizontal="left" vertical="center" wrapText="1" indent="1"/>
    </xf>
    <xf numFmtId="0" fontId="34" fillId="7" borderId="25" xfId="5" applyFont="1" applyFill="1" applyBorder="1"/>
    <xf numFmtId="0" fontId="34" fillId="7" borderId="0" xfId="5" applyFont="1" applyFill="1"/>
    <xf numFmtId="37" fontId="34" fillId="7" borderId="26" xfId="6" applyNumberFormat="1" applyFont="1" applyFill="1" applyBorder="1" applyAlignment="1" applyProtection="1">
      <alignment horizontal="right" vertical="center" wrapText="1" indent="1"/>
      <protection locked="0"/>
    </xf>
    <xf numFmtId="37" fontId="33" fillId="7" borderId="26" xfId="6" applyNumberFormat="1" applyFont="1" applyFill="1" applyBorder="1" applyAlignment="1" applyProtection="1">
      <alignment horizontal="right" vertical="center" wrapText="1" indent="1"/>
      <protection locked="0"/>
    </xf>
    <xf numFmtId="0" fontId="32" fillId="3" borderId="0" xfId="5" applyFont="1" applyFill="1" applyAlignment="1" applyProtection="1">
      <alignment horizontal="center" vertical="center" wrapText="1"/>
      <protection locked="0"/>
    </xf>
    <xf numFmtId="0" fontId="40" fillId="3" borderId="27" xfId="5" applyFont="1" applyFill="1" applyBorder="1"/>
    <xf numFmtId="0" fontId="40" fillId="3" borderId="28" xfId="5" applyFont="1" applyFill="1" applyBorder="1"/>
    <xf numFmtId="172" fontId="34" fillId="0" borderId="0" xfId="8" applyNumberFormat="1" applyFont="1" applyFill="1" applyBorder="1" applyAlignment="1" applyProtection="1">
      <alignment horizontal="right"/>
      <protection locked="0"/>
    </xf>
    <xf numFmtId="0" fontId="41" fillId="0" borderId="0" xfId="0" applyFont="1"/>
    <xf numFmtId="172" fontId="42" fillId="0" borderId="0" xfId="8" applyNumberFormat="1" applyFont="1" applyFill="1" applyBorder="1" applyAlignment="1" applyProtection="1">
      <alignment horizontal="right"/>
      <protection locked="0"/>
    </xf>
    <xf numFmtId="0" fontId="43" fillId="3" borderId="4" xfId="0" applyFont="1" applyFill="1" applyBorder="1" applyAlignment="1">
      <alignment horizontal="center"/>
    </xf>
    <xf numFmtId="168" fontId="44" fillId="6" borderId="4" xfId="0" applyNumberFormat="1" applyFont="1" applyFill="1" applyBorder="1" applyAlignment="1">
      <alignment horizontal="center"/>
    </xf>
    <xf numFmtId="1" fontId="44" fillId="6" borderId="4" xfId="0" applyNumberFormat="1" applyFont="1" applyFill="1" applyBorder="1" applyAlignment="1">
      <alignment horizontal="center"/>
    </xf>
    <xf numFmtId="1" fontId="0" fillId="0" borderId="4" xfId="0" applyNumberFormat="1" applyBorder="1" applyAlignment="1">
      <alignment horizontal="center" vertical="center"/>
    </xf>
    <xf numFmtId="173" fontId="25" fillId="3" borderId="29" xfId="0" applyNumberFormat="1" applyFont="1" applyFill="1" applyBorder="1" applyAlignment="1" applyProtection="1">
      <alignment horizontal="center" vertical="center" wrapText="1"/>
      <protection locked="0"/>
    </xf>
    <xf numFmtId="0" fontId="25" fillId="3" borderId="29" xfId="0" applyFont="1" applyFill="1" applyBorder="1" applyAlignment="1" applyProtection="1">
      <alignment horizontal="center" vertical="center" wrapText="1"/>
      <protection locked="0"/>
    </xf>
    <xf numFmtId="37" fontId="33" fillId="6" borderId="16" xfId="8" applyNumberFormat="1" applyFont="1" applyFill="1" applyBorder="1" applyAlignment="1" applyProtection="1">
      <alignment horizontal="center" vertical="center" wrapText="1"/>
      <protection locked="0"/>
    </xf>
    <xf numFmtId="37" fontId="34" fillId="6" borderId="16" xfId="8" applyNumberFormat="1" applyFont="1" applyFill="1" applyBorder="1" applyAlignment="1" applyProtection="1">
      <alignment horizontal="center" vertical="center" wrapText="1"/>
      <protection locked="0"/>
    </xf>
    <xf numFmtId="0" fontId="34" fillId="6" borderId="16" xfId="5" applyFont="1" applyFill="1" applyBorder="1" applyAlignment="1">
      <alignment horizontal="left" vertical="center" wrapText="1" indent="1"/>
    </xf>
    <xf numFmtId="0" fontId="33" fillId="6" borderId="16" xfId="5" applyFont="1" applyFill="1" applyBorder="1" applyAlignment="1">
      <alignment horizontal="left" vertical="center" wrapText="1" indent="1"/>
    </xf>
    <xf numFmtId="37" fontId="33" fillId="6" borderId="16" xfId="7" applyNumberFormat="1" applyFont="1" applyFill="1" applyBorder="1" applyAlignment="1" applyProtection="1">
      <alignment horizontal="center" vertical="center" wrapText="1"/>
      <protection locked="0"/>
    </xf>
    <xf numFmtId="0" fontId="5" fillId="0" borderId="0" xfId="3"/>
    <xf numFmtId="0" fontId="32" fillId="3" borderId="0" xfId="4" applyFont="1" applyFill="1" applyAlignment="1" applyProtection="1">
      <alignment horizontal="center" vertical="center"/>
      <protection locked="0"/>
    </xf>
    <xf numFmtId="15" fontId="25" fillId="3" borderId="0" xfId="5" applyNumberFormat="1" applyFont="1" applyFill="1" applyAlignment="1" applyProtection="1">
      <alignment horizontal="center" wrapText="1"/>
      <protection locked="0"/>
    </xf>
    <xf numFmtId="174" fontId="46" fillId="0" borderId="31" xfId="10" applyFont="1" applyBorder="1"/>
    <xf numFmtId="0" fontId="47" fillId="0" borderId="32" xfId="5" applyFont="1" applyBorder="1" applyAlignment="1">
      <alignment vertical="center"/>
    </xf>
    <xf numFmtId="20" fontId="48" fillId="0" borderId="33" xfId="5" applyNumberFormat="1" applyFont="1" applyBorder="1" applyProtection="1">
      <protection locked="0"/>
    </xf>
    <xf numFmtId="174" fontId="46" fillId="0" borderId="0" xfId="10" applyFont="1"/>
    <xf numFmtId="174" fontId="46" fillId="0" borderId="34" xfId="10" applyFont="1" applyBorder="1" applyAlignment="1">
      <alignment horizontal="center" vertical="center"/>
    </xf>
    <xf numFmtId="37" fontId="49" fillId="3" borderId="35" xfId="10" applyNumberFormat="1" applyFont="1" applyFill="1" applyBorder="1" applyAlignment="1" applyProtection="1">
      <alignment vertical="center"/>
      <protection locked="0"/>
    </xf>
    <xf numFmtId="174" fontId="46" fillId="6" borderId="0" xfId="10" applyFont="1" applyFill="1" applyAlignment="1">
      <alignment horizontal="center" vertical="center"/>
    </xf>
    <xf numFmtId="0" fontId="49" fillId="3" borderId="36" xfId="10" quotePrefix="1" applyNumberFormat="1" applyFont="1" applyFill="1" applyBorder="1" applyAlignment="1" applyProtection="1">
      <alignment horizontal="center" vertical="center" wrapText="1"/>
      <protection locked="0"/>
    </xf>
    <xf numFmtId="174" fontId="46" fillId="0" borderId="37" xfId="10" applyFont="1" applyBorder="1" applyAlignment="1">
      <alignment horizontal="center" vertical="center"/>
    </xf>
    <xf numFmtId="174" fontId="46" fillId="0" borderId="0" xfId="10" applyFont="1" applyAlignment="1">
      <alignment horizontal="center" vertical="center"/>
    </xf>
    <xf numFmtId="174" fontId="46" fillId="0" borderId="34" xfId="10" applyFont="1" applyBorder="1" applyAlignment="1">
      <alignment vertical="center"/>
    </xf>
    <xf numFmtId="174" fontId="46" fillId="0" borderId="0" xfId="10" quotePrefix="1" applyFont="1" applyAlignment="1" applyProtection="1">
      <alignment horizontal="left" vertical="center"/>
      <protection locked="0"/>
    </xf>
    <xf numFmtId="174" fontId="46" fillId="6" borderId="0" xfId="10" applyFont="1" applyFill="1" applyAlignment="1">
      <alignment vertical="center"/>
    </xf>
    <xf numFmtId="38" fontId="46" fillId="0" borderId="0" xfId="10" quotePrefix="1" applyNumberFormat="1" applyFont="1" applyAlignment="1" applyProtection="1">
      <alignment horizontal="right" vertical="center"/>
      <protection locked="0"/>
    </xf>
    <xf numFmtId="174" fontId="46" fillId="0" borderId="37" xfId="10" applyFont="1" applyBorder="1" applyAlignment="1">
      <alignment vertical="center"/>
    </xf>
    <xf numFmtId="174" fontId="46" fillId="0" borderId="0" xfId="10" applyFont="1" applyAlignment="1">
      <alignment vertical="center"/>
    </xf>
    <xf numFmtId="37" fontId="48" fillId="0" borderId="34" xfId="10" applyNumberFormat="1" applyFont="1" applyBorder="1" applyAlignment="1">
      <alignment vertical="center"/>
    </xf>
    <xf numFmtId="37" fontId="48" fillId="0" borderId="0" xfId="10" applyNumberFormat="1" applyFont="1" applyAlignment="1" applyProtection="1">
      <alignment horizontal="left" vertical="center"/>
      <protection locked="0"/>
    </xf>
    <xf numFmtId="37" fontId="48" fillId="6" borderId="0" xfId="10" applyNumberFormat="1" applyFont="1" applyFill="1" applyAlignment="1">
      <alignment vertical="center"/>
    </xf>
    <xf numFmtId="172" fontId="48" fillId="0" borderId="0" xfId="11" applyNumberFormat="1" applyFont="1" applyFill="1" applyBorder="1" applyAlignment="1">
      <alignment horizontal="center" vertical="center"/>
    </xf>
    <xf numFmtId="37" fontId="48" fillId="0" borderId="37" xfId="10" applyNumberFormat="1" applyFont="1" applyBorder="1" applyAlignment="1">
      <alignment vertical="center"/>
    </xf>
    <xf numFmtId="37" fontId="48" fillId="0" borderId="0" xfId="10" applyNumberFormat="1" applyFont="1" applyAlignment="1">
      <alignment vertical="center"/>
    </xf>
    <xf numFmtId="37" fontId="48" fillId="6" borderId="0" xfId="10" applyNumberFormat="1" applyFont="1" applyFill="1" applyAlignment="1" applyProtection="1">
      <alignment horizontal="left" vertical="center"/>
      <protection locked="0"/>
    </xf>
    <xf numFmtId="37" fontId="46" fillId="0" borderId="34" xfId="10" applyNumberFormat="1" applyFont="1" applyBorder="1" applyAlignment="1">
      <alignment vertical="center"/>
    </xf>
    <xf numFmtId="37" fontId="49" fillId="3" borderId="35" xfId="10" applyNumberFormat="1" applyFont="1" applyFill="1" applyBorder="1" applyAlignment="1">
      <alignment vertical="center"/>
    </xf>
    <xf numFmtId="37" fontId="46" fillId="6" borderId="0" xfId="10" applyNumberFormat="1" applyFont="1" applyFill="1" applyAlignment="1">
      <alignment vertical="center"/>
    </xf>
    <xf numFmtId="172" fontId="49" fillId="3" borderId="0" xfId="11" applyNumberFormat="1" applyFont="1" applyFill="1" applyBorder="1" applyAlignment="1">
      <alignment horizontal="center" vertical="center"/>
    </xf>
    <xf numFmtId="37" fontId="46" fillId="0" borderId="37" xfId="10" applyNumberFormat="1" applyFont="1" applyBorder="1" applyAlignment="1">
      <alignment vertical="center"/>
    </xf>
    <xf numFmtId="37" fontId="46" fillId="0" borderId="0" xfId="10" applyNumberFormat="1" applyFont="1" applyAlignment="1">
      <alignment vertical="center"/>
    </xf>
    <xf numFmtId="37" fontId="48" fillId="6" borderId="34" xfId="10" applyNumberFormat="1" applyFont="1" applyFill="1" applyBorder="1" applyAlignment="1">
      <alignment vertical="center"/>
    </xf>
    <xf numFmtId="37" fontId="48" fillId="6" borderId="38" xfId="10" applyNumberFormat="1" applyFont="1" applyFill="1" applyBorder="1" applyAlignment="1" applyProtection="1">
      <alignment vertical="center"/>
      <protection locked="0"/>
    </xf>
    <xf numFmtId="37" fontId="48" fillId="6" borderId="37" xfId="10" applyNumberFormat="1" applyFont="1" applyFill="1" applyBorder="1" applyAlignment="1">
      <alignment vertical="center"/>
    </xf>
    <xf numFmtId="37" fontId="53" fillId="6" borderId="0" xfId="10" applyNumberFormat="1" applyFont="1" applyFill="1" applyAlignment="1" applyProtection="1">
      <alignment horizontal="left" vertical="center"/>
      <protection locked="0"/>
    </xf>
    <xf numFmtId="37" fontId="48" fillId="0" borderId="39" xfId="10" applyNumberFormat="1" applyFont="1" applyBorder="1" applyAlignment="1">
      <alignment vertical="center"/>
    </xf>
    <xf numFmtId="37" fontId="48" fillId="0" borderId="40" xfId="10" applyNumberFormat="1" applyFont="1" applyBorder="1" applyAlignment="1" applyProtection="1">
      <alignment horizontal="left" vertical="center"/>
      <protection locked="0"/>
    </xf>
    <xf numFmtId="37" fontId="48" fillId="6" borderId="40" xfId="10" applyNumberFormat="1" applyFont="1" applyFill="1" applyBorder="1" applyAlignment="1">
      <alignment vertical="center"/>
    </xf>
    <xf numFmtId="171" fontId="54" fillId="0" borderId="40" xfId="13" applyNumberFormat="1" applyFont="1" applyFill="1" applyBorder="1" applyAlignment="1">
      <alignment horizontal="center" vertical="center"/>
    </xf>
    <xf numFmtId="37" fontId="48" fillId="0" borderId="41" xfId="10" applyNumberFormat="1" applyFont="1" applyBorder="1" applyAlignment="1">
      <alignment vertical="center"/>
    </xf>
    <xf numFmtId="171" fontId="54" fillId="0" borderId="0" xfId="13" applyNumberFormat="1" applyFont="1" applyFill="1" applyBorder="1" applyAlignment="1">
      <alignment horizontal="center" vertical="center"/>
    </xf>
    <xf numFmtId="174" fontId="46" fillId="0" borderId="31" xfId="10" applyFont="1" applyBorder="1" applyAlignment="1">
      <alignment vertical="center"/>
    </xf>
    <xf numFmtId="9" fontId="55" fillId="0" borderId="32" xfId="7" applyFont="1" applyFill="1" applyBorder="1" applyAlignment="1" applyProtection="1">
      <alignment vertical="center"/>
      <protection locked="0"/>
    </xf>
    <xf numFmtId="174" fontId="46" fillId="0" borderId="32" xfId="10" applyFont="1" applyBorder="1" applyAlignment="1">
      <alignment vertical="center"/>
    </xf>
    <xf numFmtId="174" fontId="46" fillId="0" borderId="33" xfId="10" applyFont="1" applyBorder="1" applyAlignment="1">
      <alignment vertical="center"/>
    </xf>
    <xf numFmtId="0" fontId="56" fillId="3" borderId="14" xfId="4" applyFont="1" applyFill="1" applyBorder="1" applyAlignment="1" applyProtection="1">
      <alignment horizontal="center" vertical="center" wrapText="1"/>
      <protection locked="0"/>
    </xf>
    <xf numFmtId="0" fontId="56" fillId="3" borderId="15" xfId="4" applyFont="1" applyFill="1" applyBorder="1" applyAlignment="1" applyProtection="1">
      <alignment horizontal="center" vertical="center"/>
      <protection locked="0"/>
    </xf>
    <xf numFmtId="0" fontId="47" fillId="0" borderId="16" xfId="4" applyFont="1" applyBorder="1" applyAlignment="1">
      <alignment horizontal="left" vertical="center" wrapText="1" indent="1"/>
    </xf>
    <xf numFmtId="172" fontId="47" fillId="0" borderId="42" xfId="6" applyNumberFormat="1" applyFont="1" applyFill="1" applyBorder="1" applyAlignment="1" applyProtection="1">
      <alignment horizontal="right" vertical="center" wrapText="1" indent="1"/>
      <protection locked="0"/>
    </xf>
    <xf numFmtId="0" fontId="38" fillId="0" borderId="16" xfId="4" applyFont="1" applyBorder="1" applyAlignment="1">
      <alignment horizontal="left" vertical="center" wrapText="1" indent="1"/>
    </xf>
    <xf numFmtId="172" fontId="38" fillId="0" borderId="20" xfId="6"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pplyProtection="1">
      <alignment horizontal="right" vertical="center" wrapText="1" indent="1"/>
      <protection locked="0"/>
    </xf>
    <xf numFmtId="0" fontId="47" fillId="5" borderId="16" xfId="4" applyFont="1" applyFill="1" applyBorder="1" applyAlignment="1">
      <alignment horizontal="center" vertical="center" wrapText="1"/>
    </xf>
    <xf numFmtId="171" fontId="47" fillId="5" borderId="18" xfId="7" applyNumberFormat="1" applyFont="1" applyFill="1" applyBorder="1" applyAlignment="1" applyProtection="1">
      <alignment horizontal="right" vertical="center" wrapText="1" indent="1"/>
      <protection locked="0"/>
    </xf>
    <xf numFmtId="172" fontId="47" fillId="0" borderId="20" xfId="6" applyNumberFormat="1" applyFont="1" applyFill="1" applyBorder="1" applyAlignment="1">
      <alignment horizontal="right" vertical="center" wrapText="1" indent="1"/>
    </xf>
    <xf numFmtId="0" fontId="38" fillId="0" borderId="16" xfId="4" applyFont="1" applyBorder="1" applyAlignment="1">
      <alignment horizontal="left" vertical="center" wrapText="1"/>
    </xf>
    <xf numFmtId="171" fontId="47" fillId="7" borderId="18" xfId="7" applyNumberFormat="1" applyFont="1" applyFill="1" applyBorder="1" applyAlignment="1" applyProtection="1">
      <alignment horizontal="right" vertical="center" wrapText="1" indent="1"/>
      <protection locked="0"/>
    </xf>
    <xf numFmtId="0" fontId="47" fillId="8" borderId="16" xfId="4" applyFont="1" applyFill="1" applyBorder="1" applyAlignment="1">
      <alignment horizontal="left" vertical="center" wrapText="1" indent="1"/>
    </xf>
    <xf numFmtId="0" fontId="38" fillId="0" borderId="0" xfId="5" applyFont="1" applyProtection="1">
      <protection locked="0"/>
    </xf>
    <xf numFmtId="172" fontId="47" fillId="0" borderId="43" xfId="6" applyNumberFormat="1" applyFont="1" applyBorder="1" applyAlignment="1" applyProtection="1">
      <alignment horizontal="right" vertical="center" wrapText="1" indent="1"/>
      <protection locked="0"/>
    </xf>
    <xf numFmtId="172" fontId="47" fillId="0" borderId="43" xfId="6" applyNumberFormat="1" applyFont="1" applyFill="1" applyBorder="1" applyAlignment="1" applyProtection="1">
      <alignment horizontal="right" vertical="center" wrapText="1" indent="1"/>
      <protection locked="0"/>
    </xf>
    <xf numFmtId="171" fontId="47" fillId="5" borderId="43" xfId="7" applyNumberFormat="1" applyFont="1" applyFill="1" applyBorder="1" applyAlignment="1" applyProtection="1">
      <alignment horizontal="right" vertical="center" wrapText="1" indent="1"/>
      <protection locked="0"/>
    </xf>
    <xf numFmtId="172" fontId="38" fillId="0" borderId="43" xfId="6" applyNumberFormat="1" applyFont="1" applyFill="1" applyBorder="1" applyAlignment="1" applyProtection="1">
      <alignment horizontal="right" vertical="center" wrapText="1" indent="1"/>
      <protection locked="0"/>
    </xf>
    <xf numFmtId="174" fontId="46" fillId="0" borderId="39" xfId="10" applyFont="1" applyBorder="1" applyAlignment="1">
      <alignment vertical="center"/>
    </xf>
    <xf numFmtId="174" fontId="46" fillId="0" borderId="40" xfId="10" applyFont="1" applyBorder="1" applyAlignment="1">
      <alignment vertical="center"/>
    </xf>
    <xf numFmtId="174" fontId="46" fillId="0" borderId="41" xfId="10" applyFont="1" applyBorder="1" applyAlignment="1">
      <alignment vertical="center"/>
    </xf>
    <xf numFmtId="171" fontId="17" fillId="0" borderId="13" xfId="2" applyNumberFormat="1" applyFont="1" applyBorder="1" applyAlignment="1">
      <alignment horizontal="center" vertical="center"/>
    </xf>
    <xf numFmtId="171" fontId="17" fillId="0" borderId="12" xfId="2" applyNumberFormat="1" applyFont="1" applyBorder="1" applyAlignment="1">
      <alignment horizontal="center" vertical="center"/>
    </xf>
    <xf numFmtId="171" fontId="17" fillId="0" borderId="9" xfId="2" applyNumberFormat="1" applyFont="1" applyBorder="1" applyAlignment="1">
      <alignment horizontal="center" vertical="center"/>
    </xf>
    <xf numFmtId="0" fontId="17" fillId="0" borderId="8" xfId="0" applyFont="1" applyBorder="1" applyAlignment="1">
      <alignment horizontal="left" indent="1"/>
    </xf>
    <xf numFmtId="171" fontId="17" fillId="0" borderId="8" xfId="2" applyNumberFormat="1" applyFont="1" applyBorder="1" applyAlignment="1">
      <alignment horizontal="center" vertical="center"/>
    </xf>
    <xf numFmtId="171" fontId="0" fillId="0" borderId="0" xfId="0" applyNumberFormat="1"/>
    <xf numFmtId="169" fontId="31" fillId="2" borderId="0" xfId="5" applyNumberFormat="1" applyFont="1" applyFill="1" applyAlignment="1" applyProtection="1">
      <alignment horizontal="center" vertical="center"/>
      <protection locked="0"/>
    </xf>
    <xf numFmtId="3" fontId="23" fillId="6" borderId="4" xfId="0" applyNumberFormat="1" applyFont="1" applyFill="1" applyBorder="1" applyAlignment="1">
      <alignment horizontal="center" vertical="center"/>
    </xf>
    <xf numFmtId="171" fontId="17" fillId="6" borderId="12" xfId="2" applyNumberFormat="1" applyFont="1" applyFill="1" applyBorder="1" applyAlignment="1">
      <alignment horizontal="center" vertical="center"/>
    </xf>
    <xf numFmtId="171" fontId="17" fillId="6" borderId="8" xfId="2" applyNumberFormat="1" applyFont="1" applyFill="1" applyBorder="1" applyAlignment="1">
      <alignment horizontal="center" vertical="center"/>
    </xf>
    <xf numFmtId="3" fontId="17" fillId="6" borderId="12" xfId="0" applyNumberFormat="1" applyFont="1" applyFill="1" applyBorder="1" applyAlignment="1">
      <alignment horizontal="center" vertical="center"/>
    </xf>
    <xf numFmtId="3" fontId="17" fillId="6" borderId="7" xfId="0" applyNumberFormat="1" applyFont="1" applyFill="1" applyBorder="1" applyAlignment="1">
      <alignment horizontal="center" vertical="center"/>
    </xf>
    <xf numFmtId="3" fontId="34" fillId="0" borderId="16" xfId="6" applyNumberFormat="1" applyFont="1" applyFill="1" applyBorder="1" applyAlignment="1" applyProtection="1">
      <alignment horizontal="right"/>
      <protection locked="0"/>
    </xf>
    <xf numFmtId="172" fontId="33" fillId="0" borderId="16" xfId="6" applyNumberFormat="1" applyFont="1" applyFill="1" applyBorder="1" applyAlignment="1" applyProtection="1">
      <alignment horizontal="right"/>
      <protection locked="0"/>
    </xf>
    <xf numFmtId="172" fontId="34" fillId="0" borderId="16" xfId="6" applyNumberFormat="1" applyFont="1" applyFill="1" applyBorder="1" applyAlignment="1" applyProtection="1">
      <alignment horizontal="right"/>
      <protection locked="0"/>
    </xf>
    <xf numFmtId="0" fontId="5" fillId="0" borderId="0" xfId="3" applyFill="1"/>
    <xf numFmtId="0" fontId="17" fillId="0" borderId="0" xfId="0" applyFont="1" applyAlignment="1">
      <alignment horizontal="left" indent="1"/>
    </xf>
    <xf numFmtId="171" fontId="17" fillId="0" borderId="0" xfId="2" applyNumberFormat="1" applyFont="1" applyBorder="1" applyAlignment="1">
      <alignment horizontal="center" vertical="center"/>
    </xf>
    <xf numFmtId="171" fontId="17" fillId="6" borderId="0" xfId="2" applyNumberFormat="1" applyFont="1" applyFill="1" applyBorder="1" applyAlignment="1">
      <alignment horizontal="center" vertical="center"/>
    </xf>
    <xf numFmtId="0" fontId="17" fillId="0" borderId="10" xfId="0" applyFont="1" applyBorder="1" applyAlignment="1">
      <alignment horizontal="left" indent="1"/>
    </xf>
    <xf numFmtId="171" fontId="17" fillId="0" borderId="7" xfId="2" applyNumberFormat="1" applyFont="1" applyBorder="1" applyAlignment="1">
      <alignment horizontal="center" vertical="center"/>
    </xf>
    <xf numFmtId="2" fontId="0" fillId="0" borderId="0" xfId="0" applyNumberFormat="1"/>
    <xf numFmtId="3" fontId="17" fillId="6" borderId="12" xfId="2" applyNumberFormat="1" applyFont="1" applyFill="1" applyBorder="1" applyAlignment="1">
      <alignment horizontal="center" vertical="center"/>
    </xf>
    <xf numFmtId="3" fontId="17" fillId="6" borderId="7" xfId="2" applyNumberFormat="1" applyFont="1" applyFill="1" applyBorder="1" applyAlignment="1">
      <alignment horizontal="center" vertical="center"/>
    </xf>
    <xf numFmtId="0" fontId="17" fillId="0" borderId="0" xfId="0" applyFont="1"/>
    <xf numFmtId="0" fontId="57" fillId="0" borderId="0" xfId="0" applyFont="1"/>
    <xf numFmtId="2" fontId="17" fillId="0" borderId="13" xfId="0" applyNumberFormat="1" applyFont="1" applyBorder="1" applyAlignment="1">
      <alignment horizontal="left" indent="1"/>
    </xf>
    <xf numFmtId="2" fontId="17" fillId="0" borderId="9" xfId="0" applyNumberFormat="1" applyFont="1" applyBorder="1" applyAlignment="1">
      <alignment horizontal="left" indent="1"/>
    </xf>
    <xf numFmtId="2" fontId="17" fillId="0" borderId="8" xfId="0" applyNumberFormat="1" applyFont="1" applyBorder="1" applyAlignment="1">
      <alignment horizontal="left" indent="1"/>
    </xf>
    <xf numFmtId="0" fontId="17" fillId="0" borderId="13" xfId="0" applyFont="1" applyBorder="1" applyAlignment="1">
      <alignment horizontal="left" indent="1"/>
    </xf>
    <xf numFmtId="0" fontId="17" fillId="0" borderId="9" xfId="0" applyFont="1" applyBorder="1" applyAlignment="1">
      <alignment horizontal="left" indent="1"/>
    </xf>
    <xf numFmtId="0" fontId="58" fillId="0" borderId="0" xfId="0" applyFont="1"/>
    <xf numFmtId="0" fontId="16" fillId="3" borderId="4" xfId="0" applyFont="1" applyFill="1" applyBorder="1"/>
    <xf numFmtId="0" fontId="33" fillId="0" borderId="16" xfId="4" applyFont="1" applyBorder="1" applyAlignment="1">
      <alignment horizontal="left" vertical="center" indent="1"/>
    </xf>
    <xf numFmtId="0" fontId="34" fillId="0" borderId="16" xfId="4" applyFont="1" applyBorder="1" applyAlignment="1">
      <alignment horizontal="left" vertical="center" indent="1"/>
    </xf>
    <xf numFmtId="0" fontId="33" fillId="0" borderId="16" xfId="4" applyFont="1" applyBorder="1" applyAlignment="1">
      <alignment horizontal="left" vertical="center"/>
    </xf>
    <xf numFmtId="0" fontId="34" fillId="0" borderId="16" xfId="4" applyFont="1" applyBorder="1" applyAlignment="1">
      <alignment horizontal="left" vertical="center"/>
    </xf>
    <xf numFmtId="172" fontId="34" fillId="0" borderId="25" xfId="9" applyNumberFormat="1" applyFont="1" applyFill="1" applyBorder="1" applyAlignment="1">
      <alignment horizontal="left" indent="9"/>
    </xf>
    <xf numFmtId="0" fontId="34" fillId="0" borderId="16" xfId="5" applyFont="1" applyBorder="1" applyAlignment="1">
      <alignment horizontal="left" vertical="center" wrapText="1"/>
    </xf>
    <xf numFmtId="171" fontId="31" fillId="0" borderId="0" xfId="7" applyNumberFormat="1" applyFont="1" applyFill="1" applyBorder="1" applyAlignment="1" applyProtection="1">
      <alignment horizontal="right" vertical="center" wrapText="1"/>
      <protection locked="0"/>
    </xf>
    <xf numFmtId="172" fontId="34" fillId="0" borderId="0" xfId="6" applyNumberFormat="1" applyFont="1" applyBorder="1" applyAlignment="1" applyProtection="1">
      <alignment horizontal="right"/>
      <protection locked="0"/>
    </xf>
    <xf numFmtId="3" fontId="33" fillId="0" borderId="0" xfId="6" applyNumberFormat="1" applyFont="1" applyBorder="1" applyAlignment="1" applyProtection="1">
      <alignment horizontal="right"/>
      <protection locked="0"/>
    </xf>
    <xf numFmtId="172" fontId="33" fillId="0" borderId="25" xfId="6" applyNumberFormat="1" applyFont="1" applyFill="1" applyBorder="1" applyAlignment="1" applyProtection="1">
      <alignment horizontal="right" vertical="center" wrapText="1" indent="1"/>
      <protection locked="0"/>
    </xf>
    <xf numFmtId="0" fontId="24" fillId="3" borderId="0" xfId="0" applyFont="1" applyFill="1" applyAlignment="1">
      <alignment horizontal="center" vertical="center"/>
    </xf>
    <xf numFmtId="0" fontId="35" fillId="0" borderId="0" xfId="5" applyFont="1" applyAlignment="1" applyProtection="1">
      <alignment horizontal="center" vertical="center"/>
      <protection locked="0"/>
    </xf>
    <xf numFmtId="175" fontId="17" fillId="0" borderId="9" xfId="0" applyNumberFormat="1" applyFont="1" applyBorder="1" applyAlignment="1">
      <alignment horizontal="center" vertical="center"/>
    </xf>
    <xf numFmtId="175" fontId="17" fillId="0" borderId="8" xfId="0" applyNumberFormat="1" applyFont="1" applyBorder="1" applyAlignment="1">
      <alignment horizontal="center" vertical="center"/>
    </xf>
    <xf numFmtId="169" fontId="31" fillId="2" borderId="0" xfId="6" applyNumberFormat="1" applyFont="1" applyFill="1" applyAlignment="1" applyProtection="1">
      <alignment horizontal="center" vertical="center" wrapText="1"/>
      <protection locked="0"/>
    </xf>
    <xf numFmtId="171" fontId="31" fillId="2" borderId="0" xfId="7" applyNumberFormat="1" applyFont="1" applyFill="1" applyAlignment="1" applyProtection="1">
      <alignment horizontal="right" vertical="center" wrapText="1"/>
      <protection locked="0"/>
    </xf>
    <xf numFmtId="171" fontId="31" fillId="0" borderId="0" xfId="7" applyNumberFormat="1" applyFont="1" applyAlignment="1" applyProtection="1">
      <alignment horizontal="right" vertical="center" wrapText="1"/>
      <protection locked="0"/>
    </xf>
    <xf numFmtId="169" fontId="0" fillId="0" borderId="0" xfId="0" applyNumberFormat="1"/>
    <xf numFmtId="172" fontId="34" fillId="0" borderId="18" xfId="8" applyNumberFormat="1" applyFont="1" applyBorder="1" applyAlignment="1" applyProtection="1">
      <alignment horizontal="right" vertical="center" wrapText="1" indent="1"/>
      <protection locked="0"/>
    </xf>
    <xf numFmtId="172" fontId="34" fillId="0" borderId="17" xfId="8" applyNumberFormat="1" applyFont="1" applyBorder="1" applyAlignment="1" applyProtection="1">
      <alignment horizontal="right" vertical="center" wrapText="1" indent="1"/>
      <protection locked="0"/>
    </xf>
    <xf numFmtId="172" fontId="33" fillId="0" borderId="16" xfId="6" applyNumberFormat="1" applyFont="1" applyBorder="1" applyAlignment="1" applyProtection="1">
      <alignment horizontal="right"/>
      <protection locked="0"/>
    </xf>
    <xf numFmtId="172" fontId="34" fillId="0" borderId="25" xfId="9" applyNumberFormat="1" applyFont="1" applyBorder="1"/>
    <xf numFmtId="9" fontId="0" fillId="0" borderId="0" xfId="2" applyFont="1"/>
    <xf numFmtId="167" fontId="0" fillId="0" borderId="0" xfId="0" applyNumberFormat="1"/>
    <xf numFmtId="172" fontId="34" fillId="0" borderId="20" xfId="6" applyNumberFormat="1" applyFont="1" applyBorder="1" applyAlignment="1" applyProtection="1">
      <alignment horizontal="right" vertical="center" wrapText="1" indent="1"/>
      <protection locked="0"/>
    </xf>
    <xf numFmtId="0" fontId="32" fillId="3" borderId="29" xfId="5" applyFont="1" applyFill="1" applyBorder="1" applyAlignment="1" applyProtection="1">
      <alignment horizontal="center" vertical="center" wrapText="1"/>
      <protection locked="0"/>
    </xf>
    <xf numFmtId="171" fontId="34" fillId="6" borderId="16" xfId="2" applyNumberFormat="1" applyFont="1" applyFill="1" applyBorder="1" applyAlignment="1" applyProtection="1">
      <alignment horizontal="center" vertical="center" wrapText="1"/>
      <protection locked="0"/>
    </xf>
    <xf numFmtId="176" fontId="34" fillId="6" borderId="16" xfId="8" applyNumberFormat="1" applyFont="1" applyFill="1" applyBorder="1" applyAlignment="1" applyProtection="1">
      <alignment horizontal="center" vertical="center" wrapText="1"/>
      <protection locked="0"/>
    </xf>
    <xf numFmtId="39" fontId="34" fillId="6" borderId="16" xfId="8" applyNumberFormat="1" applyFont="1" applyFill="1" applyBorder="1" applyAlignment="1" applyProtection="1">
      <alignment horizontal="center" vertical="center" wrapText="1"/>
      <protection locked="0"/>
    </xf>
    <xf numFmtId="166" fontId="12" fillId="0" borderId="0" xfId="1" applyNumberFormat="1" applyFont="1" applyFill="1" applyAlignment="1">
      <alignment horizontal="center" vertical="center"/>
    </xf>
    <xf numFmtId="172" fontId="34" fillId="6" borderId="20" xfId="6" applyNumberFormat="1" applyFont="1" applyFill="1" applyBorder="1" applyAlignment="1" applyProtection="1">
      <alignment horizontal="right" vertical="center" wrapText="1" indent="1"/>
      <protection locked="0"/>
    </xf>
    <xf numFmtId="0" fontId="34" fillId="0" borderId="25" xfId="5" applyFont="1" applyBorder="1" applyAlignment="1" applyProtection="1">
      <alignment horizontal="right" vertical="center" indent="1"/>
      <protection locked="0"/>
    </xf>
    <xf numFmtId="37" fontId="34" fillId="0" borderId="25" xfId="5" applyNumberFormat="1" applyFont="1" applyBorder="1" applyAlignment="1" applyProtection="1">
      <alignment horizontal="right" vertical="center" indent="1"/>
      <protection locked="0"/>
    </xf>
    <xf numFmtId="167" fontId="17" fillId="6" borderId="12" xfId="1" applyNumberFormat="1" applyFont="1" applyFill="1" applyBorder="1" applyAlignment="1">
      <alignment horizontal="center" vertical="center"/>
    </xf>
    <xf numFmtId="167" fontId="17" fillId="6" borderId="8" xfId="1" applyNumberFormat="1" applyFont="1" applyFill="1" applyBorder="1" applyAlignment="1">
      <alignment horizontal="center" vertical="center"/>
    </xf>
    <xf numFmtId="167" fontId="17" fillId="0" borderId="12" xfId="1" applyNumberFormat="1" applyFont="1" applyBorder="1" applyAlignment="1">
      <alignment horizontal="center" vertical="center"/>
    </xf>
    <xf numFmtId="167" fontId="17" fillId="0" borderId="9" xfId="1" applyNumberFormat="1" applyFont="1" applyBorder="1" applyAlignment="1">
      <alignment horizontal="center" vertical="center"/>
    </xf>
    <xf numFmtId="167" fontId="17" fillId="0" borderId="7" xfId="1" applyNumberFormat="1" applyFont="1" applyBorder="1" applyAlignment="1">
      <alignment horizontal="center" vertical="center"/>
    </xf>
    <xf numFmtId="164" fontId="17" fillId="0" borderId="0" xfId="1" applyFont="1" applyBorder="1" applyAlignment="1">
      <alignment horizontal="center" vertical="center"/>
    </xf>
    <xf numFmtId="164" fontId="0" fillId="0" borderId="0" xfId="1" applyFont="1"/>
    <xf numFmtId="167" fontId="0" fillId="0" borderId="0" xfId="1" applyNumberFormat="1" applyFont="1"/>
    <xf numFmtId="167" fontId="17" fillId="0" borderId="0" xfId="1" applyNumberFormat="1" applyFont="1"/>
    <xf numFmtId="167" fontId="16" fillId="3" borderId="1" xfId="1" applyNumberFormat="1" applyFont="1" applyFill="1" applyBorder="1"/>
    <xf numFmtId="167" fontId="16" fillId="3" borderId="4" xfId="1" applyNumberFormat="1" applyFont="1" applyFill="1" applyBorder="1" applyAlignment="1">
      <alignment horizontal="center" vertical="center"/>
    </xf>
    <xf numFmtId="167" fontId="16" fillId="3" borderId="3" xfId="1" applyNumberFormat="1" applyFont="1" applyFill="1" applyBorder="1" applyAlignment="1">
      <alignment horizontal="center" vertical="center"/>
    </xf>
    <xf numFmtId="167" fontId="16" fillId="3" borderId="4" xfId="1" applyNumberFormat="1" applyFont="1" applyFill="1" applyBorder="1"/>
    <xf numFmtId="167" fontId="17" fillId="0" borderId="11" xfId="1" applyNumberFormat="1" applyFont="1" applyBorder="1" applyAlignment="1">
      <alignment horizontal="left" indent="1"/>
    </xf>
    <xf numFmtId="167" fontId="17" fillId="0" borderId="13" xfId="1" applyNumberFormat="1" applyFont="1" applyBorder="1" applyAlignment="1">
      <alignment horizontal="center" vertical="center"/>
    </xf>
    <xf numFmtId="167" fontId="17" fillId="0" borderId="9" xfId="1" applyNumberFormat="1" applyFont="1" applyBorder="1" applyAlignment="1">
      <alignment horizontal="left" indent="1"/>
    </xf>
    <xf numFmtId="167" fontId="17" fillId="0" borderId="8" xfId="1" applyNumberFormat="1" applyFont="1" applyBorder="1" applyAlignment="1">
      <alignment horizontal="left" indent="1"/>
    </xf>
    <xf numFmtId="167" fontId="17" fillId="0" borderId="8" xfId="1" applyNumberFormat="1" applyFont="1" applyBorder="1" applyAlignment="1">
      <alignment horizontal="center" vertical="center"/>
    </xf>
    <xf numFmtId="167" fontId="17" fillId="0" borderId="0" xfId="1" applyNumberFormat="1" applyFont="1" applyBorder="1" applyAlignment="1">
      <alignment horizontal="left" indent="1"/>
    </xf>
    <xf numFmtId="167" fontId="17" fillId="0" borderId="0" xfId="1" applyNumberFormat="1" applyFont="1" applyBorder="1" applyAlignment="1">
      <alignment horizontal="center" vertical="center"/>
    </xf>
    <xf numFmtId="167" fontId="17" fillId="6" borderId="0" xfId="1" applyNumberFormat="1" applyFont="1" applyFill="1" applyBorder="1" applyAlignment="1">
      <alignment horizontal="center" vertical="center"/>
    </xf>
    <xf numFmtId="167" fontId="17" fillId="9" borderId="8" xfId="1" applyNumberFormat="1" applyFont="1" applyFill="1" applyBorder="1" applyAlignment="1">
      <alignment horizontal="center" vertical="center"/>
    </xf>
    <xf numFmtId="177" fontId="16" fillId="3" borderId="3" xfId="1" applyNumberFormat="1" applyFont="1" applyFill="1" applyBorder="1" applyAlignment="1">
      <alignment horizontal="center" vertical="center"/>
    </xf>
    <xf numFmtId="177" fontId="16" fillId="3" borderId="4" xfId="1" applyNumberFormat="1" applyFont="1" applyFill="1" applyBorder="1" applyAlignment="1">
      <alignment horizontal="center" vertical="center"/>
    </xf>
    <xf numFmtId="171" fontId="17" fillId="9" borderId="8" xfId="2" applyNumberFormat="1" applyFont="1" applyFill="1" applyBorder="1" applyAlignment="1">
      <alignment horizontal="center" vertical="center"/>
    </xf>
    <xf numFmtId="164" fontId="17" fillId="0" borderId="0" xfId="1" applyFont="1" applyAlignment="1">
      <alignment horizontal="left"/>
    </xf>
    <xf numFmtId="171" fontId="0" fillId="0" borderId="0" xfId="2" applyNumberFormat="1" applyFont="1"/>
    <xf numFmtId="171" fontId="17" fillId="9" borderId="9" xfId="2" applyNumberFormat="1" applyFont="1" applyFill="1" applyBorder="1" applyAlignment="1">
      <alignment horizontal="center" vertical="center"/>
    </xf>
    <xf numFmtId="172" fontId="33" fillId="0" borderId="0" xfId="6" applyNumberFormat="1" applyFont="1" applyBorder="1" applyAlignment="1" applyProtection="1">
      <alignment horizontal="right" vertical="center" wrapText="1" indent="1"/>
      <protection locked="0"/>
    </xf>
    <xf numFmtId="0" fontId="33" fillId="0" borderId="0" xfId="4" applyFont="1" applyAlignment="1">
      <alignment horizontal="left" vertical="center" indent="1"/>
    </xf>
    <xf numFmtId="167" fontId="17" fillId="9" borderId="9" xfId="1" applyNumberFormat="1" applyFont="1" applyFill="1" applyBorder="1" applyAlignment="1">
      <alignment horizontal="center" vertical="center"/>
    </xf>
    <xf numFmtId="0" fontId="33" fillId="0" borderId="16" xfId="5" applyFont="1" applyBorder="1" applyAlignment="1">
      <alignment horizontal="left" vertical="center" wrapText="1"/>
    </xf>
    <xf numFmtId="9" fontId="17" fillId="6" borderId="12" xfId="2" applyFont="1" applyFill="1" applyBorder="1" applyAlignment="1">
      <alignment horizontal="center" vertical="center"/>
    </xf>
    <xf numFmtId="9" fontId="17" fillId="6" borderId="7" xfId="2" applyFont="1" applyFill="1" applyBorder="1" applyAlignment="1">
      <alignment horizontal="center" vertical="center"/>
    </xf>
    <xf numFmtId="3" fontId="33" fillId="5" borderId="0" xfId="7" applyNumberFormat="1" applyFont="1" applyFill="1" applyBorder="1" applyAlignment="1" applyProtection="1">
      <alignment horizontal="right" wrapText="1"/>
      <protection locked="0"/>
    </xf>
    <xf numFmtId="0" fontId="34" fillId="0" borderId="16" xfId="0" applyFont="1" applyBorder="1" applyAlignment="1">
      <alignment horizontal="left" indent="2"/>
    </xf>
    <xf numFmtId="172" fontId="33" fillId="6" borderId="16" xfId="7" applyNumberFormat="1" applyFont="1" applyFill="1" applyBorder="1" applyAlignment="1" applyProtection="1">
      <alignment horizontal="center" vertical="center" wrapText="1"/>
      <protection locked="0"/>
    </xf>
    <xf numFmtId="3" fontId="34" fillId="6" borderId="0" xfId="63442" applyNumberFormat="1" applyFont="1" applyFill="1" applyBorder="1" applyAlignment="1" applyProtection="1">
      <alignment horizontal="right"/>
      <protection locked="0"/>
    </xf>
    <xf numFmtId="3" fontId="34" fillId="0" borderId="0" xfId="63442" applyNumberFormat="1" applyFont="1" applyBorder="1" applyAlignment="1" applyProtection="1">
      <alignment horizontal="right"/>
      <protection locked="0"/>
    </xf>
    <xf numFmtId="3" fontId="34" fillId="0" borderId="0" xfId="18" applyNumberFormat="1" applyFont="1" applyFill="1" applyBorder="1" applyAlignment="1" applyProtection="1">
      <alignment horizontal="right"/>
      <protection locked="0"/>
    </xf>
    <xf numFmtId="169" fontId="30" fillId="6" borderId="0" xfId="5" applyNumberFormat="1" applyFont="1" applyFill="1" applyAlignment="1" applyProtection="1">
      <alignment horizontal="center" vertical="center"/>
      <protection locked="0"/>
    </xf>
    <xf numFmtId="167" fontId="17" fillId="6" borderId="70" xfId="1" applyNumberFormat="1" applyFont="1" applyFill="1" applyBorder="1" applyAlignment="1">
      <alignment horizontal="center" vertical="center"/>
    </xf>
    <xf numFmtId="167" fontId="16" fillId="3" borderId="13" xfId="1" applyNumberFormat="1" applyFont="1" applyFill="1" applyBorder="1" applyAlignment="1">
      <alignment horizontal="center" vertical="center"/>
    </xf>
    <xf numFmtId="172" fontId="39" fillId="0" borderId="0" xfId="5" applyNumberFormat="1" applyFont="1" applyProtection="1">
      <protection locked="0"/>
    </xf>
    <xf numFmtId="37" fontId="0" fillId="0" borderId="0" xfId="0" applyNumberFormat="1"/>
    <xf numFmtId="1" fontId="0" fillId="0" borderId="0" xfId="0" applyNumberFormat="1"/>
    <xf numFmtId="37" fontId="127" fillId="0" borderId="0" xfId="63410" applyNumberFormat="1" applyFont="1" applyFill="1" applyAlignment="1">
      <alignment horizontal="right" vertical="center"/>
    </xf>
    <xf numFmtId="37" fontId="128" fillId="0" borderId="0" xfId="63410" applyNumberFormat="1" applyFont="1" applyFill="1" applyAlignment="1">
      <alignment horizontal="right" vertical="center"/>
    </xf>
    <xf numFmtId="0" fontId="17" fillId="0" borderId="8" xfId="0" applyFont="1" applyBorder="1"/>
    <xf numFmtId="9" fontId="17" fillId="0" borderId="73" xfId="2" applyFont="1" applyBorder="1" applyAlignment="1">
      <alignment horizontal="center" vertical="center"/>
    </xf>
    <xf numFmtId="9" fontId="23" fillId="0" borderId="71" xfId="2" applyFont="1" applyBorder="1" applyAlignment="1">
      <alignment horizontal="center" vertical="center"/>
    </xf>
    <xf numFmtId="9" fontId="23" fillId="0" borderId="73" xfId="2" applyFont="1" applyBorder="1" applyAlignment="1">
      <alignment horizontal="center" vertical="center"/>
    </xf>
    <xf numFmtId="9" fontId="23" fillId="6" borderId="72" xfId="2" applyFont="1" applyFill="1" applyBorder="1" applyAlignment="1">
      <alignment horizontal="center" vertical="center"/>
    </xf>
    <xf numFmtId="0" fontId="23" fillId="0" borderId="74" xfId="0" applyFont="1" applyBorder="1" applyAlignment="1">
      <alignment horizontal="left"/>
    </xf>
    <xf numFmtId="0" fontId="23" fillId="102" borderId="75" xfId="0" applyFont="1" applyFill="1" applyBorder="1" applyAlignment="1">
      <alignment horizontal="left"/>
    </xf>
    <xf numFmtId="172" fontId="129" fillId="0" borderId="0" xfId="55770" applyNumberFormat="1" applyFont="1" applyFill="1" applyBorder="1"/>
    <xf numFmtId="172" fontId="130" fillId="0" borderId="0" xfId="55770" applyNumberFormat="1" applyFont="1" applyFill="1" applyBorder="1"/>
    <xf numFmtId="9" fontId="0" fillId="0" borderId="0" xfId="0" applyNumberFormat="1"/>
    <xf numFmtId="3" fontId="17" fillId="0" borderId="0" xfId="0" applyNumberFormat="1" applyFont="1" applyAlignment="1">
      <alignment horizontal="center" vertical="center"/>
    </xf>
    <xf numFmtId="3" fontId="17" fillId="6" borderId="0" xfId="0" applyNumberFormat="1" applyFont="1" applyFill="1" applyAlignment="1">
      <alignment horizontal="center" vertical="center"/>
    </xf>
    <xf numFmtId="0" fontId="131" fillId="103" borderId="1" xfId="0" applyFont="1" applyFill="1" applyBorder="1"/>
    <xf numFmtId="0" fontId="131" fillId="103" borderId="4" xfId="0" applyFont="1" applyFill="1" applyBorder="1" applyAlignment="1">
      <alignment horizontal="center" vertical="center"/>
    </xf>
    <xf numFmtId="0" fontId="131" fillId="103" borderId="3" xfId="0" applyFont="1" applyFill="1" applyBorder="1" applyAlignment="1">
      <alignment horizontal="center" vertical="center"/>
    </xf>
    <xf numFmtId="0" fontId="132" fillId="0" borderId="11" xfId="0" applyFont="1" applyBorder="1"/>
    <xf numFmtId="3" fontId="132" fillId="0" borderId="9" xfId="0" applyNumberFormat="1" applyFont="1" applyBorder="1" applyAlignment="1">
      <alignment horizontal="center" vertical="center"/>
    </xf>
    <xf numFmtId="3" fontId="132" fillId="0" borderId="12" xfId="0" applyNumberFormat="1" applyFont="1" applyBorder="1" applyAlignment="1">
      <alignment horizontal="center" vertical="center"/>
    </xf>
    <xf numFmtId="3" fontId="132" fillId="104" borderId="12" xfId="0" applyNumberFormat="1" applyFont="1" applyFill="1" applyBorder="1" applyAlignment="1">
      <alignment horizontal="center" vertical="center"/>
    </xf>
    <xf numFmtId="0" fontId="132" fillId="0" borderId="8" xfId="0" applyFont="1" applyBorder="1"/>
    <xf numFmtId="3" fontId="132" fillId="0" borderId="8" xfId="0" applyNumberFormat="1" applyFont="1" applyBorder="1" applyAlignment="1">
      <alignment horizontal="center" vertical="center"/>
    </xf>
    <xf numFmtId="3" fontId="132" fillId="0" borderId="7" xfId="0" applyNumberFormat="1" applyFont="1" applyBorder="1" applyAlignment="1">
      <alignment horizontal="center" vertical="center"/>
    </xf>
    <xf numFmtId="3" fontId="132" fillId="104" borderId="7" xfId="0" applyNumberFormat="1" applyFont="1" applyFill="1" applyBorder="1" applyAlignment="1">
      <alignment horizontal="center" vertical="center"/>
    </xf>
    <xf numFmtId="172" fontId="34" fillId="0" borderId="0" xfId="6" applyNumberFormat="1" applyFont="1" applyFill="1" applyBorder="1" applyAlignment="1" applyProtection="1">
      <alignment horizontal="right" vertical="center" wrapText="1" indent="1"/>
      <protection locked="0"/>
    </xf>
    <xf numFmtId="171" fontId="33" fillId="7" borderId="0" xfId="7" applyNumberFormat="1" applyFont="1" applyFill="1" applyBorder="1" applyAlignment="1" applyProtection="1">
      <alignment horizontal="right" vertical="center" wrapText="1" indent="1"/>
      <protection locked="0"/>
    </xf>
    <xf numFmtId="172" fontId="33" fillId="5" borderId="0" xfId="5" applyNumberFormat="1" applyFont="1" applyFill="1" applyAlignment="1" applyProtection="1">
      <alignment horizontal="center" vertical="center" wrapText="1"/>
      <protection locked="0"/>
    </xf>
    <xf numFmtId="39" fontId="34" fillId="6" borderId="0" xfId="8" applyNumberFormat="1" applyFont="1" applyFill="1" applyBorder="1" applyAlignment="1" applyProtection="1">
      <alignment horizontal="center" vertical="center" wrapText="1"/>
      <protection locked="0"/>
    </xf>
    <xf numFmtId="176" fontId="34" fillId="6" borderId="0" xfId="8" applyNumberFormat="1" applyFont="1" applyFill="1" applyBorder="1" applyAlignment="1" applyProtection="1">
      <alignment horizontal="center" vertical="center" wrapText="1"/>
      <protection locked="0"/>
    </xf>
    <xf numFmtId="0" fontId="133" fillId="3" borderId="4" xfId="0" applyFont="1" applyFill="1" applyBorder="1" applyAlignment="1">
      <alignment horizontal="center" vertical="center" wrapText="1"/>
    </xf>
    <xf numFmtId="165" fontId="12" fillId="0" borderId="0" xfId="1" applyNumberFormat="1" applyFont="1" applyFill="1" applyAlignment="1">
      <alignment horizontal="center" vertical="center"/>
    </xf>
    <xf numFmtId="312" fontId="0" fillId="0" borderId="0" xfId="0" applyNumberFormat="1"/>
    <xf numFmtId="3" fontId="132" fillId="105" borderId="7" xfId="0" applyNumberFormat="1" applyFont="1" applyFill="1" applyBorder="1" applyAlignment="1">
      <alignment horizontal="center" vertical="center"/>
    </xf>
    <xf numFmtId="175" fontId="17" fillId="6" borderId="8" xfId="0" applyNumberFormat="1" applyFont="1" applyFill="1" applyBorder="1" applyAlignment="1">
      <alignment horizontal="center" vertical="center"/>
    </xf>
    <xf numFmtId="172" fontId="34" fillId="6" borderId="25" xfId="9" applyNumberFormat="1" applyFont="1" applyFill="1" applyBorder="1"/>
    <xf numFmtId="172" fontId="33" fillId="6" borderId="25" xfId="9" applyNumberFormat="1" applyFont="1" applyFill="1" applyBorder="1"/>
    <xf numFmtId="3" fontId="34" fillId="0" borderId="0" xfId="6" applyNumberFormat="1" applyFont="1" applyBorder="1" applyAlignment="1" applyProtection="1">
      <alignment horizontal="right"/>
      <protection locked="0"/>
    </xf>
    <xf numFmtId="0" fontId="4" fillId="0" borderId="0" xfId="0" applyFont="1" applyAlignment="1">
      <alignment horizontal="right"/>
    </xf>
    <xf numFmtId="0" fontId="0" fillId="0" borderId="0" xfId="0" applyAlignment="1">
      <alignment horizontal="right"/>
    </xf>
    <xf numFmtId="0" fontId="8" fillId="0" borderId="0" xfId="3" applyFont="1" applyAlignment="1">
      <alignment horizontal="center" vertical="center"/>
    </xf>
    <xf numFmtId="0" fontId="8" fillId="0" borderId="0" xfId="3" applyFont="1" applyAlignment="1">
      <alignment horizontal="left" vertical="center" indent="40"/>
    </xf>
    <xf numFmtId="0" fontId="9" fillId="0" borderId="0" xfId="0" applyFont="1" applyAlignment="1">
      <alignment horizontal="center" vertical="center"/>
    </xf>
    <xf numFmtId="3" fontId="9" fillId="0" borderId="0" xfId="0" applyNumberFormat="1" applyFont="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0" fillId="3" borderId="1" xfId="0" applyFont="1" applyFill="1" applyBorder="1" applyAlignment="1">
      <alignment horizontal="center"/>
    </xf>
    <xf numFmtId="0" fontId="20" fillId="3" borderId="3" xfId="0" applyFont="1" applyFill="1" applyBorder="1" applyAlignment="1">
      <alignment horizontal="center"/>
    </xf>
    <xf numFmtId="0" fontId="15" fillId="0" borderId="0" xfId="0" applyFont="1" applyAlignment="1">
      <alignment horizontal="center" vertical="center" wrapText="1" readingOrder="1"/>
    </xf>
    <xf numFmtId="0" fontId="16" fillId="4" borderId="5" xfId="0" applyFont="1" applyFill="1" applyBorder="1" applyAlignment="1">
      <alignment horizontal="center" vertical="center"/>
    </xf>
    <xf numFmtId="0" fontId="16" fillId="4" borderId="6" xfId="0" applyFont="1" applyFill="1" applyBorder="1" applyAlignment="1">
      <alignment horizontal="center" vertical="center"/>
    </xf>
    <xf numFmtId="0" fontId="15" fillId="0" borderId="1" xfId="0" applyFont="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3" xfId="0" applyFont="1" applyBorder="1" applyAlignment="1">
      <alignment horizontal="center" vertical="center" wrapText="1" readingOrder="1"/>
    </xf>
    <xf numFmtId="0" fontId="22" fillId="0" borderId="1" xfId="0" applyFont="1" applyBorder="1" applyAlignment="1">
      <alignment horizontal="center"/>
    </xf>
    <xf numFmtId="0" fontId="22" fillId="0" borderId="3" xfId="0" applyFont="1" applyBorder="1" applyAlignment="1">
      <alignment horizontal="center"/>
    </xf>
    <xf numFmtId="0" fontId="19" fillId="0" borderId="0" xfId="0" applyFont="1" applyAlignment="1">
      <alignment horizontal="center" vertical="center" wrapText="1"/>
    </xf>
    <xf numFmtId="164" fontId="17" fillId="0" borderId="0" xfId="1" applyFont="1" applyAlignment="1">
      <alignment horizontal="left"/>
    </xf>
    <xf numFmtId="0" fontId="0" fillId="0" borderId="0" xfId="0" applyAlignment="1">
      <alignment horizontal="center"/>
    </xf>
    <xf numFmtId="0" fontId="24" fillId="3" borderId="0" xfId="0" applyFont="1" applyFill="1" applyAlignment="1">
      <alignment horizontal="center" vertical="center"/>
    </xf>
    <xf numFmtId="0" fontId="33" fillId="5" borderId="46" xfId="4" applyFont="1" applyFill="1" applyBorder="1" applyAlignment="1">
      <alignment horizontal="center" vertical="center"/>
    </xf>
    <xf numFmtId="0" fontId="33" fillId="5" borderId="16" xfId="4" applyFont="1" applyFill="1" applyBorder="1" applyAlignment="1">
      <alignment horizontal="center" vertical="center"/>
    </xf>
    <xf numFmtId="0" fontId="32" fillId="3" borderId="44" xfId="4" applyFont="1" applyFill="1" applyBorder="1" applyAlignment="1" applyProtection="1">
      <alignment horizontal="center" vertical="center" wrapText="1"/>
      <protection locked="0"/>
    </xf>
    <xf numFmtId="0" fontId="32" fillId="3" borderId="23" xfId="4" applyFont="1" applyFill="1" applyBorder="1" applyAlignment="1" applyProtection="1">
      <alignment horizontal="center" vertical="center" wrapText="1"/>
      <protection locked="0"/>
    </xf>
    <xf numFmtId="0" fontId="32" fillId="3" borderId="45" xfId="4" applyFont="1" applyFill="1" applyBorder="1" applyAlignment="1" applyProtection="1">
      <alignment horizontal="center" vertical="center" wrapText="1"/>
      <protection locked="0"/>
    </xf>
    <xf numFmtId="0" fontId="35" fillId="0" borderId="0" xfId="5" applyFont="1" applyAlignment="1" applyProtection="1">
      <alignment horizontal="center" vertical="center"/>
      <protection locked="0"/>
    </xf>
    <xf numFmtId="0" fontId="32" fillId="3" borderId="29" xfId="5" applyFont="1" applyFill="1" applyBorder="1" applyAlignment="1" applyProtection="1">
      <alignment horizontal="center" vertical="center" wrapText="1"/>
      <protection locked="0"/>
    </xf>
    <xf numFmtId="0" fontId="32" fillId="3" borderId="30" xfId="5" applyFont="1" applyFill="1" applyBorder="1" applyAlignment="1" applyProtection="1">
      <alignment horizontal="center" vertical="center" wrapText="1"/>
      <protection locked="0"/>
    </xf>
    <xf numFmtId="0" fontId="52" fillId="0" borderId="0" xfId="12" quotePrefix="1" applyFont="1" applyAlignment="1">
      <alignment horizontal="left" wrapText="1"/>
    </xf>
    <xf numFmtId="0" fontId="52" fillId="0" borderId="0" xfId="12" applyFont="1" applyAlignment="1">
      <alignment horizontal="left" wrapText="1"/>
    </xf>
    <xf numFmtId="0" fontId="0" fillId="0" borderId="0" xfId="0" applyAlignment="1">
      <alignment horizontal="center" wrapText="1"/>
    </xf>
    <xf numFmtId="0" fontId="51" fillId="0" borderId="0" xfId="0" applyFont="1" applyAlignment="1">
      <alignment horizontal="left" vertical="top" wrapText="1"/>
    </xf>
  </cellXfs>
  <cellStyles count="63445">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6" xfId="55766" xr:uid="{00000000-0005-0000-0000-0000D5D90000}"/>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3" xfId="63405" xr:uid="{00000000-0005-0000-0000-0000AFF70000}"/>
    <cellStyle name="Vírgula 2 4" xfId="63440" xr:uid="{00000000-0005-0000-0000-0000B0F70000}"/>
    <cellStyle name="Vírgula 2 5" xfId="63441" xr:uid="{00000000-0005-0000-0000-0000B1F70000}"/>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900">
                <a:latin typeface="Trebuchet MS" panose="020B0603020202020204" pitchFamily="34" charset="0"/>
              </a:defRPr>
            </a:pPr>
            <a:r>
              <a:rPr lang="pt-BR" sz="900">
                <a:latin typeface="Trebuchet MS" panose="020B0603020202020204" pitchFamily="34" charset="0"/>
              </a:rPr>
              <a:t>Dívida Bruta</a:t>
            </a:r>
            <a:r>
              <a:rPr lang="pt-BR" sz="900" baseline="0">
                <a:latin typeface="Trebuchet MS" panose="020B0603020202020204" pitchFamily="34" charset="0"/>
              </a:rPr>
              <a:t> (somente principal)</a:t>
            </a:r>
            <a:endParaRPr lang="pt-BR" sz="900">
              <a:latin typeface="Trebuchet MS" panose="020B0603020202020204" pitchFamily="34" charset="0"/>
            </a:endParaRPr>
          </a:p>
        </c:rich>
      </c:tx>
      <c:overlay val="0"/>
    </c:title>
    <c:autoTitleDeleted val="0"/>
    <c:plotArea>
      <c:layout>
        <c:manualLayout>
          <c:layoutTarget val="inner"/>
          <c:xMode val="edge"/>
          <c:yMode val="edge"/>
          <c:x val="1.0497059604493951E-2"/>
          <c:y val="4.8915476865054666E-2"/>
          <c:w val="0.97110829869140791"/>
          <c:h val="0.81456976711781592"/>
        </c:manualLayout>
      </c:layout>
      <c:barChart>
        <c:barDir val="col"/>
        <c:grouping val="stacked"/>
        <c:varyColors val="0"/>
        <c:ser>
          <c:idx val="0"/>
          <c:order val="0"/>
          <c:tx>
            <c:strRef>
              <c:f>'[6]Gráfico R.I'!$D$8</c:f>
              <c:strCache>
                <c:ptCount val="1"/>
                <c:pt idx="0">
                  <c:v>Caixa (Moeda Local)</c:v>
                </c:pt>
              </c:strCache>
            </c:strRef>
          </c:tx>
          <c:spPr>
            <a:solidFill>
              <a:srgbClr val="A6A6A6"/>
            </a:solidFill>
          </c:spPr>
          <c:invertIfNegative val="0"/>
          <c:dPt>
            <c:idx val="0"/>
            <c:invertIfNegative val="0"/>
            <c:bubble3D val="0"/>
            <c:extLst>
              <c:ext xmlns:c16="http://schemas.microsoft.com/office/drawing/2014/chart" uri="{C3380CC4-5D6E-409C-BE32-E72D297353CC}">
                <c16:uniqueId val="{00000000-7F9C-4872-AD77-E5FB8752DD3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9C-4872-AD77-E5FB8752DD39}"/>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'[6]Gráfico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'[6]Gráfico R.I'!$D$9:$D$16</c:f>
              <c:numCache>
                <c:formatCode>General</c:formatCode>
                <c:ptCount val="8"/>
                <c:pt idx="0">
                  <c:v>4177</c:v>
                </c:pt>
              </c:numCache>
            </c:numRef>
          </c:val>
          <c:extLst>
            <c:ext xmlns:c16="http://schemas.microsoft.com/office/drawing/2014/chart" uri="{C3380CC4-5D6E-409C-BE32-E72D297353CC}">
              <c16:uniqueId val="{00000001-7F9C-4872-AD77-E5FB8752DD39}"/>
            </c:ext>
          </c:extLst>
        </c:ser>
        <c:ser>
          <c:idx val="1"/>
          <c:order val="1"/>
          <c:tx>
            <c:strRef>
              <c:f>'[6]Gráfico R.I'!$E$8</c:f>
              <c:strCache>
                <c:ptCount val="1"/>
                <c:pt idx="0">
                  <c:v>Caixa (Moeda Estrangeira)</c:v>
                </c:pt>
              </c:strCache>
            </c:strRef>
          </c:tx>
          <c:spPr>
            <a:solidFill>
              <a:srgbClr val="A6A6A6">
                <a:alpha val="24706"/>
              </a:srgbClr>
            </a:solidFill>
            <a:ln w="3175">
              <a:noFill/>
            </a:ln>
          </c:spPr>
          <c:invertIfNegative val="0"/>
          <c:dPt>
            <c:idx val="0"/>
            <c:invertIfNegative val="0"/>
            <c:bubble3D val="0"/>
            <c:extLst>
              <c:ext xmlns:c16="http://schemas.microsoft.com/office/drawing/2014/chart" uri="{C3380CC4-5D6E-409C-BE32-E72D297353CC}">
                <c16:uniqueId val="{00000002-7F9C-4872-AD77-E5FB8752DD39}"/>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9C-4872-AD77-E5FB8752DD39}"/>
                </c:ext>
              </c:extLst>
            </c:dLbl>
            <c:spPr>
              <a:noFill/>
              <a:ln>
                <a:noFill/>
              </a:ln>
              <a:effectLst/>
            </c:spPr>
            <c:txPr>
              <a:bodyPr/>
              <a:lstStyle/>
              <a:p>
                <a:pPr>
                  <a:defRPr sz="800">
                    <a:latin typeface="Trebuchet MS" panose="020B0603020202020204" pitchFamily="34" charset="0"/>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'[6]Gráfico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'[6]Gráfico R.I'!$E$9:$E$16</c:f>
              <c:numCache>
                <c:formatCode>General</c:formatCode>
                <c:ptCount val="8"/>
                <c:pt idx="0">
                  <c:v>895</c:v>
                </c:pt>
              </c:numCache>
            </c:numRef>
          </c:val>
          <c:extLst>
            <c:ext xmlns:c16="http://schemas.microsoft.com/office/drawing/2014/chart" uri="{C3380CC4-5D6E-409C-BE32-E72D297353CC}">
              <c16:uniqueId val="{00000003-7F9C-4872-AD77-E5FB8752DD39}"/>
            </c:ext>
          </c:extLst>
        </c:ser>
        <c:ser>
          <c:idx val="3"/>
          <c:order val="2"/>
          <c:tx>
            <c:strRef>
              <c:f>'[6]Gráfico R.I'!$F$8</c:f>
              <c:strCache>
                <c:ptCount val="1"/>
                <c:pt idx="0">
                  <c:v>Dívida (Moeda Local)</c:v>
                </c:pt>
              </c:strCache>
            </c:strRef>
          </c:tx>
          <c:spPr>
            <a:solidFill>
              <a:srgbClr val="51A120"/>
            </a:solidFill>
          </c:spPr>
          <c:invertIfNegative val="0"/>
          <c:dLbls>
            <c:delete val="1"/>
          </c:dLbls>
          <c:cat>
            <c:strRef>
              <c:f>'[6]Gráfico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'[6]Gráfico R.I'!$F$9:$F$19</c:f>
              <c:numCache>
                <c:formatCode>General</c:formatCode>
                <c:ptCount val="11"/>
                <c:pt idx="1">
                  <c:v>7.6980000000000004</c:v>
                </c:pt>
                <c:pt idx="2">
                  <c:v>1.716</c:v>
                </c:pt>
                <c:pt idx="3">
                  <c:v>0</c:v>
                </c:pt>
                <c:pt idx="4">
                  <c:v>0</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4-7F9C-4872-AD77-E5FB8752DD39}"/>
            </c:ext>
          </c:extLst>
        </c:ser>
        <c:ser>
          <c:idx val="4"/>
          <c:order val="3"/>
          <c:tx>
            <c:strRef>
              <c:f>'[6]Gráfico R.I'!$G$8</c:f>
              <c:strCache>
                <c:ptCount val="1"/>
                <c:pt idx="0">
                  <c:v>Dívida (Moeda Estrangeira)</c:v>
                </c:pt>
              </c:strCache>
            </c:strRef>
          </c:tx>
          <c:spPr>
            <a:solidFill>
              <a:srgbClr val="51A120">
                <a:alpha val="25098"/>
              </a:srgbClr>
            </a:solidFill>
          </c:spPr>
          <c:invertIfNegative val="0"/>
          <c:dLbls>
            <c:delete val="1"/>
          </c:dLbls>
          <c:cat>
            <c:strRef>
              <c:f>'[6]Gráfico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'[6]Gráfico R.I'!$G$9:$G$19</c:f>
              <c:numCache>
                <c:formatCode>General</c:formatCode>
                <c:ptCount val="11"/>
                <c:pt idx="1">
                  <c:v>0</c:v>
                </c:pt>
                <c:pt idx="2">
                  <c:v>0</c:v>
                </c:pt>
                <c:pt idx="3">
                  <c:v>0</c:v>
                </c:pt>
                <c:pt idx="4">
                  <c:v>3873.047</c:v>
                </c:pt>
              </c:numCache>
            </c:numRef>
          </c:val>
          <c:extLst>
            <c:ext xmlns:c16="http://schemas.microsoft.com/office/drawing/2014/chart" uri="{C3380CC4-5D6E-409C-BE32-E72D297353CC}">
              <c16:uniqueId val="{00000005-7F9C-4872-AD77-E5FB8752DD39}"/>
            </c:ext>
          </c:extLst>
        </c:ser>
        <c:ser>
          <c:idx val="2"/>
          <c:order val="4"/>
          <c:spPr>
            <a:noFill/>
          </c:spPr>
          <c:invertIfNegative val="0"/>
          <c:dLbls>
            <c:dLbl>
              <c:idx val="1"/>
              <c:layout>
                <c:manualLayout>
                  <c:x val="0"/>
                  <c:y val="-1.62676761477179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9C-4872-AD77-E5FB8752DD39}"/>
                </c:ext>
              </c:extLst>
            </c:dLbl>
            <c:dLbl>
              <c:idx val="2"/>
              <c:layout>
                <c:manualLayout>
                  <c:x val="-2.5100848092434367E-3"/>
                  <c:y val="1.9164572595486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9C-4872-AD77-E5FB8752DD39}"/>
                </c:ext>
              </c:extLst>
            </c:dLbl>
            <c:dLbl>
              <c:idx val="3"/>
              <c:layout>
                <c:manualLayout>
                  <c:x val="-4.2683019674386756E-17"/>
                  <c:y val="2.07652473678611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9C-4872-AD77-E5FB8752DD39}"/>
                </c:ext>
              </c:extLst>
            </c:dLbl>
            <c:dLbl>
              <c:idx val="4"/>
              <c:layout>
                <c:manualLayout>
                  <c:x val="0"/>
                  <c:y val="0.164328846134305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9C-4872-AD77-E5FB8752DD39}"/>
                </c:ext>
              </c:extLst>
            </c:dLbl>
            <c:dLbl>
              <c:idx val="6"/>
              <c:layout>
                <c:manualLayout>
                  <c:x val="-1.7073207869754702E-16"/>
                  <c:y val="-2.97672929797809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9C-4872-AD77-E5FB8752DD39}"/>
                </c:ext>
              </c:extLst>
            </c:dLbl>
            <c:dLbl>
              <c:idx val="7"/>
              <c:layout>
                <c:manualLayout>
                  <c:x val="-1.1640958023346995E-3"/>
                  <c:y val="-8.0676619738288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9C-4872-AD77-E5FB8752DD39}"/>
                </c:ext>
              </c:extLst>
            </c:dLbl>
            <c:dLbl>
              <c:idx val="8"/>
              <c:layout>
                <c:manualLayout>
                  <c:x val="-1.1640958023346995E-3"/>
                  <c:y val="-5.10469762832201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9C-4872-AD77-E5FB8752DD39}"/>
                </c:ext>
              </c:extLst>
            </c:dLbl>
            <c:spPr>
              <a:noFill/>
              <a:ln>
                <a:noFill/>
              </a:ln>
              <a:effectLst/>
            </c:spPr>
            <c:txPr>
              <a:bodyPr/>
              <a:lstStyle/>
              <a:p>
                <a:pPr>
                  <a:defRPr sz="800">
                    <a:latin typeface="Trebuchet MS" panose="020B0603020202020204" pitchFamily="34" charset="0"/>
                  </a:defRPr>
                </a:pPr>
                <a:endParaRPr lang="pt-B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'[6]Gráfico R.I'!$B$9:$B$19</c:f>
              <c:strCache>
                <c:ptCount val="11"/>
                <c:pt idx="0">
                  <c:v>Caixa</c:v>
                </c:pt>
                <c:pt idx="1">
                  <c:v>2023</c:v>
                </c:pt>
                <c:pt idx="2">
                  <c:v>2024</c:v>
                </c:pt>
                <c:pt idx="3">
                  <c:v>2025</c:v>
                </c:pt>
                <c:pt idx="4">
                  <c:v>2026</c:v>
                </c:pt>
                <c:pt idx="5">
                  <c:v>2027</c:v>
                </c:pt>
                <c:pt idx="6">
                  <c:v>2028</c:v>
                </c:pt>
                <c:pt idx="7">
                  <c:v>2029</c:v>
                </c:pt>
                <c:pt idx="8">
                  <c:v>2030</c:v>
                </c:pt>
                <c:pt idx="9">
                  <c:v>2031</c:v>
                </c:pt>
                <c:pt idx="10">
                  <c:v>2032</c:v>
                </c:pt>
              </c:strCache>
            </c:strRef>
          </c:cat>
          <c:val>
            <c:numRef>
              <c:f>'[6]Gráfico R.I'!$H$9:$H$19</c:f>
              <c:numCache>
                <c:formatCode>General</c:formatCode>
                <c:ptCount val="11"/>
                <c:pt idx="0">
                  <c:v>5072</c:v>
                </c:pt>
                <c:pt idx="1">
                  <c:v>7.6980000000000004</c:v>
                </c:pt>
                <c:pt idx="2">
                  <c:v>1.716</c:v>
                </c:pt>
                <c:pt idx="3">
                  <c:v>0</c:v>
                </c:pt>
                <c:pt idx="4">
                  <c:v>3873.047</c:v>
                </c:pt>
                <c:pt idx="5">
                  <c:v>460.19</c:v>
                </c:pt>
                <c:pt idx="6">
                  <c:v>683.03</c:v>
                </c:pt>
                <c:pt idx="7">
                  <c:v>683.03</c:v>
                </c:pt>
                <c:pt idx="8">
                  <c:v>124.583</c:v>
                </c:pt>
                <c:pt idx="9">
                  <c:v>124.583</c:v>
                </c:pt>
                <c:pt idx="10">
                  <c:v>124.583</c:v>
                </c:pt>
              </c:numCache>
            </c:numRef>
          </c:val>
          <c:extLst>
            <c:ext xmlns:c16="http://schemas.microsoft.com/office/drawing/2014/chart" uri="{C3380CC4-5D6E-409C-BE32-E72D297353CC}">
              <c16:uniqueId val="{0000000D-7F9C-4872-AD77-E5FB8752DD39}"/>
            </c:ext>
          </c:extLst>
        </c:ser>
        <c:dLbls>
          <c:showLegendKey val="0"/>
          <c:showVal val="1"/>
          <c:showCatName val="0"/>
          <c:showSerName val="0"/>
          <c:showPercent val="0"/>
          <c:showBubbleSize val="0"/>
        </c:dLbls>
        <c:gapWidth val="85"/>
        <c:overlap val="100"/>
        <c:axId val="330593408"/>
        <c:axId val="330625024"/>
      </c:barChart>
      <c:catAx>
        <c:axId val="330593408"/>
        <c:scaling>
          <c:orientation val="minMax"/>
        </c:scaling>
        <c:delete val="0"/>
        <c:axPos val="b"/>
        <c:numFmt formatCode="General" sourceLinked="1"/>
        <c:majorTickMark val="out"/>
        <c:minorTickMark val="none"/>
        <c:tickLblPos val="nextTo"/>
        <c:txPr>
          <a:bodyPr rot="0" vert="horz"/>
          <a:lstStyle/>
          <a:p>
            <a:pPr>
              <a:defRPr sz="800">
                <a:latin typeface="Trebuchet MS" panose="020B0603020202020204" pitchFamily="34" charset="0"/>
              </a:defRPr>
            </a:pPr>
            <a:endParaRPr lang="pt-BR"/>
          </a:p>
        </c:txPr>
        <c:crossAx val="330625024"/>
        <c:crosses val="autoZero"/>
        <c:auto val="1"/>
        <c:lblAlgn val="ctr"/>
        <c:lblOffset val="100"/>
        <c:noMultiLvlLbl val="0"/>
      </c:catAx>
      <c:valAx>
        <c:axId val="330625024"/>
        <c:scaling>
          <c:orientation val="minMax"/>
          <c:max val="8000"/>
          <c:min val="0"/>
        </c:scaling>
        <c:delete val="0"/>
        <c:axPos val="l"/>
        <c:numFmt formatCode="General" sourceLinked="1"/>
        <c:majorTickMark val="none"/>
        <c:minorTickMark val="none"/>
        <c:tickLblPos val="none"/>
        <c:spPr>
          <a:noFill/>
          <a:ln>
            <a:noFill/>
          </a:ln>
        </c:spPr>
        <c:crossAx val="330593408"/>
        <c:crosses val="autoZero"/>
        <c:crossBetween val="between"/>
      </c:valAx>
      <c:spPr>
        <a:noFill/>
        <a:ln w="25400">
          <a:noFill/>
        </a:ln>
      </c:spPr>
    </c:plotArea>
    <c:legend>
      <c:legendPos val="b"/>
      <c:legendEntry>
        <c:idx val="4"/>
        <c:delete val="1"/>
      </c:legendEntry>
      <c:layout>
        <c:manualLayout>
          <c:xMode val="edge"/>
          <c:yMode val="edge"/>
          <c:x val="0.34940558424694484"/>
          <c:y val="0.92657464511313636"/>
          <c:w val="0.29817327095673762"/>
          <c:h val="6.1563756955346445E-2"/>
        </c:manualLayout>
      </c:layout>
      <c:overlay val="0"/>
      <c:txPr>
        <a:bodyPr/>
        <a:lstStyle/>
        <a:p>
          <a:pPr>
            <a:defRPr sz="800">
              <a:latin typeface="Trebuchet MS" panose="020B0603020202020204" pitchFamily="34" charset="0"/>
            </a:defRPr>
          </a:pPr>
          <a:endParaRPr lang="pt-BR"/>
        </a:p>
      </c:txPr>
    </c:legend>
    <c:plotVisOnly val="1"/>
    <c:dispBlanksAs val="gap"/>
    <c:showDLblsOverMax val="0"/>
  </c:chart>
  <c:spPr>
    <a:ln>
      <a:noFill/>
    </a:ln>
  </c:spPr>
  <c:txPr>
    <a:bodyPr/>
    <a:lstStyle/>
    <a:p>
      <a:pPr>
        <a:defRPr sz="700">
          <a:latin typeface="Verdana" panose="020B0604030504040204" pitchFamily="34" charset="0"/>
          <a:ea typeface="Verdana" panose="020B0604030504040204" pitchFamily="34" charset="0"/>
          <a:cs typeface="Verdana" panose="020B0604030504040204" pitchFamily="34" charset="0"/>
        </a:defRPr>
      </a:pPr>
      <a:endParaRPr lang="pt-BR"/>
    </a:p>
  </c:txPr>
  <c:printSettings>
    <c:headerFooter/>
    <c:pageMargins b="0.78740157499999996" l="0.511811024" r="0.511811024" t="0.78740157499999996" header="0.3149606200000184" footer="0.3149606200000184"/>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DRE por Unidade TRI'!A1"/><Relationship Id="rId13" Type="http://schemas.openxmlformats.org/officeDocument/2006/relationships/hyperlink" Target="#'Fluxo de Caixa TRI'!A1"/><Relationship Id="rId18" Type="http://schemas.openxmlformats.org/officeDocument/2006/relationships/hyperlink" Target="#FAQ!A1"/><Relationship Id="rId3" Type="http://schemas.openxmlformats.org/officeDocument/2006/relationships/hyperlink" Target="#Usiminas!A1"/><Relationship Id="rId21" Type="http://schemas.openxmlformats.org/officeDocument/2006/relationships/hyperlink" Target="#Indicadores!A1"/><Relationship Id="rId7" Type="http://schemas.openxmlformats.org/officeDocument/2006/relationships/hyperlink" Target="#'Produ&#231;&#227;o e Vendas MUSA'!A1"/><Relationship Id="rId12" Type="http://schemas.openxmlformats.org/officeDocument/2006/relationships/hyperlink" Target="#Balan&#231;o!A1"/><Relationship Id="rId17" Type="http://schemas.openxmlformats.org/officeDocument/2006/relationships/hyperlink" Target="#D&#237;vida!A1"/><Relationship Id="rId25" Type="http://schemas.openxmlformats.org/officeDocument/2006/relationships/hyperlink" Target="#'Exporta&#231;&#245;es Siderurgia'!A1"/><Relationship Id="rId2" Type="http://schemas.openxmlformats.org/officeDocument/2006/relationships/image" Target="../media/image2.jpeg"/><Relationship Id="rId16" Type="http://schemas.openxmlformats.org/officeDocument/2006/relationships/hyperlink" Target="#'Capital de Giro'!A1"/><Relationship Id="rId20" Type="http://schemas.openxmlformats.org/officeDocument/2006/relationships/hyperlink" Target="#'Vendas por Segmento'!A1"/><Relationship Id="rId1" Type="http://schemas.openxmlformats.org/officeDocument/2006/relationships/image" Target="../media/image1.png"/><Relationship Id="rId6" Type="http://schemas.openxmlformats.org/officeDocument/2006/relationships/hyperlink" Target="#'Produ&#231;&#227;o e Capacidades SID'!A1"/><Relationship Id="rId11" Type="http://schemas.openxmlformats.org/officeDocument/2006/relationships/hyperlink" Target="#'DRE Consolidada ANO'!A1"/><Relationship Id="rId24" Type="http://schemas.openxmlformats.org/officeDocument/2006/relationships/hyperlink" Target="#'Vendas por produto MUSA'!A1"/><Relationship Id="rId5" Type="http://schemas.openxmlformats.org/officeDocument/2006/relationships/hyperlink" Target="#'Materias primas e energia'!A1"/><Relationship Id="rId15" Type="http://schemas.openxmlformats.org/officeDocument/2006/relationships/hyperlink" Target="#CAPEX!A1"/><Relationship Id="rId23" Type="http://schemas.openxmlformats.org/officeDocument/2006/relationships/hyperlink" Target="#'CPP Siderurgia'!A1"/><Relationship Id="rId10" Type="http://schemas.openxmlformats.org/officeDocument/2006/relationships/hyperlink" Target="#'DRE Consolidada TRI'!A1"/><Relationship Id="rId19" Type="http://schemas.openxmlformats.org/officeDocument/2006/relationships/hyperlink" Target="#Contato!A1"/><Relationship Id="rId4" Type="http://schemas.openxmlformats.org/officeDocument/2006/relationships/hyperlink" Target="#'A&#231;&#245;es e grupo de controle'!A1"/><Relationship Id="rId9" Type="http://schemas.openxmlformats.org/officeDocument/2006/relationships/hyperlink" Target="#'DRE por Unidade Ano'!A1"/><Relationship Id="rId14" Type="http://schemas.openxmlformats.org/officeDocument/2006/relationships/hyperlink" Target="#'Fluxo de caixa ANO'!A1"/><Relationship Id="rId22" Type="http://schemas.openxmlformats.org/officeDocument/2006/relationships/hyperlink" Target="#'Vendas por Produto'!A1"/></Relationships>
</file>

<file path=xl/drawings/_rels/drawing10.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11.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Vendas MUSA'!A1"/></Relationships>
</file>

<file path=xl/drawings/_rels/drawing12.xml.rels><?xml version="1.0" encoding="UTF-8" standalone="yes"?>
<Relationships xmlns="http://schemas.openxmlformats.org/package/2006/relationships"><Relationship Id="rId3" Type="http://schemas.openxmlformats.org/officeDocument/2006/relationships/hyperlink" Target="#'Vendas por produto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por Unidade Ano'!A1"/></Relationships>
</file>

<file path=xl/drawings/_rels/drawing13.xml.rels><?xml version="1.0" encoding="UTF-8" standalone="yes"?>
<Relationships xmlns="http://schemas.openxmlformats.org/package/2006/relationships"><Relationship Id="rId3" Type="http://schemas.openxmlformats.org/officeDocument/2006/relationships/hyperlink" Target="#'DRE por Unidade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TRI'!A1"/></Relationships>
</file>

<file path=xl/drawings/_rels/drawing14.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RE Consolidada ANO'!A1"/></Relationships>
</file>

<file path=xl/drawings/_rels/drawing15.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Balan&#231;o!A1"/></Relationships>
</file>

<file path=xl/drawings/_rels/drawing16.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TRI'!A1"/></Relationships>
</file>

<file path=xl/drawings/_rels/drawing17.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Fluxo de caixa ANO'!A1"/></Relationships>
</file>

<file path=xl/drawings/_rels/drawing18.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EX!A1"/></Relationships>
</file>

<file path=xl/drawings/_rels/drawing19.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apital de Giro'!A1"/></Relationships>
</file>

<file path=xl/drawings/_rels/drawing2.xml.rels><?xml version="1.0" encoding="UTF-8" standalone="yes"?>
<Relationships xmlns="http://schemas.openxmlformats.org/package/2006/relationships"><Relationship Id="rId8" Type="http://schemas.openxmlformats.org/officeDocument/2006/relationships/hyperlink" Target="https://www.usiminas.com/nossas-empresas/unigal-usiminas/" TargetMode="External"/><Relationship Id="rId3" Type="http://schemas.openxmlformats.org/officeDocument/2006/relationships/hyperlink" Target="#'A&#231;&#245;es e grupo de controle'!A1"/><Relationship Id="rId7" Type="http://schemas.openxmlformats.org/officeDocument/2006/relationships/image" Target="../media/image5.png"/><Relationship Id="rId12" Type="http://schemas.openxmlformats.org/officeDocument/2006/relationships/image" Target="../media/image8.png"/><Relationship Id="rId2" Type="http://schemas.openxmlformats.org/officeDocument/2006/relationships/hyperlink" Target="#CAPA!A1"/><Relationship Id="rId1" Type="http://schemas.openxmlformats.org/officeDocument/2006/relationships/image" Target="../media/image3.png"/><Relationship Id="rId6" Type="http://schemas.openxmlformats.org/officeDocument/2006/relationships/hyperlink" Target="https://www.usiminas.com/empresas/mineracao-usiminas/#:~:text=%20Minera%C3%A7%C3%A3o%20Usiminas%20%201%20Quem%20Somos.%20A,H%C3%A1%20cerca%20de%20uma%20d%C3%A9cada%2C%20a...%20More%20" TargetMode="External"/><Relationship Id="rId11" Type="http://schemas.openxmlformats.org/officeDocument/2006/relationships/image" Target="../media/image7.png"/><Relationship Id="rId5" Type="http://schemas.openxmlformats.org/officeDocument/2006/relationships/image" Target="../media/image4.png"/><Relationship Id="rId10" Type="http://schemas.openxmlformats.org/officeDocument/2006/relationships/hyperlink" Target="https://www.usiminas.com/nossas-empresas/solucoes-usiminas/" TargetMode="External"/><Relationship Id="rId4" Type="http://schemas.openxmlformats.org/officeDocument/2006/relationships/hyperlink" Target="http://www.usiminas.com/" TargetMode="External"/><Relationship Id="rId9"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D&#237;vida!A1"/></Relationships>
</file>

<file path=xl/drawings/_rels/drawing21.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CAPA!A1"/><Relationship Id="rId1" Type="http://schemas.openxmlformats.org/officeDocument/2006/relationships/image" Target="../media/image1.png"/><Relationship Id="rId5" Type="http://schemas.openxmlformats.org/officeDocument/2006/relationships/chart" Target="../charts/chart1.xml"/><Relationship Id="rId4" Type="http://schemas.openxmlformats.org/officeDocument/2006/relationships/hyperlink" Target="#Indicadores!A1"/></Relationships>
</file>

<file path=xl/drawings/_rels/drawing23.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FAQ!A1"/><Relationship Id="rId1" Type="http://schemas.openxmlformats.org/officeDocument/2006/relationships/hyperlink" Target="#CAPA!A1"/></Relationships>
</file>

<file path=xl/drawings/_rels/drawing24.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ontato!A1"/></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hyperlink" Target="#CAPA!A1"/></Relationships>
</file>

<file path=xl/drawings/_rels/drawing26.xml.rels><?xml version="1.0" encoding="UTF-8" standalone="yes"?>
<Relationships xmlns="http://schemas.openxmlformats.org/package/2006/relationships"><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15.png"/><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hyperlink" Target="#FAQ!A1"/><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9.png"/><Relationship Id="rId1" Type="http://schemas.openxmlformats.org/officeDocument/2006/relationships/image" Target="../media/image1.png"/><Relationship Id="rId5" Type="http://schemas.openxmlformats.org/officeDocument/2006/relationships/hyperlink" Target="#Usiminas!A1"/><Relationship Id="rId4" Type="http://schemas.openxmlformats.org/officeDocument/2006/relationships/hyperlink" Target="#'Materias primas e energia'!A1"/></Relationships>
</file>

<file path=xl/drawings/_rels/drawing4.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Produ&#231;&#227;o e Capacidades SID'!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Vendas por Segmento'!A1"/><Relationship Id="rId5" Type="http://schemas.openxmlformats.org/officeDocument/2006/relationships/hyperlink" Target="#'Materias primas e energia'!A1"/><Relationship Id="rId4"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Vendas por Produto'!A1"/></Relationships>
</file>

<file path=xl/drawings/_rels/drawing7.xml.rels><?xml version="1.0" encoding="UTF-8" standalone="yes"?>
<Relationships xmlns="http://schemas.openxmlformats.org/package/2006/relationships"><Relationship Id="rId3" Type="http://schemas.openxmlformats.org/officeDocument/2006/relationships/hyperlink" Target="#'Vendas por Segmen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_rels/drawing8.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Exporta&#231;&#245;es Siderurgia'!A1"/></Relationships>
</file>

<file path=xl/drawings/_rels/drawing9.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CAPA!A1"/><Relationship Id="rId1" Type="http://schemas.openxmlformats.org/officeDocument/2006/relationships/image" Target="../media/image1.png"/><Relationship Id="rId4" Type="http://schemas.openxmlformats.org/officeDocument/2006/relationships/hyperlink" Target="#'CPP Siderurgia'!A1"/></Relationships>
</file>

<file path=xl/drawings/drawing1.xml><?xml version="1.0" encoding="utf-8"?>
<xdr:wsDr xmlns:xdr="http://schemas.openxmlformats.org/drawingml/2006/spreadsheetDrawing" xmlns:a="http://schemas.openxmlformats.org/drawingml/2006/main">
  <xdr:twoCellAnchor editAs="oneCell">
    <xdr:from>
      <xdr:col>12</xdr:col>
      <xdr:colOff>456407</xdr:colOff>
      <xdr:row>9</xdr:row>
      <xdr:rowOff>159518</xdr:rowOff>
    </xdr:from>
    <xdr:to>
      <xdr:col>16</xdr:col>
      <xdr:colOff>51595</xdr:colOff>
      <xdr:row>13</xdr:row>
      <xdr:rowOff>45554</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219157" y="1874018"/>
          <a:ext cx="1865313" cy="648036"/>
        </a:xfrm>
        <a:prstGeom prst="rect">
          <a:avLst/>
        </a:prstGeom>
      </xdr:spPr>
    </xdr:pic>
    <xdr:clientData/>
  </xdr:twoCellAnchor>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2"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47625</xdr:colOff>
      <xdr:row>0</xdr:row>
      <xdr:rowOff>47623</xdr:rowOff>
    </xdr:from>
    <xdr:to>
      <xdr:col>16</xdr:col>
      <xdr:colOff>95250</xdr:colOff>
      <xdr:row>41</xdr:row>
      <xdr:rowOff>15875</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3"/>
          <a:ext cx="9080500" cy="784225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CPP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4"/>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5"/>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77819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27</xdr:col>
      <xdr:colOff>517070</xdr:colOff>
      <xdr:row>18</xdr:row>
      <xdr:rowOff>108857</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95299" y="38100"/>
          <a:ext cx="19520807" cy="495572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5894458" y="3790347"/>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10644863" y="3557513"/>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27</xdr:col>
      <xdr:colOff>510264</xdr:colOff>
      <xdr:row>0</xdr:row>
      <xdr:rowOff>223157</xdr:rowOff>
    </xdr:to>
    <xdr:sp macro="" textlink="">
      <xdr:nvSpPr>
        <xdr:cNvPr id="9" name="Retângulo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14399077" y="70758"/>
          <a:ext cx="56102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10" name="Seta: para a Esquerda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3497033" y="3565070"/>
          <a:ext cx="2354400"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3FE38CC0-FC26-4236-B917-70DD7284B354}"/>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0</xdr:col>
      <xdr:colOff>495300</xdr:colOff>
      <xdr:row>0</xdr:row>
      <xdr:rowOff>47625</xdr:rowOff>
    </xdr:from>
    <xdr:to>
      <xdr:col>18</xdr:col>
      <xdr:colOff>685800</xdr:colOff>
      <xdr:row>1</xdr:row>
      <xdr:rowOff>28575</xdr:rowOff>
    </xdr:to>
    <xdr:sp macro="" textlink="">
      <xdr:nvSpPr>
        <xdr:cNvPr id="3" name="CaixaDeTexto 2">
          <a:extLst>
            <a:ext uri="{FF2B5EF4-FFF2-40B4-BE49-F238E27FC236}">
              <a16:creationId xmlns:a16="http://schemas.microsoft.com/office/drawing/2014/main" id="{B47CEABA-5D28-4F0F-9A0E-33A7B7C948E9}"/>
            </a:ext>
          </a:extLst>
        </xdr:cNvPr>
        <xdr:cNvSpPr txBox="1"/>
      </xdr:nvSpPr>
      <xdr:spPr>
        <a:xfrm>
          <a:off x="495300" y="47625"/>
          <a:ext cx="2173605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18</xdr:col>
      <xdr:colOff>704850</xdr:colOff>
      <xdr:row>26</xdr:row>
      <xdr:rowOff>54428</xdr:rowOff>
    </xdr:to>
    <xdr:sp macro="" textlink="">
      <xdr:nvSpPr>
        <xdr:cNvPr id="4" name="Retângulo 3">
          <a:extLst>
            <a:ext uri="{FF2B5EF4-FFF2-40B4-BE49-F238E27FC236}">
              <a16:creationId xmlns:a16="http://schemas.microsoft.com/office/drawing/2014/main" id="{390D1C3E-F93C-4901-A6F5-F635167EAE80}"/>
            </a:ext>
          </a:extLst>
        </xdr:cNvPr>
        <xdr:cNvSpPr/>
      </xdr:nvSpPr>
      <xdr:spPr>
        <a:xfrm>
          <a:off x="495299" y="38100"/>
          <a:ext cx="21755101" cy="706482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A9F2DCC6-CC3A-4F22-B788-0D2666F59CD7}"/>
            </a:ext>
          </a:extLst>
        </xdr:cNvPr>
        <xdr:cNvSpPr/>
      </xdr:nvSpPr>
      <xdr:spPr>
        <a:xfrm>
          <a:off x="6116254" y="4278843"/>
          <a:ext cx="4669417"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16</xdr:col>
      <xdr:colOff>273221</xdr:colOff>
      <xdr:row>25</xdr:row>
      <xdr:rowOff>143935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2570B1FD-F5E8-4C36-A475-98B8C64E0C6E}"/>
            </a:ext>
          </a:extLst>
        </xdr:cNvPr>
        <xdr:cNvSpPr/>
      </xdr:nvSpPr>
      <xdr:spPr>
        <a:xfrm>
          <a:off x="10825838" y="4046009"/>
          <a:ext cx="2344233"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15</xdr:col>
      <xdr:colOff>889905</xdr:colOff>
      <xdr:row>0</xdr:row>
      <xdr:rowOff>48987</xdr:rowOff>
    </xdr:from>
    <xdr:to>
      <xdr:col>18</xdr:col>
      <xdr:colOff>723900</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2D1BF7E6-87EC-4F1C-A8E3-037E71F72825}"/>
            </a:ext>
          </a:extLst>
        </xdr:cNvPr>
        <xdr:cNvSpPr/>
      </xdr:nvSpPr>
      <xdr:spPr>
        <a:xfrm>
          <a:off x="17863455" y="48987"/>
          <a:ext cx="4405995" cy="25581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C8696BA9-5B12-484F-A68A-9FFDAFCFA0E0}"/>
            </a:ext>
          </a:extLst>
        </xdr:cNvPr>
        <xdr:cNvSpPr/>
      </xdr:nvSpPr>
      <xdr:spPr>
        <a:xfrm>
          <a:off x="3494312" y="4053566"/>
          <a:ext cx="2578917"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40821</xdr:colOff>
      <xdr:row>0</xdr:row>
      <xdr:rowOff>40821</xdr:rowOff>
    </xdr:from>
    <xdr:to>
      <xdr:col>0</xdr:col>
      <xdr:colOff>1922009</xdr:colOff>
      <xdr:row>0</xdr:row>
      <xdr:rowOff>684888</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0</xdr:col>
      <xdr:colOff>0</xdr:colOff>
      <xdr:row>0</xdr:row>
      <xdr:rowOff>163286</xdr:rowOff>
    </xdr:from>
    <xdr:to>
      <xdr:col>17</xdr:col>
      <xdr:colOff>13607</xdr:colOff>
      <xdr:row>0</xdr:row>
      <xdr:rowOff>591911</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598715" y="163286"/>
          <a:ext cx="1306421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52161</xdr:rowOff>
    </xdr:from>
    <xdr:to>
      <xdr:col>27</xdr:col>
      <xdr:colOff>190500</xdr:colOff>
      <xdr:row>20</xdr:row>
      <xdr:rowOff>127000</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0" y="52161"/>
          <a:ext cx="36957000" cy="585333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27</xdr:col>
      <xdr:colOff>222250</xdr:colOff>
      <xdr:row>42</xdr:row>
      <xdr:rowOff>63500</xdr:rowOff>
    </xdr:to>
    <xdr:sp macro="" textlink="">
      <xdr:nvSpPr>
        <xdr:cNvPr id="5" name="Retângulo 4">
          <a:extLst>
            <a:ext uri="{FF2B5EF4-FFF2-40B4-BE49-F238E27FC236}">
              <a16:creationId xmlns:a16="http://schemas.microsoft.com/office/drawing/2014/main" id="{00000000-0008-0000-0900-000005000000}"/>
            </a:ext>
          </a:extLst>
        </xdr:cNvPr>
        <xdr:cNvSpPr/>
      </xdr:nvSpPr>
      <xdr:spPr>
        <a:xfrm>
          <a:off x="0" y="5873751"/>
          <a:ext cx="25193625" cy="528637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27</xdr:col>
      <xdr:colOff>206375</xdr:colOff>
      <xdr:row>62</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0" y="11219090"/>
          <a:ext cx="25177750" cy="516391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63499</xdr:rowOff>
    </xdr:from>
    <xdr:to>
      <xdr:col>27</xdr:col>
      <xdr:colOff>111125</xdr:colOff>
      <xdr:row>83</xdr:row>
      <xdr:rowOff>79375</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0" y="16509999"/>
          <a:ext cx="25082500" cy="5143501"/>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27</xdr:col>
      <xdr:colOff>190500</xdr:colOff>
      <xdr:row>103</xdr:row>
      <xdr:rowOff>95250</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0" y="21737411"/>
          <a:ext cx="25161875" cy="5059589"/>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27</xdr:col>
      <xdr:colOff>206375</xdr:colOff>
      <xdr:row>131</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0" y="26851429"/>
          <a:ext cx="25177750" cy="6533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900-00000A000000}"/>
            </a:ext>
          </a:extLst>
        </xdr:cNvPr>
        <xdr:cNvSpPr/>
      </xdr:nvSpPr>
      <xdr:spPr>
        <a:xfrm>
          <a:off x="8807450" y="323373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900-00000B000000}"/>
            </a:ext>
          </a:extLst>
        </xdr:cNvPr>
        <xdr:cNvSpPr/>
      </xdr:nvSpPr>
      <xdr:spPr>
        <a:xfrm>
          <a:off x="6159500" y="320516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13874750" y="320516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27</xdr:col>
      <xdr:colOff>190500</xdr:colOff>
      <xdr:row>0</xdr:row>
      <xdr:rowOff>349249</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900-00000D000000}"/>
            </a:ext>
          </a:extLst>
        </xdr:cNvPr>
        <xdr:cNvSpPr/>
      </xdr:nvSpPr>
      <xdr:spPr>
        <a:xfrm>
          <a:off x="19018249" y="47624"/>
          <a:ext cx="8556626"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40821</xdr:colOff>
      <xdr:row>0</xdr:row>
      <xdr:rowOff>0</xdr:rowOff>
    </xdr:from>
    <xdr:to>
      <xdr:col>0</xdr:col>
      <xdr:colOff>1922009</xdr:colOff>
      <xdr:row>0</xdr:row>
      <xdr:rowOff>640892</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650421" y="0"/>
          <a:ext cx="1881188" cy="644067"/>
        </a:xfrm>
        <a:prstGeom prst="rect">
          <a:avLst/>
        </a:prstGeom>
      </xdr:spPr>
    </xdr:pic>
    <xdr:clientData/>
  </xdr:twoCellAnchor>
  <xdr:twoCellAnchor>
    <xdr:from>
      <xdr:col>0</xdr:col>
      <xdr:colOff>0</xdr:colOff>
      <xdr:row>0</xdr:row>
      <xdr:rowOff>122465</xdr:rowOff>
    </xdr:from>
    <xdr:to>
      <xdr:col>7</xdr:col>
      <xdr:colOff>1211035</xdr:colOff>
      <xdr:row>0</xdr:row>
      <xdr:rowOff>551090</xdr:rowOff>
    </xdr:to>
    <xdr:sp macro="" textlink="">
      <xdr:nvSpPr>
        <xdr:cNvPr id="3" name="CaixaDeTexto 2">
          <a:extLst>
            <a:ext uri="{FF2B5EF4-FFF2-40B4-BE49-F238E27FC236}">
              <a16:creationId xmlns:a16="http://schemas.microsoft.com/office/drawing/2014/main" id="{00000000-0008-0000-0A00-000003000000}"/>
            </a:ext>
          </a:extLst>
        </xdr:cNvPr>
        <xdr:cNvSpPr txBox="1"/>
      </xdr:nvSpPr>
      <xdr:spPr>
        <a:xfrm>
          <a:off x="598714" y="122465"/>
          <a:ext cx="1252809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12</xdr:col>
      <xdr:colOff>108857</xdr:colOff>
      <xdr:row>15</xdr:row>
      <xdr:rowOff>142875</xdr:rowOff>
    </xdr:to>
    <xdr:sp macro="" textlink="">
      <xdr:nvSpPr>
        <xdr:cNvPr id="4" name="Retângulo 3">
          <a:extLst>
            <a:ext uri="{FF2B5EF4-FFF2-40B4-BE49-F238E27FC236}">
              <a16:creationId xmlns:a16="http://schemas.microsoft.com/office/drawing/2014/main" id="{00000000-0008-0000-0A00-000004000000}"/>
            </a:ext>
          </a:extLst>
        </xdr:cNvPr>
        <xdr:cNvSpPr/>
      </xdr:nvSpPr>
      <xdr:spPr>
        <a:xfrm>
          <a:off x="530679" y="81642"/>
          <a:ext cx="12732203" cy="457608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16</xdr:row>
      <xdr:rowOff>111125</xdr:rowOff>
    </xdr:from>
    <xdr:to>
      <xdr:col>12</xdr:col>
      <xdr:colOff>117928</xdr:colOff>
      <xdr:row>32</xdr:row>
      <xdr:rowOff>0</xdr:rowOff>
    </xdr:to>
    <xdr:sp macro="" textlink="">
      <xdr:nvSpPr>
        <xdr:cNvPr id="5" name="Retângulo 4">
          <a:extLst>
            <a:ext uri="{FF2B5EF4-FFF2-40B4-BE49-F238E27FC236}">
              <a16:creationId xmlns:a16="http://schemas.microsoft.com/office/drawing/2014/main" id="{00000000-0008-0000-0A00-000005000000}"/>
            </a:ext>
          </a:extLst>
        </xdr:cNvPr>
        <xdr:cNvSpPr/>
      </xdr:nvSpPr>
      <xdr:spPr>
        <a:xfrm>
          <a:off x="539750" y="4826000"/>
          <a:ext cx="12732203" cy="407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32</xdr:row>
      <xdr:rowOff>127000</xdr:rowOff>
    </xdr:from>
    <xdr:to>
      <xdr:col>12</xdr:col>
      <xdr:colOff>102053</xdr:colOff>
      <xdr:row>48</xdr:row>
      <xdr:rowOff>15875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523875" y="9001125"/>
          <a:ext cx="12817928" cy="40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48</xdr:row>
      <xdr:rowOff>111125</xdr:rowOff>
    </xdr:from>
    <xdr:to>
      <xdr:col>12</xdr:col>
      <xdr:colOff>102053</xdr:colOff>
      <xdr:row>63</xdr:row>
      <xdr:rowOff>95250</xdr:rowOff>
    </xdr:to>
    <xdr:sp macro="" textlink="">
      <xdr:nvSpPr>
        <xdr:cNvPr id="7" name="Retângulo 6">
          <a:extLst>
            <a:ext uri="{FF2B5EF4-FFF2-40B4-BE49-F238E27FC236}">
              <a16:creationId xmlns:a16="http://schemas.microsoft.com/office/drawing/2014/main" id="{00000000-0008-0000-0A00-000007000000}"/>
            </a:ext>
          </a:extLst>
        </xdr:cNvPr>
        <xdr:cNvSpPr/>
      </xdr:nvSpPr>
      <xdr:spPr>
        <a:xfrm>
          <a:off x="523875" y="13208000"/>
          <a:ext cx="12732203" cy="39751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158750</xdr:rowOff>
    </xdr:from>
    <xdr:to>
      <xdr:col>12</xdr:col>
      <xdr:colOff>117928</xdr:colOff>
      <xdr:row>78</xdr:row>
      <xdr:rowOff>79375</xdr:rowOff>
    </xdr:to>
    <xdr:sp macro="" textlink="">
      <xdr:nvSpPr>
        <xdr:cNvPr id="8" name="Retângulo 7">
          <a:extLst>
            <a:ext uri="{FF2B5EF4-FFF2-40B4-BE49-F238E27FC236}">
              <a16:creationId xmlns:a16="http://schemas.microsoft.com/office/drawing/2014/main" id="{00000000-0008-0000-0A00-000008000000}"/>
            </a:ext>
          </a:extLst>
        </xdr:cNvPr>
        <xdr:cNvSpPr/>
      </xdr:nvSpPr>
      <xdr:spPr>
        <a:xfrm>
          <a:off x="539750" y="17246600"/>
          <a:ext cx="12732203" cy="3911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78</xdr:row>
      <xdr:rowOff>158750</xdr:rowOff>
    </xdr:from>
    <xdr:to>
      <xdr:col>12</xdr:col>
      <xdr:colOff>117928</xdr:colOff>
      <xdr:row>100</xdr:row>
      <xdr:rowOff>95250</xdr:rowOff>
    </xdr:to>
    <xdr:sp macro="" textlink="">
      <xdr:nvSpPr>
        <xdr:cNvPr id="9" name="Retângulo 8">
          <a:extLst>
            <a:ext uri="{FF2B5EF4-FFF2-40B4-BE49-F238E27FC236}">
              <a16:creationId xmlns:a16="http://schemas.microsoft.com/office/drawing/2014/main" id="{00000000-0008-0000-0A00-000009000000}"/>
            </a:ext>
          </a:extLst>
        </xdr:cNvPr>
        <xdr:cNvSpPr/>
      </xdr:nvSpPr>
      <xdr:spPr>
        <a:xfrm>
          <a:off x="539750" y="21237575"/>
          <a:ext cx="12732203" cy="52609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95</xdr:row>
      <xdr:rowOff>79375</xdr:rowOff>
    </xdr:from>
    <xdr:to>
      <xdr:col>4</xdr:col>
      <xdr:colOff>1331550</xdr:colOff>
      <xdr:row>98</xdr:row>
      <xdr:rowOff>155875</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A00-00000A000000}"/>
            </a:ext>
          </a:extLst>
        </xdr:cNvPr>
        <xdr:cNvSpPr/>
      </xdr:nvSpPr>
      <xdr:spPr>
        <a:xfrm>
          <a:off x="4416425" y="25530175"/>
          <a:ext cx="49447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1158875</xdr:colOff>
      <xdr:row>93</xdr:row>
      <xdr:rowOff>174625</xdr:rowOff>
    </xdr:from>
    <xdr:to>
      <xdr:col>0</xdr:col>
      <xdr:colOff>3675275</xdr:colOff>
      <xdr:row>100</xdr:row>
      <xdr:rowOff>83125</xdr:rowOff>
    </xdr:to>
    <xdr:sp macro="" textlink="">
      <xdr:nvSpPr>
        <xdr:cNvPr id="11" name="Seta: para a Esquerda 10">
          <a:hlinkClick xmlns:r="http://schemas.openxmlformats.org/officeDocument/2006/relationships" r:id="rId3"/>
          <a:extLst>
            <a:ext uri="{FF2B5EF4-FFF2-40B4-BE49-F238E27FC236}">
              <a16:creationId xmlns:a16="http://schemas.microsoft.com/office/drawing/2014/main" id="{00000000-0008-0000-0A00-00000B000000}"/>
            </a:ext>
          </a:extLst>
        </xdr:cNvPr>
        <xdr:cNvSpPr/>
      </xdr:nvSpPr>
      <xdr:spPr>
        <a:xfrm>
          <a:off x="1768475" y="252444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111125</xdr:colOff>
      <xdr:row>93</xdr:row>
      <xdr:rowOff>174625</xdr:rowOff>
    </xdr:from>
    <xdr:to>
      <xdr:col>7</xdr:col>
      <xdr:colOff>130075</xdr:colOff>
      <xdr:row>100</xdr:row>
      <xdr:rowOff>83125</xdr:rowOff>
    </xdr:to>
    <xdr:sp macro="" textlink="">
      <xdr:nvSpPr>
        <xdr:cNvPr id="12" name="Seta: para a Direita 11">
          <a:hlinkClick xmlns:r="http://schemas.openxmlformats.org/officeDocument/2006/relationships" r:id="rId4"/>
          <a:extLst>
            <a:ext uri="{FF2B5EF4-FFF2-40B4-BE49-F238E27FC236}">
              <a16:creationId xmlns:a16="http://schemas.microsoft.com/office/drawing/2014/main" id="{00000000-0008-0000-0A00-00000C000000}"/>
            </a:ext>
          </a:extLst>
        </xdr:cNvPr>
        <xdr:cNvSpPr/>
      </xdr:nvSpPr>
      <xdr:spPr>
        <a:xfrm>
          <a:off x="9512300" y="25244425"/>
          <a:ext cx="25335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12</xdr:col>
      <xdr:colOff>109175</xdr:colOff>
      <xdr:row>0</xdr:row>
      <xdr:rowOff>381000</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A00-00000D000000}"/>
            </a:ext>
          </a:extLst>
        </xdr:cNvPr>
        <xdr:cNvSpPr/>
      </xdr:nvSpPr>
      <xdr:spPr>
        <a:xfrm>
          <a:off x="11826875" y="95250"/>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352425" y="122465"/>
          <a:ext cx="124573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6853" y="0"/>
          <a:ext cx="1881188" cy="644067"/>
        </a:xfrm>
        <a:prstGeom prst="rect">
          <a:avLst/>
        </a:prstGeom>
      </xdr:spPr>
    </xdr:pic>
    <xdr:clientData/>
  </xdr:twoCellAnchor>
  <xdr:twoCellAnchor>
    <xdr:from>
      <xdr:col>0</xdr:col>
      <xdr:colOff>358775</xdr:colOff>
      <xdr:row>0</xdr:row>
      <xdr:rowOff>34925</xdr:rowOff>
    </xdr:from>
    <xdr:to>
      <xdr:col>29</xdr:col>
      <xdr:colOff>93436</xdr:colOff>
      <xdr:row>57</xdr:row>
      <xdr:rowOff>184602</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358775" y="34925"/>
          <a:ext cx="37186961" cy="1529442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52</xdr:row>
      <xdr:rowOff>142875</xdr:rowOff>
    </xdr:from>
    <xdr:to>
      <xdr:col>7</xdr:col>
      <xdr:colOff>1014050</xdr:colOff>
      <xdr:row>56</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4111625" y="119157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51</xdr:row>
      <xdr:rowOff>47625</xdr:rowOff>
    </xdr:from>
    <xdr:to>
      <xdr:col>3</xdr:col>
      <xdr:colOff>3627650</xdr:colOff>
      <xdr:row>57</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463675" y="11630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51</xdr:row>
      <xdr:rowOff>47625</xdr:rowOff>
    </xdr:from>
    <xdr:to>
      <xdr:col>10</xdr:col>
      <xdr:colOff>114200</xdr:colOff>
      <xdr:row>57</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9178925" y="116300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29</xdr:col>
      <xdr:colOff>15875</xdr:colOff>
      <xdr:row>0</xdr:row>
      <xdr:rowOff>333376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8669000" y="31750"/>
          <a:ext cx="13081000" cy="3016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54428</xdr:colOff>
      <xdr:row>0</xdr:row>
      <xdr:rowOff>0</xdr:rowOff>
    </xdr:from>
    <xdr:to>
      <xdr:col>3</xdr:col>
      <xdr:colOff>1935616</xdr:colOff>
      <xdr:row>0</xdr:row>
      <xdr:rowOff>644067</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9</xdr:col>
      <xdr:colOff>1401535</xdr:colOff>
      <xdr:row>0</xdr:row>
      <xdr:rowOff>551090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612320" y="122465"/>
          <a:ext cx="1262879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544286</xdr:colOff>
      <xdr:row>0</xdr:row>
      <xdr:rowOff>68036</xdr:rowOff>
    </xdr:from>
    <xdr:to>
      <xdr:col>14</xdr:col>
      <xdr:colOff>122465</xdr:colOff>
      <xdr:row>54</xdr:row>
      <xdr:rowOff>108857</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544286" y="68036"/>
          <a:ext cx="12846504" cy="128709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49</xdr:row>
      <xdr:rowOff>111125</xdr:rowOff>
    </xdr:from>
    <xdr:to>
      <xdr:col>7</xdr:col>
      <xdr:colOff>553675</xdr:colOff>
      <xdr:row>52</xdr:row>
      <xdr:rowOff>187625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4606925" y="11988800"/>
          <a:ext cx="492882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48</xdr:row>
      <xdr:rowOff>15875</xdr:rowOff>
    </xdr:from>
    <xdr:to>
      <xdr:col>3</xdr:col>
      <xdr:colOff>3865775</xdr:colOff>
      <xdr:row>54</xdr:row>
      <xdr:rowOff>114875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1958975" y="1170305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48</xdr:row>
      <xdr:rowOff>15875</xdr:rowOff>
    </xdr:from>
    <xdr:to>
      <xdr:col>9</xdr:col>
      <xdr:colOff>368200</xdr:colOff>
      <xdr:row>54</xdr:row>
      <xdr:rowOff>114875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C00-000007000000}"/>
            </a:ext>
          </a:extLst>
        </xdr:cNvPr>
        <xdr:cNvSpPr/>
      </xdr:nvSpPr>
      <xdr:spPr>
        <a:xfrm>
          <a:off x="9680575" y="117030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14</xdr:col>
      <xdr:colOff>140925</xdr:colOff>
      <xdr:row>0</xdr:row>
      <xdr:rowOff>365125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11874500" y="79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21</xdr:col>
      <xdr:colOff>0</xdr:colOff>
      <xdr:row>0</xdr:row>
      <xdr:rowOff>614590</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27</xdr:col>
      <xdr:colOff>15875</xdr:colOff>
      <xdr:row>65</xdr:row>
      <xdr:rowOff>174625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492125" y="47625"/>
          <a:ext cx="37009917" cy="1353608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60</xdr:row>
      <xdr:rowOff>158750</xdr:rowOff>
    </xdr:from>
    <xdr:to>
      <xdr:col>5</xdr:col>
      <xdr:colOff>1014050</xdr:colOff>
      <xdr:row>64</xdr:row>
      <xdr:rowOff>44750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4765675" y="11855450"/>
          <a:ext cx="49351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59</xdr:row>
      <xdr:rowOff>63500</xdr:rowOff>
    </xdr:from>
    <xdr:to>
      <xdr:col>1</xdr:col>
      <xdr:colOff>4024525</xdr:colOff>
      <xdr:row>65</xdr:row>
      <xdr:rowOff>162500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2117725" y="11569700"/>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59</xdr:row>
      <xdr:rowOff>63500</xdr:rowOff>
    </xdr:from>
    <xdr:to>
      <xdr:col>8</xdr:col>
      <xdr:colOff>18950</xdr:colOff>
      <xdr:row>65</xdr:row>
      <xdr:rowOff>162500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9845675" y="11569700"/>
          <a:ext cx="254625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D00-000008000000}"/>
            </a:ext>
          </a:extLst>
        </xdr:cNvPr>
        <xdr:cNvSpPr/>
      </xdr:nvSpPr>
      <xdr:spPr>
        <a:xfrm>
          <a:off x="17160875" y="47625"/>
          <a:ext cx="122872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27</xdr:col>
      <xdr:colOff>31750</xdr:colOff>
      <xdr:row>0</xdr:row>
      <xdr:rowOff>566965</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9526</xdr:colOff>
      <xdr:row>0</xdr:row>
      <xdr:rowOff>63500</xdr:rowOff>
    </xdr:from>
    <xdr:to>
      <xdr:col>27</xdr:col>
      <xdr:colOff>142876</xdr:colOff>
      <xdr:row>90</xdr:row>
      <xdr:rowOff>142875</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333376" y="63500"/>
          <a:ext cx="15868650" cy="15367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418642</xdr:colOff>
      <xdr:row>85</xdr:row>
      <xdr:rowOff>142875</xdr:rowOff>
    </xdr:from>
    <xdr:to>
      <xdr:col>6</xdr:col>
      <xdr:colOff>426672</xdr:colOff>
      <xdr:row>89</xdr:row>
      <xdr:rowOff>28875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8283571" y="14906625"/>
          <a:ext cx="4852172"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5309050</xdr:colOff>
      <xdr:row>84</xdr:row>
      <xdr:rowOff>47625</xdr:rowOff>
    </xdr:from>
    <xdr:to>
      <xdr:col>2</xdr:col>
      <xdr:colOff>287092</xdr:colOff>
      <xdr:row>90</xdr:row>
      <xdr:rowOff>146625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5635621" y="1462087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6</xdr:col>
      <xdr:colOff>571497</xdr:colOff>
      <xdr:row>84</xdr:row>
      <xdr:rowOff>47625</xdr:rowOff>
    </xdr:from>
    <xdr:to>
      <xdr:col>8</xdr:col>
      <xdr:colOff>780946</xdr:colOff>
      <xdr:row>90</xdr:row>
      <xdr:rowOff>146625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13280568" y="14620875"/>
          <a:ext cx="274037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136525</xdr:colOff>
      <xdr:row>0</xdr:row>
      <xdr:rowOff>63500</xdr:rowOff>
    </xdr:from>
    <xdr:to>
      <xdr:col>27</xdr:col>
      <xdr:colOff>135175</xdr:colOff>
      <xdr:row>0</xdr:row>
      <xdr:rowOff>349250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29606875" y="63500"/>
          <a:ext cx="1080000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140608</xdr:colOff>
      <xdr:row>1</xdr:row>
      <xdr:rowOff>40822</xdr:rowOff>
    </xdr:from>
    <xdr:to>
      <xdr:col>1</xdr:col>
      <xdr:colOff>1994388</xdr:colOff>
      <xdr:row>1</xdr:row>
      <xdr:rowOff>684889</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1</xdr:row>
      <xdr:rowOff>131537</xdr:rowOff>
    </xdr:from>
    <xdr:to>
      <xdr:col>8</xdr:col>
      <xdr:colOff>0</xdr:colOff>
      <xdr:row>1</xdr:row>
      <xdr:rowOff>560162</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228601" y="131537"/>
          <a:ext cx="119647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12</xdr:col>
      <xdr:colOff>142874</xdr:colOff>
      <xdr:row>96</xdr:row>
      <xdr:rowOff>158750</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142874" y="190500"/>
          <a:ext cx="13319125" cy="1898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91</xdr:row>
      <xdr:rowOff>95250</xdr:rowOff>
    </xdr:from>
    <xdr:to>
      <xdr:col>5</xdr:col>
      <xdr:colOff>109175</xdr:colOff>
      <xdr:row>94</xdr:row>
      <xdr:rowOff>171750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3654425" y="17630775"/>
          <a:ext cx="491295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90</xdr:row>
      <xdr:rowOff>0</xdr:rowOff>
    </xdr:from>
    <xdr:to>
      <xdr:col>1</xdr:col>
      <xdr:colOff>3294275</xdr:colOff>
      <xdr:row>96</xdr:row>
      <xdr:rowOff>99000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1006475" y="173450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90</xdr:row>
      <xdr:rowOff>0</xdr:rowOff>
    </xdr:from>
    <xdr:to>
      <xdr:col>7</xdr:col>
      <xdr:colOff>336450</xdr:colOff>
      <xdr:row>96</xdr:row>
      <xdr:rowOff>99000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8712200" y="17345025"/>
          <a:ext cx="25399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12</xdr:col>
      <xdr:colOff>125050</xdr:colOff>
      <xdr:row>1</xdr:row>
      <xdr:rowOff>301625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14335125" y="206375"/>
          <a:ext cx="1522050"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17</xdr:col>
      <xdr:colOff>0</xdr:colOff>
      <xdr:row>0</xdr:row>
      <xdr:rowOff>528865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62460</xdr:rowOff>
    </xdr:from>
    <xdr:to>
      <xdr:col>27</xdr:col>
      <xdr:colOff>137582</xdr:colOff>
      <xdr:row>18</xdr:row>
      <xdr:rowOff>116417</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421598" y="62460"/>
          <a:ext cx="11643401" cy="394862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15</xdr:row>
      <xdr:rowOff>42333</xdr:rowOff>
    </xdr:from>
    <xdr:to>
      <xdr:col>8</xdr:col>
      <xdr:colOff>119536</xdr:colOff>
      <xdr:row>17</xdr:row>
      <xdr:rowOff>129333</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3663953" y="33655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14</xdr:row>
      <xdr:rowOff>10584</xdr:rowOff>
    </xdr:from>
    <xdr:to>
      <xdr:col>4</xdr:col>
      <xdr:colOff>297086</xdr:colOff>
      <xdr:row>18</xdr:row>
      <xdr:rowOff>148584</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1926169" y="31432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14</xdr:row>
      <xdr:rowOff>10583</xdr:rowOff>
    </xdr:from>
    <xdr:to>
      <xdr:col>11</xdr:col>
      <xdr:colOff>752</xdr:colOff>
      <xdr:row>18</xdr:row>
      <xdr:rowOff>148583</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5926669" y="31432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27</xdr:col>
      <xdr:colOff>127000</xdr:colOff>
      <xdr:row>0</xdr:row>
      <xdr:rowOff>243416</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9673166" y="74083"/>
          <a:ext cx="4836584" cy="16933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13</xdr:col>
      <xdr:colOff>247650</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9124950"/>
          <a:ext cx="13148386" cy="37082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17</xdr:col>
      <xdr:colOff>76200</xdr:colOff>
      <xdr:row>8</xdr:row>
      <xdr:rowOff>171450</xdr:rowOff>
    </xdr:from>
    <xdr:to>
      <xdr:col>21</xdr:col>
      <xdr:colOff>589800</xdr:colOff>
      <xdr:row>13</xdr:row>
      <xdr:rowOff>20207</xdr:rowOff>
    </xdr:to>
    <xdr:pic>
      <xdr:nvPicPr>
        <xdr:cNvPr id="106" name="Imagem 105">
          <a:hlinkClick xmlns:r="http://schemas.openxmlformats.org/officeDocument/2006/relationships" r:id="rId4"/>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
        <a:stretch>
          <a:fillRect/>
        </a:stretch>
      </xdr:blipFill>
      <xdr:spPr>
        <a:xfrm>
          <a:off x="1905000" y="552450"/>
          <a:ext cx="2952000" cy="801257"/>
        </a:xfrm>
        <a:prstGeom prst="rect">
          <a:avLst/>
        </a:prstGeom>
      </xdr:spPr>
    </xdr:pic>
    <xdr:clientData/>
  </xdr:twoCellAnchor>
  <xdr:twoCellAnchor editAs="oneCell">
    <xdr:from>
      <xdr:col>17</xdr:col>
      <xdr:colOff>57150</xdr:colOff>
      <xdr:row>15</xdr:row>
      <xdr:rowOff>0</xdr:rowOff>
    </xdr:from>
    <xdr:to>
      <xdr:col>21</xdr:col>
      <xdr:colOff>570750</xdr:colOff>
      <xdr:row>20</xdr:row>
      <xdr:rowOff>4919</xdr:rowOff>
    </xdr:to>
    <xdr:pic>
      <xdr:nvPicPr>
        <xdr:cNvPr id="107" name="Imagem 106">
          <a:hlinkClick xmlns:r="http://schemas.openxmlformats.org/officeDocument/2006/relationships" r:id="rId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7"/>
        <a:stretch>
          <a:fillRect/>
        </a:stretch>
      </xdr:blipFill>
      <xdr:spPr>
        <a:xfrm>
          <a:off x="1885950" y="1714500"/>
          <a:ext cx="2952000" cy="957419"/>
        </a:xfrm>
        <a:prstGeom prst="rect">
          <a:avLst/>
        </a:prstGeom>
      </xdr:spPr>
    </xdr:pic>
    <xdr:clientData/>
  </xdr:twoCellAnchor>
  <xdr:twoCellAnchor editAs="oneCell">
    <xdr:from>
      <xdr:col>17</xdr:col>
      <xdr:colOff>95250</xdr:colOff>
      <xdr:row>21</xdr:row>
      <xdr:rowOff>76200</xdr:rowOff>
    </xdr:from>
    <xdr:to>
      <xdr:col>21</xdr:col>
      <xdr:colOff>608850</xdr:colOff>
      <xdr:row>26</xdr:row>
      <xdr:rowOff>114305</xdr:rowOff>
    </xdr:to>
    <xdr:pic>
      <xdr:nvPicPr>
        <xdr:cNvPr id="108" name="Imagem 107">
          <a:hlinkClick xmlns:r="http://schemas.openxmlformats.org/officeDocument/2006/relationships" r:id="rId8"/>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9"/>
        <a:stretch>
          <a:fillRect/>
        </a:stretch>
      </xdr:blipFill>
      <xdr:spPr>
        <a:xfrm>
          <a:off x="1924050" y="2933700"/>
          <a:ext cx="2952000" cy="990605"/>
        </a:xfrm>
        <a:prstGeom prst="rect">
          <a:avLst/>
        </a:prstGeom>
      </xdr:spPr>
    </xdr:pic>
    <xdr:clientData/>
  </xdr:twoCellAnchor>
  <xdr:twoCellAnchor editAs="oneCell">
    <xdr:from>
      <xdr:col>17</xdr:col>
      <xdr:colOff>57149</xdr:colOff>
      <xdr:row>28</xdr:row>
      <xdr:rowOff>57150</xdr:rowOff>
    </xdr:from>
    <xdr:to>
      <xdr:col>21</xdr:col>
      <xdr:colOff>570749</xdr:colOff>
      <xdr:row>31</xdr:row>
      <xdr:rowOff>437909</xdr:rowOff>
    </xdr:to>
    <xdr:pic>
      <xdr:nvPicPr>
        <xdr:cNvPr id="109" name="Imagem 108">
          <a:hlinkClick xmlns:r="http://schemas.openxmlformats.org/officeDocument/2006/relationships" r:id="rId10"/>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1"/>
        <a:stretch>
          <a:fillRect/>
        </a:stretch>
      </xdr:blipFill>
      <xdr:spPr>
        <a:xfrm>
          <a:off x="1885949" y="4248150"/>
          <a:ext cx="2952000" cy="952259"/>
        </a:xfrm>
        <a:prstGeom prst="rect">
          <a:avLst/>
        </a:prstGeom>
      </xdr:spPr>
    </xdr:pic>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editAs="oneCell">
    <xdr:from>
      <xdr:col>19</xdr:col>
      <xdr:colOff>95250</xdr:colOff>
      <xdr:row>37</xdr:row>
      <xdr:rowOff>166687</xdr:rowOff>
    </xdr:from>
    <xdr:to>
      <xdr:col>30</xdr:col>
      <xdr:colOff>185738</xdr:colOff>
      <xdr:row>54</xdr:row>
      <xdr:rowOff>76200</xdr:rowOff>
    </xdr:to>
    <xdr:pic>
      <xdr:nvPicPr>
        <xdr:cNvPr id="35" name="Imagem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54563" y="7548562"/>
          <a:ext cx="6900863" cy="3148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333375</xdr:colOff>
      <xdr:row>0</xdr:row>
      <xdr:rowOff>527346</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2</xdr:col>
      <xdr:colOff>342900</xdr:colOff>
      <xdr:row>0</xdr:row>
      <xdr:rowOff>85725</xdr:rowOff>
    </xdr:from>
    <xdr:to>
      <xdr:col>14</xdr:col>
      <xdr:colOff>9525</xdr:colOff>
      <xdr:row>0</xdr:row>
      <xdr:rowOff>514350</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1971675" y="85725"/>
          <a:ext cx="3933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0093DD"/>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27</xdr:col>
      <xdr:colOff>38100</xdr:colOff>
      <xdr:row>11</xdr:row>
      <xdr:rowOff>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7150" y="38100"/>
          <a:ext cx="9534525" cy="24574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7</xdr:row>
      <xdr:rowOff>180974</xdr:rowOff>
    </xdr:from>
    <xdr:to>
      <xdr:col>8</xdr:col>
      <xdr:colOff>68734</xdr:colOff>
      <xdr:row>9</xdr:row>
      <xdr:rowOff>99699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100-000005000000}"/>
            </a:ext>
          </a:extLst>
        </xdr:cNvPr>
        <xdr:cNvSpPr/>
      </xdr:nvSpPr>
      <xdr:spPr>
        <a:xfrm>
          <a:off x="3195109" y="1914524"/>
          <a:ext cx="2160000" cy="2997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7</xdr:row>
      <xdr:rowOff>38100</xdr:rowOff>
    </xdr:from>
    <xdr:to>
      <xdr:col>4</xdr:col>
      <xdr:colOff>229350</xdr:colOff>
      <xdr:row>10</xdr:row>
      <xdr:rowOff>38100</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100-000006000000}"/>
            </a:ext>
          </a:extLst>
        </xdr:cNvPr>
        <xdr:cNvSpPr/>
      </xdr:nvSpPr>
      <xdr:spPr>
        <a:xfrm>
          <a:off x="1457325" y="1771650"/>
          <a:ext cx="1620000" cy="571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7</xdr:row>
      <xdr:rowOff>28575</xdr:rowOff>
    </xdr:from>
    <xdr:to>
      <xdr:col>10</xdr:col>
      <xdr:colOff>581775</xdr:colOff>
      <xdr:row>10</xdr:row>
      <xdr:rowOff>71325</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100-000007000000}"/>
            </a:ext>
          </a:extLst>
        </xdr:cNvPr>
        <xdr:cNvSpPr/>
      </xdr:nvSpPr>
      <xdr:spPr>
        <a:xfrm>
          <a:off x="5467350" y="1762125"/>
          <a:ext cx="1620000" cy="6142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27</xdr:col>
      <xdr:colOff>17099</xdr:colOff>
      <xdr:row>0</xdr:row>
      <xdr:rowOff>209550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100-000008000000}"/>
            </a:ext>
          </a:extLst>
        </xdr:cNvPr>
        <xdr:cNvSpPr/>
      </xdr:nvSpPr>
      <xdr:spPr>
        <a:xfrm>
          <a:off x="6648449" y="47625"/>
          <a:ext cx="2922225" cy="1619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28</xdr:col>
      <xdr:colOff>1</xdr:colOff>
      <xdr:row>0</xdr:row>
      <xdr:rowOff>534802</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467178</xdr:colOff>
      <xdr:row>0</xdr:row>
      <xdr:rowOff>54428</xdr:rowOff>
    </xdr:from>
    <xdr:to>
      <xdr:col>28</xdr:col>
      <xdr:colOff>58964</xdr:colOff>
      <xdr:row>41</xdr:row>
      <xdr:rowOff>31750</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67178" y="54428"/>
          <a:ext cx="13847536" cy="1174069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981075</xdr:colOff>
      <xdr:row>36</xdr:row>
      <xdr:rowOff>47625</xdr:rowOff>
    </xdr:from>
    <xdr:to>
      <xdr:col>11</xdr:col>
      <xdr:colOff>188550</xdr:colOff>
      <xdr:row>39</xdr:row>
      <xdr:rowOff>124125</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200-000007000000}"/>
            </a:ext>
          </a:extLst>
        </xdr:cNvPr>
        <xdr:cNvSpPr/>
      </xdr:nvSpPr>
      <xdr:spPr>
        <a:xfrm>
          <a:off x="10950575" y="8524875"/>
          <a:ext cx="4922475"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1190625</xdr:colOff>
      <xdr:row>34</xdr:row>
      <xdr:rowOff>142875</xdr:rowOff>
    </xdr:from>
    <xdr:to>
      <xdr:col>7</xdr:col>
      <xdr:colOff>849525</xdr:colOff>
      <xdr:row>41</xdr:row>
      <xdr:rowOff>51375</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1200-000008000000}"/>
            </a:ext>
          </a:extLst>
        </xdr:cNvPr>
        <xdr:cNvSpPr/>
      </xdr:nvSpPr>
      <xdr:spPr>
        <a:xfrm>
          <a:off x="8302625" y="8239125"/>
          <a:ext cx="2516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11</xdr:col>
      <xdr:colOff>333375</xdr:colOff>
      <xdr:row>34</xdr:row>
      <xdr:rowOff>142875</xdr:rowOff>
    </xdr:from>
    <xdr:to>
      <xdr:col>13</xdr:col>
      <xdr:colOff>3075</xdr:colOff>
      <xdr:row>41</xdr:row>
      <xdr:rowOff>51375</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1200-000009000000}"/>
            </a:ext>
          </a:extLst>
        </xdr:cNvPr>
        <xdr:cNvSpPr/>
      </xdr:nvSpPr>
      <xdr:spPr>
        <a:xfrm>
          <a:off x="16017875" y="8239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28</xdr:col>
      <xdr:colOff>45675</xdr:colOff>
      <xdr:row>0</xdr:row>
      <xdr:rowOff>333374</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200-00000A000000}"/>
            </a:ext>
          </a:extLst>
        </xdr:cNvPr>
        <xdr:cNvSpPr/>
      </xdr:nvSpPr>
      <xdr:spPr>
        <a:xfrm>
          <a:off x="23701375" y="31749"/>
          <a:ext cx="6316300" cy="301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5</xdr:col>
      <xdr:colOff>1460500</xdr:colOff>
      <xdr:row>14</xdr:row>
      <xdr:rowOff>50800</xdr:rowOff>
    </xdr:from>
    <xdr:to>
      <xdr:col>13</xdr:col>
      <xdr:colOff>359230</xdr:colOff>
      <xdr:row>30</xdr:row>
      <xdr:rowOff>94794</xdr:rowOff>
    </xdr:to>
    <xdr:graphicFrame macro="">
      <xdr:nvGraphicFramePr>
        <xdr:cNvPr id="5" name="Gráfico 2">
          <a:extLst>
            <a:ext uri="{FF2B5EF4-FFF2-40B4-BE49-F238E27FC236}">
              <a16:creationId xmlns:a16="http://schemas.microsoft.com/office/drawing/2014/main" id="{D28111CF-6CCC-4ED2-B67A-F02AD8C41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0.56211</cdr:x>
      <cdr:y>0.08334</cdr:y>
    </cdr:from>
    <cdr:to>
      <cdr:x>0.96434</cdr:x>
      <cdr:y>0.23018</cdr:y>
    </cdr:to>
    <cdr:sp macro="" textlink="">
      <cdr:nvSpPr>
        <cdr:cNvPr id="12" name="CaixaDeTexto 1"/>
        <cdr:cNvSpPr txBox="1"/>
      </cdr:nvSpPr>
      <cdr:spPr>
        <a:xfrm xmlns:a="http://schemas.openxmlformats.org/drawingml/2006/main">
          <a:off x="5688121" y="354423"/>
          <a:ext cx="4070237" cy="624434"/>
        </a:xfrm>
        <a:prstGeom xmlns:a="http://schemas.openxmlformats.org/drawingml/2006/main" prst="rect">
          <a:avLst/>
        </a:prstGeom>
        <a:ln xmlns:a="http://schemas.openxmlformats.org/drawingml/2006/main">
          <a:solidFill>
            <a:srgbClr val="C0C0C0"/>
          </a:solidFill>
          <a:prstDash val="dash"/>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pt-BR" sz="800" b="1">
              <a:latin typeface="Trebuchet MS" panose="020B0603020202020204" pitchFamily="34" charset="0"/>
            </a:rPr>
            <a:t>Duração</a:t>
          </a:r>
          <a:r>
            <a:rPr lang="pt-BR" sz="800" b="1" baseline="0">
              <a:latin typeface="Trebuchet MS" panose="020B0603020202020204" pitchFamily="34" charset="0"/>
            </a:rPr>
            <a:t> da Dívida:  R$:   52  meses</a:t>
          </a:r>
        </a:p>
        <a:p xmlns:a="http://schemas.openxmlformats.org/drawingml/2006/main">
          <a:pPr algn="r"/>
          <a:r>
            <a:rPr lang="pt-BR" sz="800" b="1" baseline="0">
              <a:latin typeface="Trebuchet MS" panose="020B0603020202020204" pitchFamily="34" charset="0"/>
            </a:rPr>
            <a:t>                                 US$: 38  meses</a:t>
          </a: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1090386</xdr:colOff>
      <xdr:row>37</xdr:row>
      <xdr:rowOff>166309</xdr:rowOff>
    </xdr:from>
    <xdr:to>
      <xdr:col>9</xdr:col>
      <xdr:colOff>1017527</xdr:colOff>
      <xdr:row>41</xdr:row>
      <xdr:rowOff>52309</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8773886" y="7621209"/>
          <a:ext cx="5159541"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1162352</xdr:colOff>
      <xdr:row>36</xdr:row>
      <xdr:rowOff>71059</xdr:rowOff>
    </xdr:from>
    <xdr:to>
      <xdr:col>11</xdr:col>
      <xdr:colOff>1191886</xdr:colOff>
      <xdr:row>42</xdr:row>
      <xdr:rowOff>170059</xdr:rowOff>
    </xdr:to>
    <xdr:sp macro="" textlink="">
      <xdr:nvSpPr>
        <xdr:cNvPr id="3" name="Seta: para a Direita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14078252" y="7335459"/>
          <a:ext cx="2645734"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Perguntas Frequentes</a:t>
          </a:r>
        </a:p>
      </xdr:txBody>
    </xdr:sp>
    <xdr:clientData/>
  </xdr:twoCellAnchor>
  <xdr:twoCellAnchor>
    <xdr:from>
      <xdr:col>3</xdr:col>
      <xdr:colOff>895350</xdr:colOff>
      <xdr:row>36</xdr:row>
      <xdr:rowOff>31750</xdr:rowOff>
    </xdr:from>
    <xdr:to>
      <xdr:col>5</xdr:col>
      <xdr:colOff>925950</xdr:colOff>
      <xdr:row>42</xdr:row>
      <xdr:rowOff>130750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962650" y="7296150"/>
          <a:ext cx="26468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Dívida</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0" y="0"/>
          <a:ext cx="20066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Principais Indicadores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27</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300-000006000000}"/>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63500</xdr:colOff>
      <xdr:row>0</xdr:row>
      <xdr:rowOff>63500</xdr:rowOff>
    </xdr:from>
    <xdr:to>
      <xdr:col>27</xdr:col>
      <xdr:colOff>63500</xdr:colOff>
      <xdr:row>43</xdr:row>
      <xdr:rowOff>76200</xdr:rowOff>
    </xdr:to>
    <xdr:sp macro="" textlink="">
      <xdr:nvSpPr>
        <xdr:cNvPr id="7" name="Retângulo 6">
          <a:extLst>
            <a:ext uri="{FF2B5EF4-FFF2-40B4-BE49-F238E27FC236}">
              <a16:creationId xmlns:a16="http://schemas.microsoft.com/office/drawing/2014/main" id="{00000000-0008-0000-1300-000007000000}"/>
            </a:ext>
          </a:extLst>
        </xdr:cNvPr>
        <xdr:cNvSpPr/>
      </xdr:nvSpPr>
      <xdr:spPr>
        <a:xfrm>
          <a:off x="63500" y="63500"/>
          <a:ext cx="35153600" cy="8610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Principais</a:t>
          </a:r>
          <a:r>
            <a:rPr lang="pt-BR" sz="1100" b="1" baseline="0">
              <a:latin typeface="Verdana" panose="020B0604030504040204" pitchFamily="34" charset="0"/>
              <a:ea typeface="Verdana" panose="020B0604030504040204" pitchFamily="34" charset="0"/>
              <a:cs typeface="Verdana" panose="020B0604030504040204" pitchFamily="34" charset="0"/>
            </a:rPr>
            <a:t> Indicadores</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Gerente Geral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Tofani Ferreira 	</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Analista -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7" name="Imagem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3"/>
        <a:stretch>
          <a:fillRect/>
        </a:stretch>
      </xdr:blipFill>
      <xdr:spPr>
        <a:xfrm>
          <a:off x="112328" y="383829"/>
          <a:ext cx="3279894" cy="1112648"/>
        </a:xfrm>
        <a:prstGeom prst="rect">
          <a:avLst/>
        </a:prstGeom>
      </xdr:spPr>
    </xdr:pic>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4"/>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38198" y="4038601"/>
          <a:ext cx="5411202"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editAs="oneCell">
    <xdr:from>
      <xdr:col>1</xdr:col>
      <xdr:colOff>123041</xdr:colOff>
      <xdr:row>4</xdr:row>
      <xdr:rowOff>15925</xdr:rowOff>
    </xdr:from>
    <xdr:to>
      <xdr:col>4</xdr:col>
      <xdr:colOff>170432</xdr:colOff>
      <xdr:row>4</xdr:row>
      <xdr:rowOff>659992</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732641" y="396925"/>
          <a:ext cx="1876191" cy="644067"/>
        </a:xfrm>
        <a:prstGeom prst="rect">
          <a:avLst/>
        </a:prstGeom>
      </xdr:spPr>
    </xdr:pic>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304800</xdr:colOff>
      <xdr:row>13</xdr:row>
      <xdr:rowOff>152400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V="1">
          <a:off x="3924300" y="3362325"/>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133350</xdr:rowOff>
    </xdr:from>
    <xdr:to>
      <xdr:col>3</xdr:col>
      <xdr:colOff>133350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a:off x="1733550" y="6562725"/>
          <a:ext cx="2286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8</xdr:row>
      <xdr:rowOff>95250</xdr:rowOff>
    </xdr:from>
    <xdr:to>
      <xdr:col>16</xdr:col>
      <xdr:colOff>58365</xdr:colOff>
      <xdr:row>39</xdr:row>
      <xdr:rowOff>14242</xdr:rowOff>
    </xdr:to>
    <xdr:pic>
      <xdr:nvPicPr>
        <xdr:cNvPr id="18" name="Imagem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0" y="3086100"/>
          <a:ext cx="14022015" cy="6072142"/>
        </a:xfrm>
        <a:prstGeom prst="rect">
          <a:avLst/>
        </a:prstGeom>
      </xdr:spPr>
    </xdr:pic>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3"/>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4"/>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5"/>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214313</xdr:rowOff>
    </xdr:from>
    <xdr:to>
      <xdr:col>3</xdr:col>
      <xdr:colOff>31750</xdr:colOff>
      <xdr:row>12</xdr:row>
      <xdr:rowOff>142875</xdr:rowOff>
    </xdr:to>
    <xdr:sp macro="" textlink="">
      <xdr:nvSpPr>
        <xdr:cNvPr id="2" name="CaixaDeTexto 1">
          <a:extLst>
            <a:ext uri="{FF2B5EF4-FFF2-40B4-BE49-F238E27FC236}">
              <a16:creationId xmlns:a16="http://schemas.microsoft.com/office/drawing/2014/main" id="{B43191AC-9124-4819-9855-CFA3D426662D}"/>
            </a:ext>
          </a:extLst>
        </xdr:cNvPr>
        <xdr:cNvSpPr txBox="1"/>
      </xdr:nvSpPr>
      <xdr:spPr>
        <a:xfrm>
          <a:off x="609600" y="1128713"/>
          <a:ext cx="791210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Os segmentos de mineração, fabricação e beneficiamento do aço exigem a utilização de grandes volumes de matérias-primas e insumos. Em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2021</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a usina de Ipatinga consumiu cerca de </a:t>
          </a:r>
          <a:r>
            <a:rPr lang="pt-BR" sz="18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9,5 milhões de toneladas</a:t>
          </a: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 consideradas as principais matérias-primas e insumos não renováveis necessários à produção. </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5A1029C9-B438-4384-B6A1-B99E158BFB47}"/>
            </a:ext>
          </a:extLst>
        </xdr:cNvPr>
        <xdr:cNvPicPr>
          <a:picLocks noChangeAspect="1"/>
        </xdr:cNvPicPr>
      </xdr:nvPicPr>
      <xdr:blipFill>
        <a:blip xmlns:r="http://schemas.openxmlformats.org/officeDocument/2006/relationships" r:embed="rId1"/>
        <a:stretch>
          <a:fillRect/>
        </a:stretch>
      </xdr:blipFill>
      <xdr:spPr>
        <a:xfrm>
          <a:off x="657225" y="207963"/>
          <a:ext cx="1876191" cy="644067"/>
        </a:xfrm>
        <a:prstGeom prst="rect">
          <a:avLst/>
        </a:prstGeom>
      </xdr:spPr>
    </xdr:pic>
    <xdr:clientData/>
  </xdr:twoCellAnchor>
  <xdr:twoCellAnchor>
    <xdr:from>
      <xdr:col>1</xdr:col>
      <xdr:colOff>0</xdr:colOff>
      <xdr:row>28</xdr:row>
      <xdr:rowOff>0</xdr:rowOff>
    </xdr:from>
    <xdr:to>
      <xdr:col>7</xdr:col>
      <xdr:colOff>-1</xdr:colOff>
      <xdr:row>31</xdr:row>
      <xdr:rowOff>23813</xdr:rowOff>
    </xdr:to>
    <xdr:sp macro="" textlink="">
      <xdr:nvSpPr>
        <xdr:cNvPr id="5" name="CaixaDeTexto 4">
          <a:extLst>
            <a:ext uri="{FF2B5EF4-FFF2-40B4-BE49-F238E27FC236}">
              <a16:creationId xmlns:a16="http://schemas.microsoft.com/office/drawing/2014/main" id="{E391CCAB-C836-4936-BFB9-F97F6D05EF17}"/>
            </a:ext>
          </a:extLst>
        </xdr:cNvPr>
        <xdr:cNvSpPr txBox="1"/>
      </xdr:nvSpPr>
      <xdr:spPr>
        <a:xfrm>
          <a:off x="609600" y="7353300"/>
          <a:ext cx="19926299" cy="576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Energia</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Elétrica Consumida</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4F3C3AD5-C839-43EC-8003-B25A60787559}"/>
            </a:ext>
          </a:extLst>
        </xdr:cNvPr>
        <xdr:cNvSpPr txBox="1"/>
      </xdr:nvSpPr>
      <xdr:spPr>
        <a:xfrm>
          <a:off x="609600" y="898525"/>
          <a:ext cx="78803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não renováveis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F873B140-2F9A-4C0D-8EB8-0F6B54CDAF58}"/>
            </a:ext>
          </a:extLst>
        </xdr:cNvPr>
        <xdr:cNvSpPr txBox="1"/>
      </xdr:nvSpPr>
      <xdr:spPr>
        <a:xfrm>
          <a:off x="10179050" y="908050"/>
          <a:ext cx="78994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Materiais reciclados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40331211-2B9A-44FB-9983-9E7E70C5E97A}"/>
            </a:ext>
          </a:extLst>
        </xdr:cNvPr>
        <xdr:cNvSpPr txBox="1"/>
      </xdr:nvSpPr>
      <xdr:spPr>
        <a:xfrm>
          <a:off x="10202863" y="1128712"/>
          <a:ext cx="7931150" cy="180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Em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2021</a:t>
          </a:r>
          <a:r>
            <a:rPr lang="pt-BR" sz="1800">
              <a:latin typeface="Verdana" panose="020B0604030504040204" pitchFamily="34" charset="0"/>
              <a:ea typeface="Verdana" panose="020B0604030504040204" pitchFamily="34" charset="0"/>
              <a:cs typeface="Verdana" panose="020B0604030504040204" pitchFamily="34" charset="0"/>
            </a:rPr>
            <a:t>, a Usina de Ipatinga utilizou aproximadamente </a:t>
          </a:r>
          <a:r>
            <a:rPr lang="pt-BR" sz="18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1,97 milhões de toneladas </a:t>
          </a:r>
          <a:r>
            <a:rPr lang="pt-BR" sz="1800">
              <a:latin typeface="Verdana" panose="020B0604030504040204" pitchFamily="34" charset="0"/>
              <a:ea typeface="Verdana" panose="020B0604030504040204" pitchFamily="34" charset="0"/>
              <a:cs typeface="Verdana" panose="020B0604030504040204" pitchFamily="34" charset="0"/>
            </a:rPr>
            <a:t>de material reciclado em seu processo produtivo.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42</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57150</xdr:colOff>
      <xdr:row>21</xdr:row>
      <xdr:rowOff>38100</xdr:rowOff>
    </xdr:from>
    <xdr:to>
      <xdr:col>7</xdr:col>
      <xdr:colOff>57149</xdr:colOff>
      <xdr:row>23</xdr:row>
      <xdr:rowOff>61913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666750" y="5346700"/>
          <a:ext cx="199262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37</xdr:row>
      <xdr:rowOff>57150</xdr:rowOff>
    </xdr:from>
    <xdr:to>
      <xdr:col>4</xdr:col>
      <xdr:colOff>3074625</xdr:colOff>
      <xdr:row>40</xdr:row>
      <xdr:rowOff>133650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35</xdr:row>
      <xdr:rowOff>152400</xdr:rowOff>
    </xdr:from>
    <xdr:to>
      <xdr:col>2</xdr:col>
      <xdr:colOff>2135400</xdr:colOff>
      <xdr:row>42</xdr:row>
      <xdr:rowOff>60900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35</xdr:row>
      <xdr:rowOff>152400</xdr:rowOff>
    </xdr:from>
    <xdr:to>
      <xdr:col>5</xdr:col>
      <xdr:colOff>584100</xdr:colOff>
      <xdr:row>42</xdr:row>
      <xdr:rowOff>60900</xdr:rowOff>
    </xdr:to>
    <xdr:sp macro="" textlink="">
      <xdr:nvSpPr>
        <xdr:cNvPr id="13" name="Seta: para a Direita 12">
          <a:hlinkClick xmlns:r="http://schemas.openxmlformats.org/officeDocument/2006/relationships" r:id="rId4"/>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743200" y="1762125"/>
          <a:ext cx="165344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3</xdr:col>
      <xdr:colOff>626610</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495300</xdr:colOff>
      <xdr:row>0</xdr:row>
      <xdr:rowOff>38100</xdr:rowOff>
    </xdr:from>
    <xdr:to>
      <xdr:col>42</xdr:col>
      <xdr:colOff>114300</xdr:colOff>
      <xdr:row>35</xdr:row>
      <xdr:rowOff>38100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95300" y="38100"/>
          <a:ext cx="29584650" cy="94107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31</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72021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671585" y="9082770"/>
          <a:ext cx="492519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9" name="Seta: para a Esquerd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4010028" y="8797020"/>
          <a:ext cx="2530007"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10" name="Seta: para a Direit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11741606" y="8797020"/>
          <a:ext cx="2520397"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38</xdr:col>
      <xdr:colOff>293914</xdr:colOff>
      <xdr:row>0</xdr:row>
      <xdr:rowOff>65313</xdr:rowOff>
    </xdr:from>
    <xdr:to>
      <xdr:col>42</xdr:col>
      <xdr:colOff>108857</xdr:colOff>
      <xdr:row>0</xdr:row>
      <xdr:rowOff>364670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8316464" y="65313"/>
          <a:ext cx="1758043" cy="299357"/>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32</xdr:col>
      <xdr:colOff>222250</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2470149" y="0"/>
          <a:ext cx="212788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38101</xdr:rowOff>
    </xdr:from>
    <xdr:to>
      <xdr:col>39</xdr:col>
      <xdr:colOff>222250</xdr:colOff>
      <xdr:row>20</xdr:row>
      <xdr:rowOff>1</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9" y="38101"/>
          <a:ext cx="24364951" cy="54229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3984625" y="4698999"/>
          <a:ext cx="1550987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1584325" y="4479925"/>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34</xdr:col>
      <xdr:colOff>523875</xdr:colOff>
      <xdr:row>0</xdr:row>
      <xdr:rowOff>41276</xdr:rowOff>
    </xdr:from>
    <xdr:to>
      <xdr:col>39</xdr:col>
      <xdr:colOff>206375</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4638000" y="41276"/>
          <a:ext cx="279400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30</xdr:col>
      <xdr:colOff>704874</xdr:colOff>
      <xdr:row>19</xdr:row>
      <xdr:rowOff>95449</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500-000009000000}"/>
            </a:ext>
          </a:extLst>
        </xdr:cNvPr>
        <xdr:cNvSpPr/>
      </xdr:nvSpPr>
      <xdr:spPr>
        <a:xfrm>
          <a:off x="19589749" y="4476749"/>
          <a:ext cx="234000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36</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0149" y="0"/>
          <a:ext cx="254222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574674</xdr:colOff>
      <xdr:row>0</xdr:row>
      <xdr:rowOff>38099</xdr:rowOff>
    </xdr:from>
    <xdr:to>
      <xdr:col>39</xdr:col>
      <xdr:colOff>174624</xdr:colOff>
      <xdr:row>32</xdr:row>
      <xdr:rowOff>111124</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574674" y="38099"/>
          <a:ext cx="24761825" cy="8772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29</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3990975" y="4657724"/>
          <a:ext cx="16167100"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1590675" y="44386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32</xdr:col>
      <xdr:colOff>190500</xdr:colOff>
      <xdr:row>0</xdr:row>
      <xdr:rowOff>41276</xdr:rowOff>
    </xdr:from>
    <xdr:to>
      <xdr:col>39</xdr:col>
      <xdr:colOff>190500</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21447125" y="41276"/>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29</xdr:col>
      <xdr:colOff>603249</xdr:colOff>
      <xdr:row>26</xdr:row>
      <xdr:rowOff>158749</xdr:rowOff>
    </xdr:from>
    <xdr:to>
      <xdr:col>32</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600-000008000000}"/>
            </a:ext>
          </a:extLst>
        </xdr:cNvPr>
        <xdr:cNvSpPr/>
      </xdr:nvSpPr>
      <xdr:spPr>
        <a:xfrm>
          <a:off x="20253324" y="4435474"/>
          <a:ext cx="23590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571625" cy="714375"/>
        </a:xfrm>
        <a:prstGeom prst="rect">
          <a:avLst/>
        </a:prstGeom>
      </xdr:spPr>
    </xdr:pic>
    <xdr:clientData/>
  </xdr:twoCellAnchor>
  <xdr:twoCellAnchor>
    <xdr:from>
      <xdr:col>1</xdr:col>
      <xdr:colOff>1866899</xdr:colOff>
      <xdr:row>0</xdr:row>
      <xdr:rowOff>0</xdr:rowOff>
    </xdr:from>
    <xdr:to>
      <xdr:col>29</xdr:col>
      <xdr:colOff>222250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11582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Custo de Produção - Siderurgia</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35</xdr:col>
      <xdr:colOff>342900</xdr:colOff>
      <xdr:row>25</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0"/>
          <a:ext cx="30213300" cy="68389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21</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3990975" y="5772149"/>
          <a:ext cx="19250025"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1590675" y="5476875"/>
          <a:ext cx="2340000" cy="1041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28</xdr:col>
      <xdr:colOff>790575</xdr:colOff>
      <xdr:row>0</xdr:row>
      <xdr:rowOff>60326</xdr:rowOff>
    </xdr:from>
    <xdr:to>
      <xdr:col>35</xdr:col>
      <xdr:colOff>314325</xdr:colOff>
      <xdr:row>0</xdr:row>
      <xdr:rowOff>304800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0700-000007000000}"/>
            </a:ext>
          </a:extLst>
        </xdr:cNvPr>
        <xdr:cNvSpPr/>
      </xdr:nvSpPr>
      <xdr:spPr>
        <a:xfrm>
          <a:off x="24126825" y="60326"/>
          <a:ext cx="68389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145595</xdr:colOff>
      <xdr:row>18</xdr:row>
      <xdr:rowOff>117928</xdr:rowOff>
    </xdr:from>
    <xdr:to>
      <xdr:col>28</xdr:col>
      <xdr:colOff>2873827</xdr:colOff>
      <xdr:row>23</xdr:row>
      <xdr:rowOff>130828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00000000-0008-0000-0700-000008000000}"/>
            </a:ext>
          </a:extLst>
        </xdr:cNvPr>
        <xdr:cNvSpPr/>
      </xdr:nvSpPr>
      <xdr:spPr>
        <a:xfrm>
          <a:off x="22815095" y="5547178"/>
          <a:ext cx="5033282" cy="10416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CA541E6E-6B50-4D6C-803C-DE5BC3F87A05}"/>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20</xdr:col>
      <xdr:colOff>19050</xdr:colOff>
      <xdr:row>0</xdr:row>
      <xdr:rowOff>742950</xdr:rowOff>
    </xdr:to>
    <xdr:sp macro="" textlink="">
      <xdr:nvSpPr>
        <xdr:cNvPr id="3" name="CaixaDeTexto 2">
          <a:extLst>
            <a:ext uri="{FF2B5EF4-FFF2-40B4-BE49-F238E27FC236}">
              <a16:creationId xmlns:a16="http://schemas.microsoft.com/office/drawing/2014/main" id="{5E1280FB-5C6F-4441-A140-35259CC353BF}"/>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503464</xdr:colOff>
      <xdr:row>0</xdr:row>
      <xdr:rowOff>38099</xdr:rowOff>
    </xdr:from>
    <xdr:to>
      <xdr:col>26</xdr:col>
      <xdr:colOff>517070</xdr:colOff>
      <xdr:row>43</xdr:row>
      <xdr:rowOff>136071</xdr:rowOff>
    </xdr:to>
    <xdr:sp macro="" textlink="">
      <xdr:nvSpPr>
        <xdr:cNvPr id="4" name="Retângulo 3">
          <a:extLst>
            <a:ext uri="{FF2B5EF4-FFF2-40B4-BE49-F238E27FC236}">
              <a16:creationId xmlns:a16="http://schemas.microsoft.com/office/drawing/2014/main" id="{D9FC2CA4-B343-42DB-8F75-0A16CE0EA680}"/>
            </a:ext>
          </a:extLst>
        </xdr:cNvPr>
        <xdr:cNvSpPr/>
      </xdr:nvSpPr>
      <xdr:spPr>
        <a:xfrm>
          <a:off x="503464" y="38099"/>
          <a:ext cx="20859749" cy="1227636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48</xdr:row>
      <xdr:rowOff>184430</xdr:rowOff>
    </xdr:from>
    <xdr:to>
      <xdr:col>9</xdr:col>
      <xdr:colOff>317696</xdr:colOff>
      <xdr:row>51</xdr:row>
      <xdr:rowOff>79656</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FAB2CE21-CDD1-4EE8-A0EA-F1168FD7F8F5}"/>
            </a:ext>
          </a:extLst>
        </xdr:cNvPr>
        <xdr:cNvSpPr/>
      </xdr:nvSpPr>
      <xdr:spPr>
        <a:xfrm>
          <a:off x="6125779" y="10784394"/>
          <a:ext cx="4710238" cy="466726"/>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47</xdr:row>
      <xdr:rowOff>142096</xdr:rowOff>
    </xdr:from>
    <xdr:to>
      <xdr:col>15</xdr:col>
      <xdr:colOff>273221</xdr:colOff>
      <xdr:row>52</xdr:row>
      <xdr:rowOff>116697</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A9D166C5-8787-4495-AFF1-5CBC2924D77E}"/>
            </a:ext>
          </a:extLst>
        </xdr:cNvPr>
        <xdr:cNvSpPr/>
      </xdr:nvSpPr>
      <xdr:spPr>
        <a:xfrm>
          <a:off x="10876184" y="10551560"/>
          <a:ext cx="2364644" cy="927101"/>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16</xdr:col>
      <xdr:colOff>615041</xdr:colOff>
      <xdr:row>0</xdr:row>
      <xdr:rowOff>70758</xdr:rowOff>
    </xdr:from>
    <xdr:to>
      <xdr:col>26</xdr:col>
      <xdr:colOff>510264</xdr:colOff>
      <xdr:row>0</xdr:row>
      <xdr:rowOff>223157</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D88C3B8F-9D77-4FF9-9A11-5E574E90D5B1}"/>
            </a:ext>
          </a:extLst>
        </xdr:cNvPr>
        <xdr:cNvSpPr/>
      </xdr:nvSpPr>
      <xdr:spPr>
        <a:xfrm>
          <a:off x="14321516" y="70758"/>
          <a:ext cx="6905623"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47</xdr:row>
      <xdr:rowOff>149653</xdr:rowOff>
    </xdr:from>
    <xdr:to>
      <xdr:col>3</xdr:col>
      <xdr:colOff>463004</xdr:colOff>
      <xdr:row>52</xdr:row>
      <xdr:rowOff>125953</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5F18654C-78AC-47BF-AB2C-201DFBB69896}"/>
            </a:ext>
          </a:extLst>
        </xdr:cNvPr>
        <xdr:cNvSpPr/>
      </xdr:nvSpPr>
      <xdr:spPr>
        <a:xfrm>
          <a:off x="3497033" y="10559117"/>
          <a:ext cx="2585721" cy="9288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elas_Release_3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belas_Release_1T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abilidade/V1/MUSA%20CONSOLID%20VOLUME_MAR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ntabilidade/V1/MUSA%20CONSOLID%20VOLUME_MAR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abilidade/V1/CONSOLID%20DESPESAS%20VENDAS%20E%20ADMINISTRATIVAS_MAR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abelas_Release_4T22_Preench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Prod.aço bruto"/>
      <sheetName val="Vendas Siderurgia (MIxME)"/>
      <sheetName val="Exportações"/>
      <sheetName val="Vendas por segmento (opção 2)"/>
      <sheetName val="Exportações-Principais Mercados"/>
      <sheetName val="Distrib de Vendas Produto"/>
      <sheetName val="Agenda ESG_"/>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2417.3981599999997</v>
          </cell>
        </row>
        <row r="6">
          <cell r="C6">
            <v>1752.7654499999999</v>
          </cell>
        </row>
        <row r="7">
          <cell r="C7">
            <v>530.17683</v>
          </cell>
        </row>
        <row r="8">
          <cell r="C8">
            <v>134.45587999999998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t="str">
            <v>Fluxos de Caixa das Atividades Operacionais</v>
          </cell>
        </row>
        <row r="6">
          <cell r="B6" t="str">
            <v xml:space="preserve">   Lucro ou Prejuízo Líquido do Exercício</v>
          </cell>
          <cell r="C6">
            <v>1823743</v>
          </cell>
          <cell r="D6">
            <v>4543209</v>
          </cell>
          <cell r="E6">
            <v>198082</v>
          </cell>
        </row>
        <row r="7">
          <cell r="B7" t="str">
            <v xml:space="preserve">   Encargos e Var. Monetárias/Cambiais líquidas</v>
          </cell>
          <cell r="C7">
            <v>425715</v>
          </cell>
          <cell r="D7">
            <v>-1281785</v>
          </cell>
          <cell r="E7">
            <v>116782</v>
          </cell>
        </row>
        <row r="8">
          <cell r="B8" t="str">
            <v xml:space="preserve">   Despesas de Juros</v>
          </cell>
          <cell r="C8">
            <v>67214</v>
          </cell>
          <cell r="D8">
            <v>54212</v>
          </cell>
          <cell r="E8">
            <v>73321</v>
          </cell>
        </row>
        <row r="9">
          <cell r="B9" t="str">
            <v xml:space="preserve">   Depreciação e Amortização</v>
          </cell>
          <cell r="C9">
            <v>243462</v>
          </cell>
          <cell r="D9">
            <v>250659</v>
          </cell>
          <cell r="E9">
            <v>248466</v>
          </cell>
        </row>
        <row r="10">
          <cell r="B10" t="str">
            <v xml:space="preserve">   Resultado na Venda de Imobilizado</v>
          </cell>
          <cell r="C10">
            <v>3149</v>
          </cell>
          <cell r="D10">
            <v>-53000</v>
          </cell>
          <cell r="E10">
            <v>-2519</v>
          </cell>
        </row>
        <row r="11">
          <cell r="B11" t="str">
            <v xml:space="preserve">   Resultado Equivalência Patrimonial</v>
          </cell>
          <cell r="C11">
            <v>-72524</v>
          </cell>
          <cell r="D11">
            <v>-55458</v>
          </cell>
          <cell r="E11">
            <v>-40031</v>
          </cell>
        </row>
        <row r="12">
          <cell r="B12" t="str">
            <v xml:space="preserve">   Impairment Investimentos/Ativos</v>
          </cell>
          <cell r="C12">
            <v>397257</v>
          </cell>
          <cell r="D12">
            <v>0</v>
          </cell>
          <cell r="E12">
            <v>6751</v>
          </cell>
        </row>
        <row r="13">
          <cell r="B13" t="str">
            <v xml:space="preserve">   Imposto de Renda e Contribuição Social Diferidos</v>
          </cell>
          <cell r="C13">
            <v>36353</v>
          </cell>
          <cell r="D13">
            <v>87091</v>
          </cell>
          <cell r="E13">
            <v>-24917</v>
          </cell>
        </row>
        <row r="14">
          <cell r="B14" t="str">
            <v xml:space="preserve">   Constituição (reversão) de Provisões</v>
          </cell>
          <cell r="C14">
            <v>111956</v>
          </cell>
          <cell r="D14">
            <v>200304</v>
          </cell>
          <cell r="E14">
            <v>387217</v>
          </cell>
        </row>
        <row r="15">
          <cell r="B15" t="str">
            <v xml:space="preserve">   Ganhos e Perdas Atuariais</v>
          </cell>
          <cell r="C15">
            <v>24350</v>
          </cell>
          <cell r="D15">
            <v>24355</v>
          </cell>
          <cell r="E15">
            <v>21527</v>
          </cell>
        </row>
        <row r="16">
          <cell r="B16" t="str">
            <v>Total</v>
          </cell>
          <cell r="C16">
            <v>3060675</v>
          </cell>
          <cell r="D16">
            <v>3769587</v>
          </cell>
          <cell r="E16">
            <v>984679</v>
          </cell>
        </row>
        <row r="17">
          <cell r="C17">
            <v>397257</v>
          </cell>
          <cell r="E17">
            <v>6751</v>
          </cell>
        </row>
        <row r="18">
          <cell r="B18" t="str">
            <v xml:space="preserve">   (Acréscimo)/Decréscimo de Ativos</v>
          </cell>
        </row>
        <row r="19">
          <cell r="B19" t="str">
            <v xml:space="preserve">   Contas a Receber de Clientes</v>
          </cell>
          <cell r="C19">
            <v>-256823</v>
          </cell>
          <cell r="D19">
            <v>-368020</v>
          </cell>
          <cell r="E19">
            <v>-642386</v>
          </cell>
        </row>
        <row r="20">
          <cell r="B20" t="str">
            <v xml:space="preserve">   Estoques</v>
          </cell>
          <cell r="C20">
            <v>-1156324</v>
          </cell>
          <cell r="D20">
            <v>-1157806</v>
          </cell>
          <cell r="E20">
            <v>372292</v>
          </cell>
        </row>
        <row r="21">
          <cell r="B21" t="str">
            <v xml:space="preserve">   Impostos a Recuperar</v>
          </cell>
          <cell r="C21">
            <v>-334826</v>
          </cell>
          <cell r="D21">
            <v>73799</v>
          </cell>
          <cell r="E21">
            <v>-21754</v>
          </cell>
        </row>
        <row r="22">
          <cell r="B22" t="str">
            <v xml:space="preserve">   Depósitos Judiciais</v>
          </cell>
          <cell r="C22">
            <v>2673</v>
          </cell>
          <cell r="D22">
            <v>26146</v>
          </cell>
          <cell r="E22">
            <v>9178</v>
          </cell>
        </row>
        <row r="23">
          <cell r="B23" t="str">
            <v xml:space="preserve">  Valores a Receber Eletrobras</v>
          </cell>
          <cell r="C23">
            <v>0</v>
          </cell>
          <cell r="D23">
            <v>0</v>
          </cell>
          <cell r="E23">
            <v>311534</v>
          </cell>
        </row>
        <row r="24">
          <cell r="B24" t="str">
            <v xml:space="preserve">   Outros</v>
          </cell>
          <cell r="C24">
            <v>-3334</v>
          </cell>
          <cell r="D24">
            <v>22291</v>
          </cell>
          <cell r="E24">
            <v>-32384</v>
          </cell>
        </row>
        <row r="25">
          <cell r="B25" t="str">
            <v>Total</v>
          </cell>
          <cell r="C25">
            <v>-1748634</v>
          </cell>
          <cell r="D25">
            <v>-1403590</v>
          </cell>
          <cell r="E25">
            <v>-3520</v>
          </cell>
        </row>
        <row r="27">
          <cell r="B27" t="str">
            <v xml:space="preserve">   Acréscimo/(Decréscimo) de Passivos</v>
          </cell>
        </row>
        <row r="28">
          <cell r="B28" t="str">
            <v xml:space="preserve">   Fornecedores</v>
          </cell>
          <cell r="C28">
            <v>504528</v>
          </cell>
          <cell r="D28">
            <v>40503</v>
          </cell>
          <cell r="E28">
            <v>554878</v>
          </cell>
        </row>
        <row r="29">
          <cell r="B29" t="str">
            <v xml:space="preserve">   Valores a Pagar a Sociedades Ligadas</v>
          </cell>
          <cell r="C29">
            <v>2898</v>
          </cell>
          <cell r="D29">
            <v>2802</v>
          </cell>
          <cell r="E29">
            <v>0</v>
          </cell>
        </row>
        <row r="30">
          <cell r="B30" t="str">
            <v xml:space="preserve">   Adiantamentos de Clientes</v>
          </cell>
          <cell r="C30">
            <v>-80861</v>
          </cell>
          <cell r="D30">
            <v>23767</v>
          </cell>
          <cell r="E30">
            <v>56159</v>
          </cell>
        </row>
        <row r="31">
          <cell r="B31" t="str">
            <v xml:space="preserve">   Tributos a Recolher</v>
          </cell>
          <cell r="C31">
            <v>580576</v>
          </cell>
          <cell r="D31">
            <v>252613</v>
          </cell>
          <cell r="E31">
            <v>198965</v>
          </cell>
        </row>
        <row r="32">
          <cell r="B32" t="str">
            <v xml:space="preserve">   Títulos a Pagar Forfaiting</v>
          </cell>
          <cell r="C32">
            <v>222835</v>
          </cell>
          <cell r="D32">
            <v>-57507</v>
          </cell>
          <cell r="E32">
            <v>-12495</v>
          </cell>
        </row>
        <row r="33">
          <cell r="B33" t="str">
            <v xml:space="preserve">   Passivo Atuarial pago</v>
          </cell>
          <cell r="C33">
            <v>-9534</v>
          </cell>
          <cell r="D33">
            <v>-14116</v>
          </cell>
          <cell r="E33">
            <v>0</v>
          </cell>
        </row>
        <row r="34">
          <cell r="B34" t="str">
            <v xml:space="preserve">   Outros</v>
          </cell>
          <cell r="C34">
            <v>-58129</v>
          </cell>
          <cell r="D34">
            <v>-237749</v>
          </cell>
          <cell r="E34">
            <v>-17103</v>
          </cell>
        </row>
        <row r="35">
          <cell r="B35" t="str">
            <v>Total</v>
          </cell>
          <cell r="C35">
            <v>1162313</v>
          </cell>
          <cell r="D35">
            <v>10313</v>
          </cell>
          <cell r="E35">
            <v>780404</v>
          </cell>
        </row>
        <row r="36">
          <cell r="C36">
            <v>397257</v>
          </cell>
          <cell r="D36">
            <v>0</v>
          </cell>
          <cell r="E36">
            <v>6751</v>
          </cell>
        </row>
        <row r="37">
          <cell r="B37" t="str">
            <v>Caixa Proveniente das Atividades Operacionais</v>
          </cell>
          <cell r="C37">
            <v>2474354</v>
          </cell>
          <cell r="D37">
            <v>2376310</v>
          </cell>
          <cell r="E37">
            <v>1761563</v>
          </cell>
        </row>
        <row r="39">
          <cell r="B39" t="str">
            <v xml:space="preserve">   Juros Pagos</v>
          </cell>
          <cell r="C39">
            <v>-180709</v>
          </cell>
          <cell r="D39">
            <v>-418</v>
          </cell>
          <cell r="E39">
            <v>-172893</v>
          </cell>
        </row>
        <row r="40">
          <cell r="B40" t="str">
            <v xml:space="preserve">   Imposto de Renda e Contribuição Social Pagos</v>
          </cell>
          <cell r="C40">
            <v>-772474</v>
          </cell>
          <cell r="D40">
            <v>-310614</v>
          </cell>
          <cell r="E40">
            <v>-51616</v>
          </cell>
        </row>
        <row r="41">
          <cell r="C41">
            <v>397257</v>
          </cell>
          <cell r="E41">
            <v>6751</v>
          </cell>
        </row>
        <row r="42">
          <cell r="B42" t="str">
            <v>Caixa Líquido Proveniente das Atividades Operacionais</v>
          </cell>
          <cell r="C42">
            <v>1521171</v>
          </cell>
          <cell r="D42">
            <v>2065278</v>
          </cell>
          <cell r="E42">
            <v>1537054</v>
          </cell>
        </row>
        <row r="43">
          <cell r="E43">
            <v>0</v>
          </cell>
        </row>
        <row r="44">
          <cell r="B44" t="str">
            <v>Fluxos de caixa das Atividades de Investimentos</v>
          </cell>
        </row>
        <row r="45">
          <cell r="B45" t="str">
            <v xml:space="preserve">   Títulos e Valores Mobiliários</v>
          </cell>
          <cell r="C45">
            <v>698550</v>
          </cell>
          <cell r="D45">
            <v>-1708584</v>
          </cell>
          <cell r="E45">
            <v>-482767</v>
          </cell>
        </row>
        <row r="46">
          <cell r="B46" t="str">
            <v xml:space="preserve">   Compras de Imobilizado</v>
          </cell>
          <cell r="C46">
            <v>-296911</v>
          </cell>
          <cell r="D46">
            <v>-330799</v>
          </cell>
          <cell r="E46">
            <v>-173407</v>
          </cell>
        </row>
        <row r="47">
          <cell r="B47" t="str">
            <v xml:space="preserve">   Valor Recebido pela Alienação de Imobilizado</v>
          </cell>
          <cell r="C47">
            <v>-958</v>
          </cell>
          <cell r="D47">
            <v>53668</v>
          </cell>
          <cell r="E47">
            <v>4551</v>
          </cell>
        </row>
        <row r="48">
          <cell r="B48" t="str">
            <v xml:space="preserve">   Compras / Pagamentos de Ativos Intangíveis</v>
          </cell>
          <cell r="C48">
            <v>397257</v>
          </cell>
          <cell r="D48">
            <v>0</v>
          </cell>
          <cell r="E48">
            <v>6751</v>
          </cell>
        </row>
        <row r="49">
          <cell r="B49" t="str">
            <v xml:space="preserve">     Dividendos Recebidos</v>
          </cell>
          <cell r="C49">
            <v>4215</v>
          </cell>
          <cell r="D49">
            <v>3160</v>
          </cell>
          <cell r="E49">
            <v>2819</v>
          </cell>
        </row>
        <row r="50">
          <cell r="B50" t="str">
            <v xml:space="preserve">     Compras de Software</v>
          </cell>
          <cell r="C50">
            <v>-7865</v>
          </cell>
          <cell r="D50">
            <v>-4384</v>
          </cell>
          <cell r="E50">
            <v>-5439</v>
          </cell>
        </row>
        <row r="51">
          <cell r="C51">
            <v>397257</v>
          </cell>
          <cell r="E51">
            <v>6751</v>
          </cell>
        </row>
        <row r="52">
          <cell r="B52" t="str">
            <v>Caixa Líquido Aplicado nas Atividades de Investimentos</v>
          </cell>
          <cell r="C52">
            <v>397031</v>
          </cell>
          <cell r="D52">
            <v>-1986939</v>
          </cell>
          <cell r="E52">
            <v>-654243</v>
          </cell>
        </row>
        <row r="53">
          <cell r="C53">
            <v>397257</v>
          </cell>
          <cell r="E53">
            <v>6751</v>
          </cell>
        </row>
        <row r="54">
          <cell r="B54" t="str">
            <v>Fluxos de Caixa das Atividades de Financiamentos</v>
          </cell>
        </row>
        <row r="55">
          <cell r="B55" t="str">
            <v xml:space="preserve">   Pagamentos de Empréstimos, Financiamentos e Debêntures</v>
          </cell>
          <cell r="C55">
            <v>-1913</v>
          </cell>
          <cell r="D55">
            <v>-1923</v>
          </cell>
          <cell r="E55">
            <v>-1074</v>
          </cell>
        </row>
        <row r="56">
          <cell r="B56" t="str">
            <v xml:space="preserve">   Liquidação de Operações de Swap</v>
          </cell>
          <cell r="C56">
            <v>0</v>
          </cell>
          <cell r="D56">
            <v>0</v>
          </cell>
          <cell r="E56">
            <v>-143720</v>
          </cell>
        </row>
        <row r="57">
          <cell r="B57" t="str">
            <v xml:space="preserve">   Dividendos e Juros sobre Capital Próprio</v>
          </cell>
          <cell r="C57">
            <v>75</v>
          </cell>
          <cell r="D57">
            <v>-320640</v>
          </cell>
          <cell r="E57">
            <v>0</v>
          </cell>
        </row>
        <row r="58">
          <cell r="B58" t="str">
            <v>Caixa Líquido Proveniente das (Aplicado nas) Atividades de Financiamentos</v>
          </cell>
          <cell r="C58">
            <v>-1838</v>
          </cell>
          <cell r="D58">
            <v>-322563</v>
          </cell>
          <cell r="E58">
            <v>-144794</v>
          </cell>
        </row>
        <row r="60">
          <cell r="B60" t="str">
            <v>Variação Cambial Sobre Caixa e Equivalentes de Caixa</v>
          </cell>
          <cell r="C60">
            <v>22375</v>
          </cell>
          <cell r="D60">
            <v>-12150</v>
          </cell>
          <cell r="E60">
            <v>7304</v>
          </cell>
        </row>
        <row r="62">
          <cell r="B62" t="str">
            <v>Aumento (redução) Líquido de Caixa e Equivalentes de Caixa</v>
          </cell>
          <cell r="C62">
            <v>1938739</v>
          </cell>
          <cell r="D62">
            <v>-256374</v>
          </cell>
          <cell r="E62">
            <v>745321</v>
          </cell>
        </row>
        <row r="64">
          <cell r="B64" t="str">
            <v xml:space="preserve">   Caixa e Equivalentes de Caixa no Início do Exercício</v>
          </cell>
          <cell r="C64">
            <v>3748010</v>
          </cell>
          <cell r="D64">
            <v>4004384</v>
          </cell>
          <cell r="E64">
            <v>1678753</v>
          </cell>
        </row>
        <row r="65">
          <cell r="B65" t="str">
            <v xml:space="preserve">   Caixa e Equivalentes de Caixa no Final do Exercício</v>
          </cell>
          <cell r="C65">
            <v>5686749</v>
          </cell>
          <cell r="D65">
            <v>3748010</v>
          </cell>
          <cell r="E65">
            <v>2424074</v>
          </cell>
        </row>
        <row r="66">
          <cell r="C66">
            <v>397257</v>
          </cell>
          <cell r="E66">
            <v>6751</v>
          </cell>
        </row>
        <row r="67">
          <cell r="B67" t="str">
            <v>CONCILIAÇÃO COM A LINHA DE DISPONIBILIDADES NO BALANÇO PATRIMONIAL</v>
          </cell>
        </row>
        <row r="68">
          <cell r="B68" t="str">
            <v>Saldo Inicial Caixa</v>
          </cell>
          <cell r="C68">
            <v>3748010</v>
          </cell>
          <cell r="D68">
            <v>4004384</v>
          </cell>
          <cell r="E68">
            <v>1678753</v>
          </cell>
        </row>
        <row r="69">
          <cell r="B69" t="str">
            <v>Saldo Inicial de Títulos e Valores Mobiliários</v>
          </cell>
          <cell r="C69">
            <v>2305303</v>
          </cell>
          <cell r="D69">
            <v>596719</v>
          </cell>
          <cell r="E69">
            <v>827461</v>
          </cell>
        </row>
        <row r="70">
          <cell r="B70" t="str">
            <v>Disponibilidades no Início do Exercício</v>
          </cell>
          <cell r="C70">
            <v>6053313</v>
          </cell>
          <cell r="D70">
            <v>4601103</v>
          </cell>
          <cell r="E70">
            <v>2506214</v>
          </cell>
        </row>
        <row r="71">
          <cell r="B71" t="str">
            <v>Aumento (redução) Líquido de Caixa e Equivalentes de Caixa</v>
          </cell>
          <cell r="C71">
            <v>1938739</v>
          </cell>
          <cell r="D71">
            <v>-256374</v>
          </cell>
          <cell r="E71">
            <v>745321</v>
          </cell>
        </row>
        <row r="72">
          <cell r="B72" t="str">
            <v>Aumento (redução) Líquido de Títulos e valores mobiliários</v>
          </cell>
          <cell r="C72">
            <v>-698550</v>
          </cell>
          <cell r="D72">
            <v>1708584</v>
          </cell>
          <cell r="E72">
            <v>482767</v>
          </cell>
        </row>
        <row r="74">
          <cell r="B74" t="str">
            <v>Saldo Final Caixa</v>
          </cell>
          <cell r="C74">
            <v>5686749</v>
          </cell>
          <cell r="D74">
            <v>3748010</v>
          </cell>
          <cell r="E74">
            <v>2424074</v>
          </cell>
        </row>
        <row r="75">
          <cell r="B75" t="str">
            <v>Saldo Final de Títulos e Valores Mobiliários</v>
          </cell>
          <cell r="C75">
            <v>1606753</v>
          </cell>
          <cell r="D75">
            <v>2305303</v>
          </cell>
          <cell r="E75">
            <v>1310228</v>
          </cell>
        </row>
        <row r="76">
          <cell r="B76" t="str">
            <v>Disponibilidades no Final do Exercício</v>
          </cell>
          <cell r="C76">
            <v>7293502</v>
          </cell>
          <cell r="D76">
            <v>6053313</v>
          </cell>
          <cell r="E76">
            <v>3734302</v>
          </cell>
        </row>
      </sheetData>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l (Simplificada)"/>
      <sheetName val="Demons. EBITDA"/>
      <sheetName val="Histórico EBITDA Cons."/>
      <sheetName val="Result. Financeiro"/>
      <sheetName val="DRE Consol  (LL)"/>
      <sheetName val="Capital de Giro"/>
      <sheetName val="CAPEX"/>
      <sheetName val="Fluxo de Caixa"/>
      <sheetName val="Divida Bridge (2)"/>
      <sheetName val="Emprést. Financia p. Index _"/>
      <sheetName val="Gráfico R.I"/>
      <sheetName val="Unidades"/>
      <sheetName val="Unidades Negócios"/>
      <sheetName val="Prod. Minério "/>
      <sheetName val="Tipo Minério"/>
      <sheetName val="Prod.aço bruto"/>
      <sheetName val="Vendas Siderurgia (MIxME)"/>
      <sheetName val="Exportações"/>
      <sheetName val="Vendas por segmento (opção 2)"/>
      <sheetName val="Exportações-Principais Mercados"/>
      <sheetName val="Distrib de Vendas Produto"/>
      <sheetName val="Agenda ESG_ (3)"/>
      <sheetName val="Agenda ESG_ (5)"/>
      <sheetName val="Agenda ESG_ (azul)"/>
      <sheetName val="Agenda ESG_ (4)"/>
      <sheetName val="Desempenho na BM&amp;FBOVESPA"/>
      <sheetName val="Desempenho na BM&amp;FBOVESPA (2)"/>
      <sheetName val="Dados Tele e Área"/>
      <sheetName val="Ativo"/>
      <sheetName val="Passivo"/>
      <sheetName val="DRE Trim Consol "/>
      <sheetName val="DRE Acum Consolidada (2)"/>
      <sheetName val="FlCX Trim_RI (final)"/>
      <sheetName val="FlCX Acum_RI (final)"/>
      <sheetName val="Efeitos Extraord. Ebitda"/>
      <sheetName val="Indicadores"/>
      <sheetName val="Caixa "/>
      <sheetName val="Resumo 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D8" t="str">
            <v>Caixa (Moeda Local)</v>
          </cell>
        </row>
      </sheetData>
      <sheetData sheetId="14"/>
      <sheetData sheetId="15"/>
      <sheetData sheetId="16">
        <row r="5">
          <cell r="C5">
            <v>1610.3245999999999</v>
          </cell>
        </row>
        <row r="6">
          <cell r="C6">
            <v>1000.4079</v>
          </cell>
        </row>
        <row r="7">
          <cell r="C7">
            <v>462.68704999999983</v>
          </cell>
        </row>
        <row r="8">
          <cell r="C8">
            <v>147.22964999999999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e Vendas "/>
      <sheetName val="Prodution and Sold"/>
      <sheetName val="Memoria de Cálculo 21"/>
      <sheetName val="Memoria de Cálculo 22"/>
    </sheetNames>
    <sheetDataSet>
      <sheetData sheetId="0" refreshError="1">
        <row r="24">
          <cell r="O24">
            <v>421.47380999999996</v>
          </cell>
        </row>
        <row r="25">
          <cell r="O25">
            <v>22.208489999999998</v>
          </cell>
        </row>
        <row r="26">
          <cell r="O26">
            <v>19.004750000000001</v>
          </cell>
        </row>
        <row r="30">
          <cell r="O30">
            <v>147.22964999999994</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ção e Vendas "/>
      <sheetName val="Prodution and Sold"/>
      <sheetName val="Vendas e reconhecer por mercado"/>
      <sheetName val="Memoria de Cálculo 23"/>
    </sheetNames>
    <sheetDataSet>
      <sheetData sheetId="0">
        <row r="24">
          <cell r="O24">
            <v>426.96315000000004</v>
          </cell>
        </row>
        <row r="25">
          <cell r="O25">
            <v>36.038390000000014</v>
          </cell>
        </row>
        <row r="26">
          <cell r="O26">
            <v>34.182400000000001</v>
          </cell>
        </row>
        <row r="29">
          <cell r="O29">
            <v>2.0858500000000002</v>
          </cell>
        </row>
        <row r="30">
          <cell r="O30">
            <v>141.4174600000002</v>
          </cell>
        </row>
        <row r="31">
          <cell r="O31">
            <v>3.9904999999999995</v>
          </cell>
        </row>
        <row r="51">
          <cell r="O51">
            <v>-1.3703500000000002</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RES CONSOL"/>
    </sheetNames>
    <sheetDataSet>
      <sheetData sheetId="0">
        <row r="13">
          <cell r="AO13">
            <v>3577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Destaques Cons."/>
      <sheetName val="DRE Trim Consol  (simplificada)"/>
      <sheetName val="DRE Acum Consol  (simplific)"/>
      <sheetName val="Demons. EBITDA"/>
      <sheetName val="Histórico EBITDA Cons."/>
      <sheetName val="Result. Financeiro (2)"/>
      <sheetName val="Capital de Giro"/>
      <sheetName val="DRE Consol  (LL)"/>
      <sheetName val="Capital de Giro (vol)"/>
      <sheetName val="CAPEX"/>
      <sheetName val="Fluxo de Caixa"/>
      <sheetName val="Dívida Hist"/>
      <sheetName val="Divida Bridge (2)"/>
      <sheetName val="Emprést. Financia p. Index _"/>
      <sheetName val="Gráfico R.I"/>
      <sheetName val="Dívidas"/>
      <sheetName val="Unidades Negócios"/>
      <sheetName val="Prod. Minério "/>
      <sheetName val="Tipo Minério"/>
      <sheetName val="Prod.aço bruto (2)"/>
      <sheetName val="Vendas por segmento (opção 2)"/>
      <sheetName val="Exportações"/>
      <sheetName val="Bridge CPV"/>
      <sheetName val="Bridge EBITDA Sid"/>
      <sheetName val="Exportações-Principais Mercados"/>
      <sheetName val="Distrib de Vendas Produto"/>
      <sheetName val="Agenda ESG_ (4)"/>
      <sheetName val="Desempenho na BM&amp;FBOVESPA"/>
      <sheetName val="Desempenho na BM&amp;FBOVESPA (2)"/>
      <sheetName val="Dados Tele e Área"/>
      <sheetName val="Ativo"/>
      <sheetName val="Passivo"/>
      <sheetName val="DRE Trim Consol "/>
      <sheetName val="DRE Acum Consol"/>
      <sheetName val="FlCX Trim_RI (final) (2)"/>
      <sheetName val="FlCX Acum_RI (final)"/>
      <sheetName val="CONSOLID_result_JUN_2021 UNIGAL"/>
      <sheetName val="CONSOLID_outras_operacionais_JU"/>
      <sheetName val="CONSOLID FINANCEIRA_SET2022"/>
      <sheetName val="CONSOLID_DIVIDA_JUN_2021 UNIGAL"/>
      <sheetName val="Segmentação_4T21 - Variação"/>
      <sheetName val="MUSA CONSOLID VOLUME_JUN2022"/>
      <sheetName val="CONSOLID VOLUMES_JUN2022"/>
      <sheetName val="CONSOLID BALANÇO_JUN2022"/>
      <sheetName val="CONSOLID DESPESAS VENDAS E ADMI"/>
      <sheetName val="Musa - Base de Dados 2T22"/>
      <sheetName val="Efeitos Extraord. Ebit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Cash (Local Currency)</v>
          </cell>
        </row>
        <row r="8">
          <cell r="D8" t="str">
            <v>Caixa (Moeda Local)</v>
          </cell>
          <cell r="E8" t="str">
            <v>Caixa (Moeda Estrangeira)</v>
          </cell>
          <cell r="F8" t="str">
            <v>Dívida (Moeda Local)</v>
          </cell>
          <cell r="G8" t="str">
            <v>Dívida (Moeda Estrangeira)</v>
          </cell>
        </row>
        <row r="9">
          <cell r="B9" t="str">
            <v>Caixa</v>
          </cell>
          <cell r="D9">
            <v>4177</v>
          </cell>
          <cell r="E9">
            <v>895</v>
          </cell>
          <cell r="F9"/>
          <cell r="G9"/>
          <cell r="H9">
            <v>5072</v>
          </cell>
        </row>
        <row r="10">
          <cell r="B10">
            <v>2023</v>
          </cell>
          <cell r="F10">
            <v>7.6980000000000004</v>
          </cell>
          <cell r="G10">
            <v>0</v>
          </cell>
          <cell r="H10">
            <v>7.6980000000000004</v>
          </cell>
        </row>
        <row r="11">
          <cell r="B11">
            <v>2024</v>
          </cell>
          <cell r="F11">
            <v>1.716</v>
          </cell>
          <cell r="G11">
            <v>0</v>
          </cell>
          <cell r="H11">
            <v>1.716</v>
          </cell>
        </row>
        <row r="12">
          <cell r="B12">
            <v>2025</v>
          </cell>
          <cell r="F12">
            <v>0</v>
          </cell>
          <cell r="G12">
            <v>0</v>
          </cell>
          <cell r="H12">
            <v>0</v>
          </cell>
        </row>
        <row r="13">
          <cell r="B13">
            <v>2026</v>
          </cell>
          <cell r="F13">
            <v>0</v>
          </cell>
          <cell r="G13">
            <v>3873.047</v>
          </cell>
          <cell r="H13">
            <v>3873.047</v>
          </cell>
        </row>
        <row r="14">
          <cell r="B14">
            <v>2027</v>
          </cell>
          <cell r="F14">
            <v>460.19</v>
          </cell>
          <cell r="G14"/>
          <cell r="H14">
            <v>460.19</v>
          </cell>
        </row>
        <row r="15">
          <cell r="B15">
            <v>2028</v>
          </cell>
          <cell r="F15">
            <v>683.03</v>
          </cell>
          <cell r="G15"/>
          <cell r="H15">
            <v>683.03</v>
          </cell>
        </row>
        <row r="16">
          <cell r="B16">
            <v>2029</v>
          </cell>
          <cell r="F16">
            <v>683.03</v>
          </cell>
          <cell r="G16"/>
          <cell r="H16">
            <v>683.03</v>
          </cell>
        </row>
        <row r="17">
          <cell r="B17">
            <v>2030</v>
          </cell>
          <cell r="F17">
            <v>124.583</v>
          </cell>
          <cell r="G17"/>
          <cell r="H17">
            <v>124.583</v>
          </cell>
        </row>
        <row r="18">
          <cell r="B18">
            <v>2031</v>
          </cell>
          <cell r="F18">
            <v>124.583</v>
          </cell>
          <cell r="G18"/>
          <cell r="H18">
            <v>124.583</v>
          </cell>
        </row>
        <row r="19">
          <cell r="B19">
            <v>2032</v>
          </cell>
          <cell r="F19">
            <v>124.583</v>
          </cell>
          <cell r="G19"/>
          <cell r="H19">
            <v>124.583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3" Type="http://schemas.openxmlformats.org/officeDocument/2006/relationships/hyperlink" Target="http://v4-usiminas.infoinvest.com.br/ptb/6092/84540.pdf" TargetMode="External"/><Relationship Id="rId7" Type="http://schemas.openxmlformats.org/officeDocument/2006/relationships/hyperlink" Target="http://ri.usiminas.com/resultados-e-divulgacoes/formulario-de-referencia/" TargetMode="External"/><Relationship Id="rId12" Type="http://schemas.openxmlformats.org/officeDocument/2006/relationships/drawing" Target="../drawings/drawing2.xml"/><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api.mziq.com/mzfilemanager/v2/d/5dcf459c-823d-4c02-ac4b-a2aa54a63486/dc422c4c-abf0-741e-54b5-f4d777f10ea3?origin=1" TargetMode="External"/><Relationship Id="rId11" Type="http://schemas.openxmlformats.org/officeDocument/2006/relationships/printerSettings" Target="../printerSettings/printerSettings2.bin"/><Relationship Id="rId5" Type="http://schemas.openxmlformats.org/officeDocument/2006/relationships/hyperlink" Target="http://ri.usiminas.com/ptb/5855/652762.pdf" TargetMode="External"/><Relationship Id="rId10" Type="http://schemas.openxmlformats.org/officeDocument/2006/relationships/hyperlink" Target="https://www.youtube.com/watch?v=mdLwjRpZucM"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ri.usiminas.com/governanca-corporativa/acordo-de-acionistas-estatutos-e-politicas/"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opLeftCell="A7" zoomScale="60" zoomScaleNormal="60" workbookViewId="0">
      <selection activeCell="U17" sqref="U17"/>
    </sheetView>
  </sheetViews>
  <sheetFormatPr defaultRowHeight="15"/>
  <cols>
    <col min="1" max="1" width="2" customWidth="1"/>
    <col min="16" max="16" width="7" customWidth="1"/>
  </cols>
  <sheetData>
    <row r="17" spans="14:16" ht="19.5">
      <c r="N17" s="377"/>
      <c r="O17" s="377"/>
      <c r="P17" s="377"/>
    </row>
    <row r="20" spans="14:16">
      <c r="N20" s="378"/>
      <c r="O20" s="378"/>
      <c r="P20" s="378"/>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A20"/>
  <sheetViews>
    <sheetView showGridLines="0" zoomScale="50" zoomScaleNormal="50" workbookViewId="0">
      <pane xSplit="2" ySplit="2" topLeftCell="N3" activePane="bottomRight" state="frozen"/>
      <selection activeCell="AH23" sqref="AH23"/>
      <selection pane="topRight" activeCell="AH23" sqref="AH23"/>
      <selection pane="bottomLeft" activeCell="AH23" sqref="AH23"/>
      <selection pane="bottomRight" activeCell="AA5" sqref="AA5"/>
    </sheetView>
  </sheetViews>
  <sheetFormatPr defaultRowHeight="15"/>
  <cols>
    <col min="1" max="1" width="9.140625" customWidth="1"/>
    <col min="2" max="2" width="62.85546875" bestFit="1" customWidth="1"/>
    <col min="3" max="17" width="12.140625" customWidth="1"/>
    <col min="18" max="20" width="9.85546875" bestFit="1" customWidth="1"/>
    <col min="21" max="21" width="9.7109375" bestFit="1" customWidth="1"/>
    <col min="22" max="27" width="9.7109375" customWidth="1"/>
  </cols>
  <sheetData>
    <row r="1" spans="2:27" ht="59.25" customHeight="1"/>
    <row r="2" spans="2:27" ht="21">
      <c r="B2" s="32" t="s">
        <v>36</v>
      </c>
      <c r="C2" s="22" t="s">
        <v>37</v>
      </c>
      <c r="D2" s="22" t="s">
        <v>38</v>
      </c>
      <c r="E2" s="22" t="s">
        <v>39</v>
      </c>
      <c r="F2" s="22" t="s">
        <v>40</v>
      </c>
      <c r="G2" s="22" t="s">
        <v>41</v>
      </c>
      <c r="H2" s="33" t="s">
        <v>42</v>
      </c>
      <c r="I2" s="33" t="s">
        <v>43</v>
      </c>
      <c r="J2" s="33" t="s">
        <v>215</v>
      </c>
      <c r="K2" s="33" t="s">
        <v>240</v>
      </c>
      <c r="L2" s="33" t="s">
        <v>251</v>
      </c>
      <c r="M2" s="33" t="s">
        <v>263</v>
      </c>
      <c r="N2" s="33" t="s">
        <v>270</v>
      </c>
      <c r="O2" s="33" t="s">
        <v>283</v>
      </c>
      <c r="P2" s="33" t="s">
        <v>305</v>
      </c>
      <c r="Q2" s="33" t="s">
        <v>313</v>
      </c>
      <c r="R2" s="33" t="s">
        <v>323</v>
      </c>
      <c r="S2" s="33" t="s">
        <v>331</v>
      </c>
      <c r="T2" s="33" t="s">
        <v>334</v>
      </c>
      <c r="U2" s="33" t="s">
        <v>348</v>
      </c>
      <c r="V2" s="33" t="s">
        <v>361</v>
      </c>
      <c r="W2" s="33" t="s">
        <v>362</v>
      </c>
      <c r="X2" s="33" t="s">
        <v>411</v>
      </c>
      <c r="Y2" s="33" t="s">
        <v>413</v>
      </c>
      <c r="Z2" s="33" t="s">
        <v>419</v>
      </c>
      <c r="AA2" s="33" t="s">
        <v>421</v>
      </c>
    </row>
    <row r="3" spans="2:27" ht="21">
      <c r="B3" s="34" t="s">
        <v>35</v>
      </c>
      <c r="C3" s="35">
        <v>681</v>
      </c>
      <c r="D3" s="35">
        <v>689</v>
      </c>
      <c r="E3" s="35">
        <v>1053</v>
      </c>
      <c r="F3" s="35">
        <v>1539</v>
      </c>
      <c r="G3" s="35">
        <v>1361</v>
      </c>
      <c r="H3" s="36">
        <v>1338</v>
      </c>
      <c r="I3" s="36">
        <v>1507</v>
      </c>
      <c r="J3" s="36">
        <v>1439</v>
      </c>
      <c r="K3" s="237">
        <v>1337</v>
      </c>
      <c r="L3" s="237">
        <v>1748</v>
      </c>
      <c r="M3" s="237">
        <v>2260</v>
      </c>
      <c r="N3" s="237">
        <v>2044</v>
      </c>
      <c r="O3" s="237">
        <v>2159</v>
      </c>
      <c r="P3" s="237">
        <v>2015</v>
      </c>
      <c r="Q3" s="237">
        <v>2319</v>
      </c>
      <c r="R3" s="237">
        <v>2242</v>
      </c>
      <c r="S3" s="237">
        <v>1983</v>
      </c>
      <c r="T3" s="237">
        <v>2179</v>
      </c>
      <c r="U3" s="237">
        <v>2517.3144519999996</v>
      </c>
      <c r="V3" s="237">
        <v>2460</v>
      </c>
      <c r="W3" s="237">
        <v>1731.835857</v>
      </c>
      <c r="X3" s="237">
        <v>2342.3346619999998</v>
      </c>
      <c r="Y3" s="237">
        <v>2512.9251469999999</v>
      </c>
      <c r="Z3" s="237">
        <v>2316.9578350000002</v>
      </c>
      <c r="AA3" s="237">
        <v>1820.867831</v>
      </c>
    </row>
    <row r="4" spans="2:27" ht="21">
      <c r="B4" s="37" t="s">
        <v>46</v>
      </c>
      <c r="C4" s="35">
        <v>28</v>
      </c>
      <c r="D4" s="35">
        <v>33</v>
      </c>
      <c r="E4" s="35">
        <v>53.364000000000004</v>
      </c>
      <c r="F4" s="35">
        <v>179</v>
      </c>
      <c r="G4" s="35">
        <v>167</v>
      </c>
      <c r="H4" s="36">
        <v>136</v>
      </c>
      <c r="I4" s="36">
        <v>221</v>
      </c>
      <c r="J4" s="36">
        <v>235</v>
      </c>
      <c r="K4" s="237">
        <v>416</v>
      </c>
      <c r="L4" s="237">
        <v>540</v>
      </c>
      <c r="M4" s="237">
        <v>600</v>
      </c>
      <c r="N4" s="237">
        <v>244</v>
      </c>
      <c r="O4" s="237">
        <v>173</v>
      </c>
      <c r="P4" s="237">
        <v>124</v>
      </c>
      <c r="Q4" s="237">
        <v>197</v>
      </c>
      <c r="R4" s="237">
        <v>111</v>
      </c>
      <c r="S4" s="237">
        <v>62</v>
      </c>
      <c r="T4" s="237">
        <v>73</v>
      </c>
      <c r="U4" s="237">
        <f>'[1]Prod. Minério '!$C$8</f>
        <v>134.45587999999998</v>
      </c>
      <c r="V4" s="237">
        <v>169.39008999999987</v>
      </c>
      <c r="W4" s="237">
        <f>'[2]Prod. Minério '!$C$8</f>
        <v>147.22964999999999</v>
      </c>
      <c r="X4" s="237">
        <v>180.41956999999999</v>
      </c>
      <c r="Y4" s="237">
        <v>110.20659999999998</v>
      </c>
      <c r="Z4" s="237">
        <v>122.10127000000004</v>
      </c>
      <c r="AA4" s="237">
        <v>147.63405000000006</v>
      </c>
    </row>
    <row r="5" spans="2:27" ht="21">
      <c r="B5" s="37" t="s">
        <v>47</v>
      </c>
      <c r="C5" s="35">
        <v>0</v>
      </c>
      <c r="D5" s="35">
        <v>0</v>
      </c>
      <c r="E5" s="35">
        <v>174.6</v>
      </c>
      <c r="F5" s="35">
        <v>716</v>
      </c>
      <c r="G5" s="35">
        <v>1084</v>
      </c>
      <c r="H5" s="36">
        <v>681</v>
      </c>
      <c r="I5" s="36">
        <v>839</v>
      </c>
      <c r="J5" s="36">
        <v>670</v>
      </c>
      <c r="K5" s="237">
        <v>868</v>
      </c>
      <c r="L5" s="237">
        <v>683</v>
      </c>
      <c r="M5" s="237">
        <v>1373</v>
      </c>
      <c r="N5" s="237">
        <v>1707</v>
      </c>
      <c r="O5" s="237">
        <v>1436</v>
      </c>
      <c r="P5" s="237">
        <v>1346</v>
      </c>
      <c r="Q5" s="237">
        <v>1558</v>
      </c>
      <c r="R5" s="237">
        <v>1576</v>
      </c>
      <c r="S5" s="237">
        <v>1530</v>
      </c>
      <c r="T5" s="237">
        <v>1661</v>
      </c>
      <c r="U5" s="237">
        <f>'[1]Prod. Minério '!$C$6</f>
        <v>1752.7654499999999</v>
      </c>
      <c r="V5" s="237">
        <v>1841.1334299999999</v>
      </c>
      <c r="W5" s="237">
        <f>'[2]Prod. Minério '!$C$6</f>
        <v>1000.4079</v>
      </c>
      <c r="X5" s="237">
        <v>1614.1832499999998</v>
      </c>
      <c r="Y5" s="237">
        <v>1542.69848</v>
      </c>
      <c r="Z5" s="237">
        <v>1665.0463</v>
      </c>
      <c r="AA5" s="237">
        <v>1238.33609</v>
      </c>
    </row>
    <row r="6" spans="2:27" ht="21">
      <c r="B6" s="37" t="s">
        <v>48</v>
      </c>
      <c r="C6" s="35">
        <v>615</v>
      </c>
      <c r="D6" s="35">
        <v>596</v>
      </c>
      <c r="E6" s="35">
        <v>676</v>
      </c>
      <c r="F6" s="35">
        <v>605.5</v>
      </c>
      <c r="G6" s="35">
        <v>555</v>
      </c>
      <c r="H6" s="36">
        <v>569</v>
      </c>
      <c r="I6" s="36">
        <v>708</v>
      </c>
      <c r="J6" s="36">
        <v>609</v>
      </c>
      <c r="K6" s="237">
        <v>612</v>
      </c>
      <c r="L6" s="237">
        <v>549</v>
      </c>
      <c r="M6" s="237">
        <v>480</v>
      </c>
      <c r="N6" s="237">
        <v>544</v>
      </c>
      <c r="O6" s="237">
        <v>604</v>
      </c>
      <c r="P6" s="237">
        <v>432</v>
      </c>
      <c r="Q6" s="237">
        <v>538</v>
      </c>
      <c r="R6" s="237">
        <v>587</v>
      </c>
      <c r="S6" s="237">
        <v>357</v>
      </c>
      <c r="T6" s="237">
        <v>320</v>
      </c>
      <c r="U6" s="237">
        <f>'[1]Prod. Minério '!$C$7</f>
        <v>530.17683</v>
      </c>
      <c r="V6" s="237">
        <v>591.89513000000011</v>
      </c>
      <c r="W6" s="237">
        <f>'[2]Prod. Minério '!$C$7</f>
        <v>462.68704999999983</v>
      </c>
      <c r="X6" s="237">
        <v>594.71524999999997</v>
      </c>
      <c r="Y6" s="237">
        <v>588.64615000000003</v>
      </c>
      <c r="Z6" s="237">
        <v>612.7829099999999</v>
      </c>
      <c r="AA6" s="237">
        <v>497.18394000000012</v>
      </c>
    </row>
    <row r="7" spans="2:27" ht="21">
      <c r="B7" s="37" t="s">
        <v>49</v>
      </c>
      <c r="C7" s="35">
        <v>643</v>
      </c>
      <c r="D7" s="35">
        <v>629</v>
      </c>
      <c r="E7" s="35">
        <v>904</v>
      </c>
      <c r="F7" s="35">
        <v>1500</v>
      </c>
      <c r="G7" s="35">
        <v>1806</v>
      </c>
      <c r="H7" s="36">
        <v>1386</v>
      </c>
      <c r="I7" s="36">
        <v>1768</v>
      </c>
      <c r="J7" s="36">
        <v>1514</v>
      </c>
      <c r="K7" s="237">
        <v>1896</v>
      </c>
      <c r="L7" s="237">
        <v>1772</v>
      </c>
      <c r="M7" s="237">
        <v>2453</v>
      </c>
      <c r="N7" s="237">
        <v>2495</v>
      </c>
      <c r="O7" s="237">
        <v>2213</v>
      </c>
      <c r="P7" s="237">
        <v>1902</v>
      </c>
      <c r="Q7" s="237">
        <v>2293</v>
      </c>
      <c r="R7" s="237">
        <v>2275</v>
      </c>
      <c r="S7" s="237">
        <v>1949</v>
      </c>
      <c r="T7" s="237">
        <v>2054</v>
      </c>
      <c r="U7" s="237">
        <f>'[1]Prod. Minério '!$C$5</f>
        <v>2417.3981599999997</v>
      </c>
      <c r="V7" s="237">
        <v>2602.4186499999996</v>
      </c>
      <c r="W7" s="237">
        <f>'[2]Prod. Minério '!$C$5</f>
        <v>1610.3245999999999</v>
      </c>
      <c r="X7" s="237">
        <v>2389.3180699999998</v>
      </c>
      <c r="Y7" s="237">
        <v>2241.55123</v>
      </c>
      <c r="Z7" s="237">
        <v>2399.93048</v>
      </c>
      <c r="AA7" s="237">
        <v>1883.1540800000002</v>
      </c>
    </row>
    <row r="8" spans="2:27" ht="21">
      <c r="B8" s="34" t="s">
        <v>346</v>
      </c>
      <c r="C8" s="35"/>
      <c r="D8" s="35"/>
      <c r="E8" s="35"/>
      <c r="F8" s="35"/>
      <c r="G8" s="35"/>
      <c r="H8" s="36"/>
      <c r="I8" s="36"/>
      <c r="J8" s="36"/>
      <c r="K8" s="237"/>
      <c r="L8" s="237"/>
      <c r="M8" s="237"/>
      <c r="N8" s="325">
        <v>0.59</v>
      </c>
      <c r="O8" s="325">
        <v>0.72</v>
      </c>
      <c r="P8" s="325">
        <v>0.79</v>
      </c>
      <c r="Q8" s="325">
        <v>0.89</v>
      </c>
      <c r="R8" s="325">
        <v>0.76</v>
      </c>
      <c r="S8" s="325">
        <v>0.66</v>
      </c>
      <c r="T8" s="325">
        <v>0.61</v>
      </c>
      <c r="U8" s="325">
        <v>0.57999999999999996</v>
      </c>
      <c r="V8" s="325">
        <v>0.46</v>
      </c>
      <c r="W8" s="325">
        <v>0.67</v>
      </c>
      <c r="X8" s="325">
        <v>0.94</v>
      </c>
      <c r="Y8" s="325">
        <v>0.77</v>
      </c>
      <c r="Z8" s="325">
        <v>0.62</v>
      </c>
      <c r="AA8" s="325">
        <v>0.54</v>
      </c>
    </row>
    <row r="9" spans="2:27" ht="21">
      <c r="B9" s="38" t="s">
        <v>347</v>
      </c>
      <c r="C9" s="39"/>
      <c r="D9" s="39"/>
      <c r="E9" s="39"/>
      <c r="F9" s="39"/>
      <c r="G9" s="39"/>
      <c r="H9" s="40"/>
      <c r="I9" s="40"/>
      <c r="J9" s="40"/>
      <c r="K9" s="238"/>
      <c r="L9" s="238"/>
      <c r="M9" s="238"/>
      <c r="N9" s="326">
        <f>1-N8</f>
        <v>0.41000000000000003</v>
      </c>
      <c r="O9" s="326">
        <f t="shared" ref="O9:T9" si="0">1-O8</f>
        <v>0.28000000000000003</v>
      </c>
      <c r="P9" s="326">
        <f t="shared" si="0"/>
        <v>0.20999999999999996</v>
      </c>
      <c r="Q9" s="326">
        <f t="shared" si="0"/>
        <v>0.10999999999999999</v>
      </c>
      <c r="R9" s="326">
        <f t="shared" si="0"/>
        <v>0.24</v>
      </c>
      <c r="S9" s="326">
        <f t="shared" si="0"/>
        <v>0.33999999999999997</v>
      </c>
      <c r="T9" s="326">
        <f t="shared" si="0"/>
        <v>0.39</v>
      </c>
      <c r="U9" s="326">
        <v>0.42</v>
      </c>
      <c r="V9" s="326">
        <v>0.54</v>
      </c>
      <c r="W9" s="326">
        <v>0.33</v>
      </c>
      <c r="X9" s="326">
        <v>0.06</v>
      </c>
      <c r="Y9" s="326">
        <v>0.23</v>
      </c>
      <c r="Z9" s="326">
        <v>0.38</v>
      </c>
      <c r="AA9" s="326">
        <v>0.46</v>
      </c>
    </row>
    <row r="11" spans="2:27" ht="21">
      <c r="B11" s="32" t="s">
        <v>264</v>
      </c>
      <c r="C11" s="22" t="s">
        <v>37</v>
      </c>
      <c r="D11" s="22" t="s">
        <v>38</v>
      </c>
      <c r="E11" s="22" t="s">
        <v>39</v>
      </c>
      <c r="F11" s="22" t="s">
        <v>40</v>
      </c>
      <c r="G11" s="22" t="s">
        <v>41</v>
      </c>
      <c r="H11" s="33" t="s">
        <v>42</v>
      </c>
      <c r="I11" s="33" t="s">
        <v>43</v>
      </c>
      <c r="J11" s="33" t="s">
        <v>215</v>
      </c>
      <c r="K11" s="33" t="s">
        <v>240</v>
      </c>
      <c r="L11" s="33" t="s">
        <v>251</v>
      </c>
      <c r="M11" s="33" t="s">
        <v>263</v>
      </c>
      <c r="N11" s="33" t="s">
        <v>270</v>
      </c>
      <c r="O11" s="33" t="s">
        <v>283</v>
      </c>
      <c r="P11" s="33" t="s">
        <v>305</v>
      </c>
      <c r="Q11" s="33" t="s">
        <v>313</v>
      </c>
      <c r="R11" s="33" t="s">
        <v>323</v>
      </c>
      <c r="S11" s="33" t="s">
        <v>331</v>
      </c>
      <c r="T11" s="33" t="s">
        <v>334</v>
      </c>
      <c r="U11" s="33" t="s">
        <v>348</v>
      </c>
      <c r="V11" s="33" t="s">
        <v>361</v>
      </c>
      <c r="W11" s="33" t="s">
        <v>362</v>
      </c>
      <c r="X11" s="33" t="s">
        <v>411</v>
      </c>
      <c r="Y11" s="33" t="s">
        <v>413</v>
      </c>
      <c r="Z11" s="33" t="s">
        <v>419</v>
      </c>
      <c r="AA11" s="33" t="s">
        <v>421</v>
      </c>
    </row>
    <row r="12" spans="2:27" ht="21">
      <c r="B12" s="34" t="s">
        <v>265</v>
      </c>
      <c r="C12" s="272">
        <v>61.8</v>
      </c>
      <c r="D12" s="272">
        <v>73.2</v>
      </c>
      <c r="E12" s="272">
        <v>60.2</v>
      </c>
      <c r="F12" s="272">
        <v>50.2</v>
      </c>
      <c r="G12" s="272">
        <v>58.1</v>
      </c>
      <c r="H12" s="272">
        <v>63.3</v>
      </c>
      <c r="I12" s="272">
        <v>60.2</v>
      </c>
      <c r="J12" s="272">
        <v>61.8</v>
      </c>
      <c r="K12" s="272">
        <v>77.2</v>
      </c>
      <c r="L12" s="272">
        <v>69.8</v>
      </c>
      <c r="M12" s="272">
        <v>67.3</v>
      </c>
      <c r="N12" s="272">
        <v>47</v>
      </c>
      <c r="O12" s="272">
        <v>62.8</v>
      </c>
      <c r="P12" s="272">
        <v>74.400000000000006</v>
      </c>
      <c r="Q12" s="272">
        <v>66.7</v>
      </c>
      <c r="R12" s="272">
        <v>72.7</v>
      </c>
      <c r="S12" s="272">
        <v>87.5</v>
      </c>
      <c r="T12" s="272">
        <v>89.7</v>
      </c>
      <c r="U12" s="272">
        <v>90.8</v>
      </c>
      <c r="V12" s="272">
        <v>92.605540080800154</v>
      </c>
      <c r="W12" s="272">
        <v>112.7</v>
      </c>
      <c r="X12" s="272">
        <v>103.89358527112127</v>
      </c>
      <c r="Y12" s="272">
        <v>105.62863372468</v>
      </c>
      <c r="Z12" s="272">
        <v>112.276415604257</v>
      </c>
      <c r="AA12" s="272">
        <v>129.85173185257901</v>
      </c>
    </row>
    <row r="13" spans="2:27" ht="21">
      <c r="B13" s="38" t="s">
        <v>266</v>
      </c>
      <c r="C13" s="273">
        <v>82</v>
      </c>
      <c r="D13" s="273">
        <v>84</v>
      </c>
      <c r="E13" s="273">
        <v>90.3</v>
      </c>
      <c r="F13" s="273">
        <v>102.2</v>
      </c>
      <c r="G13" s="273">
        <v>98.6</v>
      </c>
      <c r="H13" s="273">
        <v>101</v>
      </c>
      <c r="I13" s="273">
        <v>118</v>
      </c>
      <c r="J13" s="273">
        <v>145.4</v>
      </c>
      <c r="K13" s="273">
        <v>122.9</v>
      </c>
      <c r="L13" s="273">
        <v>119</v>
      </c>
      <c r="M13" s="273">
        <v>134</v>
      </c>
      <c r="N13" s="273">
        <v>148.5</v>
      </c>
      <c r="O13" s="273">
        <v>151.4</v>
      </c>
      <c r="P13" s="273">
        <v>171.4</v>
      </c>
      <c r="Q13" s="273">
        <v>185</v>
      </c>
      <c r="R13" s="273">
        <v>173.7</v>
      </c>
      <c r="S13" s="273">
        <v>187.8</v>
      </c>
      <c r="T13" s="273">
        <v>264.60000000000002</v>
      </c>
      <c r="U13" s="273">
        <v>234.2</v>
      </c>
      <c r="V13" s="273">
        <v>229.2</v>
      </c>
      <c r="W13" s="273">
        <v>253.9</v>
      </c>
      <c r="X13" s="273">
        <v>273.51813585036837</v>
      </c>
      <c r="Y13" s="273">
        <v>270.78687106339299</v>
      </c>
      <c r="Z13" s="373">
        <v>248.290108803485</v>
      </c>
      <c r="AA13" s="373">
        <v>261.79322426978501</v>
      </c>
    </row>
    <row r="14" spans="2:27">
      <c r="C14" s="31"/>
      <c r="D14" s="31"/>
      <c r="E14" s="31"/>
      <c r="F14" s="31"/>
      <c r="G14" s="31"/>
      <c r="H14" s="31"/>
      <c r="I14" s="31"/>
      <c r="J14" s="31"/>
      <c r="K14" s="31"/>
      <c r="L14" s="31"/>
      <c r="M14" s="31"/>
      <c r="N14" s="31"/>
      <c r="O14" s="31"/>
      <c r="P14" s="31"/>
      <c r="Q14" s="31"/>
    </row>
    <row r="15" spans="2:27">
      <c r="C15" s="31"/>
      <c r="D15" s="31"/>
      <c r="E15" s="31"/>
      <c r="F15" s="31"/>
      <c r="G15" s="31"/>
      <c r="H15" s="31"/>
      <c r="I15" s="31"/>
      <c r="J15" s="31"/>
      <c r="K15" s="31"/>
      <c r="L15" s="31"/>
      <c r="M15" s="31"/>
      <c r="N15" s="31"/>
      <c r="O15" s="31"/>
      <c r="P15" s="31"/>
      <c r="Q15" s="31"/>
    </row>
    <row r="20" spans="3:17">
      <c r="C20" s="31"/>
      <c r="D20" s="31"/>
      <c r="E20" s="31"/>
      <c r="F20" s="31"/>
      <c r="G20" s="31"/>
      <c r="H20" s="31"/>
      <c r="I20" s="31"/>
      <c r="J20" s="31"/>
      <c r="K20" s="31"/>
      <c r="L20" s="31"/>
      <c r="M20" s="31"/>
      <c r="N20" s="31"/>
      <c r="O20" s="31"/>
      <c r="P20" s="31"/>
      <c r="Q20" s="31"/>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B1:AT27"/>
  <sheetViews>
    <sheetView showGridLines="0" zoomScale="50" zoomScaleNormal="50" workbookViewId="0">
      <pane xSplit="2" ySplit="3" topLeftCell="E4" activePane="bottomRight" state="frozen"/>
      <selection activeCell="AH23" sqref="AH23"/>
      <selection pane="topRight" activeCell="AH23" sqref="AH23"/>
      <selection pane="bottomLeft" activeCell="AH23" sqref="AH23"/>
      <selection pane="bottomRight" activeCell="Q10" sqref="Q10"/>
    </sheetView>
  </sheetViews>
  <sheetFormatPr defaultColWidth="9.140625" defaultRowHeight="15"/>
  <cols>
    <col min="1" max="1" width="9.140625" customWidth="1"/>
    <col min="2" max="2" width="62.85546875" bestFit="1" customWidth="1"/>
    <col min="3" max="4" width="20.140625" customWidth="1"/>
    <col min="5" max="5" width="20.28515625" customWidth="1"/>
    <col min="6" max="6" width="20.140625" customWidth="1"/>
    <col min="7" max="7" width="20.28515625" customWidth="1"/>
    <col min="8" max="8" width="20.140625" customWidth="1"/>
    <col min="9" max="9" width="20.28515625" customWidth="1"/>
    <col min="10" max="10" width="20.140625" customWidth="1"/>
    <col min="11" max="15" width="20.28515625" customWidth="1"/>
    <col min="16" max="16" width="20.140625" bestFit="1" customWidth="1"/>
    <col min="17" max="17" width="28" bestFit="1" customWidth="1"/>
    <col min="18" max="18" width="20.140625" bestFit="1" customWidth="1"/>
    <col min="19" max="19" width="28" bestFit="1" customWidth="1"/>
    <col min="20" max="20" width="20.140625" bestFit="1" customWidth="1"/>
    <col min="21" max="21" width="28" bestFit="1" customWidth="1"/>
    <col min="22" max="22" width="20.140625" bestFit="1" customWidth="1"/>
    <col min="23" max="23" width="28" bestFit="1" customWidth="1"/>
    <col min="24" max="24" width="16.85546875" bestFit="1" customWidth="1"/>
    <col min="25" max="25" width="9.7109375" bestFit="1" customWidth="1"/>
    <col min="26" max="27" width="9.7109375" customWidth="1"/>
    <col min="32" max="32" width="25.42578125" customWidth="1"/>
    <col min="34" max="34" width="12.140625" bestFit="1" customWidth="1"/>
    <col min="37" max="37" width="16.85546875" bestFit="1" customWidth="1"/>
    <col min="38" max="38" width="12.42578125" bestFit="1" customWidth="1"/>
    <col min="39" max="39" width="16.85546875" bestFit="1" customWidth="1"/>
    <col min="40" max="40" width="12.140625" bestFit="1" customWidth="1"/>
    <col min="41" max="41" width="16.85546875" bestFit="1" customWidth="1"/>
    <col min="42" max="42" width="13.5703125" bestFit="1" customWidth="1"/>
    <col min="48" max="48" width="12.140625" bestFit="1" customWidth="1"/>
  </cols>
  <sheetData>
    <row r="1" spans="2:16" ht="59.25" customHeight="1"/>
    <row r="2" spans="2:16" ht="27" customHeight="1">
      <c r="C2" s="22" t="s">
        <v>283</v>
      </c>
      <c r="D2" s="22" t="s">
        <v>305</v>
      </c>
      <c r="E2" s="22" t="s">
        <v>313</v>
      </c>
      <c r="F2" s="22" t="s">
        <v>323</v>
      </c>
      <c r="G2" s="22" t="s">
        <v>331</v>
      </c>
      <c r="H2" s="22" t="s">
        <v>334</v>
      </c>
      <c r="I2" s="22" t="s">
        <v>348</v>
      </c>
      <c r="J2" s="22" t="s">
        <v>361</v>
      </c>
      <c r="K2" s="22" t="s">
        <v>362</v>
      </c>
      <c r="L2" s="22" t="s">
        <v>411</v>
      </c>
      <c r="M2" s="22" t="s">
        <v>413</v>
      </c>
      <c r="N2" s="22" t="s">
        <v>419</v>
      </c>
      <c r="O2" s="22" t="s">
        <v>421</v>
      </c>
    </row>
    <row r="3" spans="2:16" ht="21">
      <c r="B3" s="32" t="s">
        <v>408</v>
      </c>
      <c r="C3" s="22"/>
      <c r="D3" s="22"/>
      <c r="E3" s="22"/>
      <c r="F3" s="22"/>
      <c r="G3" s="22"/>
      <c r="H3" s="22"/>
      <c r="I3" s="22"/>
      <c r="J3" s="22"/>
      <c r="K3" s="22"/>
      <c r="L3" s="22"/>
      <c r="M3" s="22"/>
      <c r="N3" s="22"/>
      <c r="O3" s="22"/>
    </row>
    <row r="4" spans="2:16" ht="21">
      <c r="B4" s="34" t="s">
        <v>363</v>
      </c>
      <c r="C4" s="357">
        <v>533.09945999999979</v>
      </c>
      <c r="D4" s="357">
        <v>385.13325000000003</v>
      </c>
      <c r="E4" s="357">
        <v>478.29314999999997</v>
      </c>
      <c r="F4" s="358">
        <v>534.42455000000007</v>
      </c>
      <c r="G4" s="359">
        <v>341.68299999999999</v>
      </c>
      <c r="H4" s="357">
        <v>302.33080000000001</v>
      </c>
      <c r="I4" s="357">
        <v>446.84904999999998</v>
      </c>
      <c r="J4" s="358">
        <v>502.50339999999994</v>
      </c>
      <c r="K4" s="359">
        <f>'[3]Produção e Vendas '!$O$25+'[3]Produção e Vendas '!$O$30</f>
        <v>169.43813999999992</v>
      </c>
      <c r="L4" s="359">
        <v>271.57255999999984</v>
      </c>
      <c r="M4" s="359">
        <v>184.96674000000019</v>
      </c>
      <c r="N4" s="359">
        <v>182.7714499999999</v>
      </c>
      <c r="O4" s="359">
        <f>'[4]Produção e Vendas '!$O$25+'[4]Produção e Vendas '!$O$30+'[4]Produção e Vendas '!$O$31</f>
        <v>181.44635000000022</v>
      </c>
      <c r="P4" s="282"/>
    </row>
    <row r="5" spans="2:16" ht="21">
      <c r="B5" s="34" t="s">
        <v>364</v>
      </c>
      <c r="C5" s="357">
        <v>244.80103999999994</v>
      </c>
      <c r="D5" s="357">
        <v>170.68102999999991</v>
      </c>
      <c r="E5" s="357">
        <v>250.20565999999997</v>
      </c>
      <c r="F5" s="358">
        <v>164.29835000000003</v>
      </c>
      <c r="G5" s="359">
        <v>77.454420000000027</v>
      </c>
      <c r="H5" s="357">
        <v>90.824189999999959</v>
      </c>
      <c r="I5" s="357">
        <v>219.78366000000017</v>
      </c>
      <c r="J5" s="358">
        <v>240.32952000000017</v>
      </c>
      <c r="K5" s="359">
        <f>'[3]Produção e Vendas '!$O$24</f>
        <v>421.47380999999996</v>
      </c>
      <c r="L5" s="359">
        <v>469.98646000000002</v>
      </c>
      <c r="M5" s="359">
        <v>477.81916000000007</v>
      </c>
      <c r="N5" s="359">
        <v>526.8499700000001</v>
      </c>
      <c r="O5" s="359">
        <f>'[4]Produção e Vendas '!$O$24+'[4]Produção e Vendas '!$O$29</f>
        <v>429.04900000000004</v>
      </c>
      <c r="P5" s="282"/>
    </row>
    <row r="6" spans="2:16" ht="21">
      <c r="B6" s="34" t="s">
        <v>365</v>
      </c>
      <c r="C6" s="358">
        <v>0</v>
      </c>
      <c r="D6" s="357">
        <v>0</v>
      </c>
      <c r="E6" s="357">
        <v>6.2140400000000033</v>
      </c>
      <c r="F6" s="358">
        <v>0</v>
      </c>
      <c r="G6" s="359">
        <v>0</v>
      </c>
      <c r="H6" s="357">
        <v>0</v>
      </c>
      <c r="I6" s="357">
        <v>0</v>
      </c>
      <c r="J6" s="358">
        <v>18.452300000000001</v>
      </c>
      <c r="K6" s="359">
        <f>'[3]Produção e Vendas '!$O$26</f>
        <v>19.004750000000001</v>
      </c>
      <c r="L6" s="359">
        <v>33.575800000000001</v>
      </c>
      <c r="M6" s="359">
        <v>36.066850000000002</v>
      </c>
      <c r="N6" s="359">
        <v>24.46575</v>
      </c>
      <c r="O6" s="359">
        <f>'[4]Produção e Vendas '!$O$26</f>
        <v>34.182400000000001</v>
      </c>
      <c r="P6" s="282"/>
    </row>
    <row r="7" spans="2:16" ht="21">
      <c r="B7" s="341" t="s">
        <v>17</v>
      </c>
      <c r="C7" s="361">
        <v>777.90049999999974</v>
      </c>
      <c r="D7" s="361">
        <v>555.81427999999994</v>
      </c>
      <c r="E7" s="361">
        <v>734.71284999999989</v>
      </c>
      <c r="F7" s="362">
        <v>698.7229000000001</v>
      </c>
      <c r="G7" s="363">
        <v>419.13742000000002</v>
      </c>
      <c r="H7" s="361">
        <v>393.15499</v>
      </c>
      <c r="I7" s="361">
        <v>664.63270999999997</v>
      </c>
      <c r="J7" s="362">
        <v>761.28522000000009</v>
      </c>
      <c r="K7" s="363">
        <f>SUM(K4:K6)</f>
        <v>609.91669999999999</v>
      </c>
      <c r="L7" s="363">
        <v>775.13481999999988</v>
      </c>
      <c r="M7" s="363">
        <v>698.85275000000036</v>
      </c>
      <c r="N7" s="363">
        <v>734.0871699999999</v>
      </c>
      <c r="O7" s="363">
        <f>SUM(O4:O6)</f>
        <v>644.67775000000029</v>
      </c>
    </row>
    <row r="8" spans="2:16" ht="21">
      <c r="B8" s="251"/>
      <c r="C8" s="351"/>
      <c r="D8" s="351"/>
      <c r="E8" s="351"/>
      <c r="F8" s="351"/>
      <c r="G8" s="352"/>
      <c r="H8" s="351"/>
      <c r="I8" s="351"/>
      <c r="J8" s="351"/>
      <c r="K8" s="352"/>
      <c r="L8" s="352"/>
      <c r="M8" s="352"/>
      <c r="N8" s="352"/>
      <c r="O8" s="352"/>
    </row>
    <row r="9" spans="2:16" ht="21">
      <c r="B9" s="353" t="s">
        <v>409</v>
      </c>
      <c r="C9" s="354"/>
      <c r="D9" s="355"/>
      <c r="E9" s="355"/>
      <c r="F9" s="355"/>
      <c r="G9" s="355"/>
      <c r="H9" s="355"/>
      <c r="I9" s="355"/>
      <c r="J9" s="355"/>
      <c r="K9" s="355"/>
      <c r="L9" s="355"/>
      <c r="M9" s="355"/>
      <c r="N9" s="355"/>
      <c r="O9" s="355"/>
    </row>
    <row r="10" spans="2:16" ht="21">
      <c r="B10" s="356" t="s">
        <v>363</v>
      </c>
      <c r="C10" s="357">
        <v>0</v>
      </c>
      <c r="D10" s="357">
        <v>0</v>
      </c>
      <c r="E10" s="358">
        <v>0</v>
      </c>
      <c r="F10" s="358">
        <v>0</v>
      </c>
      <c r="G10" s="359">
        <v>0</v>
      </c>
      <c r="H10" s="357">
        <v>0</v>
      </c>
      <c r="I10" s="358">
        <v>0</v>
      </c>
      <c r="J10" s="358">
        <v>0</v>
      </c>
      <c r="K10" s="359">
        <v>0</v>
      </c>
      <c r="L10" s="359">
        <v>0</v>
      </c>
      <c r="M10" s="359">
        <v>0</v>
      </c>
      <c r="N10" s="359">
        <v>0</v>
      </c>
      <c r="O10" s="359">
        <v>0</v>
      </c>
    </row>
    <row r="11" spans="2:16" ht="21">
      <c r="B11" s="356" t="s">
        <v>364</v>
      </c>
      <c r="C11" s="357">
        <v>1016.5142500000002</v>
      </c>
      <c r="D11" s="357">
        <v>817.75064999999995</v>
      </c>
      <c r="E11" s="358">
        <v>1122.46523</v>
      </c>
      <c r="F11" s="358">
        <v>905.16228000000012</v>
      </c>
      <c r="G11" s="359">
        <v>968.01385000000005</v>
      </c>
      <c r="H11" s="357">
        <v>891.24059999999997</v>
      </c>
      <c r="I11" s="358">
        <v>1194.5902000000001</v>
      </c>
      <c r="J11" s="358">
        <v>1271.5633800000001</v>
      </c>
      <c r="K11" s="359">
        <v>919.82920000000001</v>
      </c>
      <c r="L11" s="359">
        <v>1466.18263</v>
      </c>
      <c r="M11" s="359">
        <v>1538.7984800000002</v>
      </c>
      <c r="N11" s="359">
        <v>1553.2934</v>
      </c>
      <c r="O11" s="359">
        <f>955.10014+'[4]Produção e Vendas '!$O$51</f>
        <v>953.72978999999998</v>
      </c>
      <c r="P11" s="282"/>
    </row>
    <row r="12" spans="2:16" ht="21">
      <c r="B12" s="356" t="s">
        <v>365</v>
      </c>
      <c r="C12" s="357">
        <v>419.03399999999999</v>
      </c>
      <c r="D12" s="357">
        <v>527.95100000000002</v>
      </c>
      <c r="E12" s="358">
        <v>435.84</v>
      </c>
      <c r="F12" s="358">
        <v>671.21835999999996</v>
      </c>
      <c r="G12" s="359">
        <v>561.65014999999994</v>
      </c>
      <c r="H12" s="357">
        <v>769.97334999999998</v>
      </c>
      <c r="I12" s="358">
        <v>558.17524999999989</v>
      </c>
      <c r="J12" s="358">
        <v>569.57005000000004</v>
      </c>
      <c r="K12" s="359">
        <v>80.578700000000012</v>
      </c>
      <c r="L12" s="359">
        <v>148.00062</v>
      </c>
      <c r="M12" s="359">
        <v>3.9</v>
      </c>
      <c r="N12" s="359">
        <v>112.17619999999998</v>
      </c>
      <c r="O12" s="359">
        <v>284.60630000000003</v>
      </c>
      <c r="P12" s="282"/>
    </row>
    <row r="13" spans="2:16" ht="21">
      <c r="B13" s="360" t="s">
        <v>17</v>
      </c>
      <c r="C13" s="361">
        <v>1435.5482500000003</v>
      </c>
      <c r="D13" s="361">
        <v>1345.70165</v>
      </c>
      <c r="E13" s="362">
        <v>1558.3052299999999</v>
      </c>
      <c r="F13" s="362">
        <v>1576.3806400000001</v>
      </c>
      <c r="G13" s="363">
        <v>1529.664</v>
      </c>
      <c r="H13" s="361">
        <v>1661.2139499999998</v>
      </c>
      <c r="I13" s="362">
        <v>1752.7654499999999</v>
      </c>
      <c r="J13" s="362">
        <v>1841.1334300000001</v>
      </c>
      <c r="K13" s="363">
        <v>1000.4079</v>
      </c>
      <c r="L13" s="363">
        <v>1614.18325</v>
      </c>
      <c r="M13" s="363">
        <v>1542.6984800000002</v>
      </c>
      <c r="N13" s="363">
        <v>1665.4695999999999</v>
      </c>
      <c r="O13" s="363">
        <f>SUM(O10:O12)</f>
        <v>1238.33609</v>
      </c>
    </row>
    <row r="14" spans="2:16" ht="21">
      <c r="B14" s="251"/>
      <c r="C14" s="351"/>
      <c r="D14" s="351"/>
      <c r="E14" s="351"/>
      <c r="F14" s="351"/>
      <c r="G14" s="352"/>
      <c r="H14" s="351"/>
      <c r="I14" s="351"/>
      <c r="J14" s="351"/>
      <c r="K14" s="352"/>
      <c r="L14" s="352"/>
      <c r="M14" s="352"/>
      <c r="N14" s="352"/>
      <c r="O14" s="352"/>
    </row>
    <row r="15" spans="2:16" ht="21">
      <c r="B15" s="32" t="s">
        <v>410</v>
      </c>
      <c r="C15" s="22"/>
      <c r="D15" s="33"/>
      <c r="E15" s="33"/>
      <c r="F15" s="33"/>
      <c r="G15" s="33"/>
      <c r="H15" s="33"/>
      <c r="I15" s="33"/>
      <c r="J15" s="33"/>
      <c r="K15" s="33"/>
      <c r="L15" s="33"/>
      <c r="M15" s="33"/>
      <c r="N15" s="33"/>
      <c r="O15" s="33"/>
    </row>
    <row r="16" spans="2:16" ht="21">
      <c r="B16" s="34" t="s">
        <v>363</v>
      </c>
      <c r="C16" s="357">
        <v>533.09945999999979</v>
      </c>
      <c r="D16" s="357">
        <v>385.13325000000003</v>
      </c>
      <c r="E16" s="358">
        <v>478.29314999999997</v>
      </c>
      <c r="F16" s="358">
        <v>534.42455000000007</v>
      </c>
      <c r="G16" s="359">
        <v>341.68299999999999</v>
      </c>
      <c r="H16" s="357">
        <v>302.33080000000001</v>
      </c>
      <c r="I16" s="358">
        <v>446.84904999999998</v>
      </c>
      <c r="J16" s="358">
        <v>502.50339999999994</v>
      </c>
      <c r="K16" s="359">
        <v>169.43813999999992</v>
      </c>
      <c r="L16" s="359">
        <v>271.57255999999984</v>
      </c>
      <c r="M16" s="359">
        <v>184.96674000000019</v>
      </c>
      <c r="N16" s="359">
        <v>182.7714499999999</v>
      </c>
      <c r="O16" s="359">
        <f>O10+O4</f>
        <v>181.44635000000022</v>
      </c>
    </row>
    <row r="17" spans="2:46" ht="21">
      <c r="B17" s="34" t="s">
        <v>364</v>
      </c>
      <c r="C17" s="357">
        <v>1261.31529</v>
      </c>
      <c r="D17" s="357">
        <v>988.43167999999991</v>
      </c>
      <c r="E17" s="358">
        <v>1372.6708899999999</v>
      </c>
      <c r="F17" s="358">
        <v>1069.46063</v>
      </c>
      <c r="G17" s="359">
        <v>1045.4682700000001</v>
      </c>
      <c r="H17" s="357">
        <v>982.0647899999999</v>
      </c>
      <c r="I17" s="358">
        <v>1414.3738600000001</v>
      </c>
      <c r="J17" s="358">
        <v>1511.8929000000003</v>
      </c>
      <c r="K17" s="359">
        <v>1341.3030100000001</v>
      </c>
      <c r="L17" s="359">
        <v>1936.1690900000001</v>
      </c>
      <c r="M17" s="359">
        <v>2016.6176400000002</v>
      </c>
      <c r="N17" s="359">
        <v>2080.1433700000002</v>
      </c>
      <c r="O17" s="359">
        <f t="shared" ref="O17:O18" si="0">O11+O5</f>
        <v>1382.7787900000001</v>
      </c>
    </row>
    <row r="18" spans="2:46" ht="21">
      <c r="B18" s="34" t="s">
        <v>365</v>
      </c>
      <c r="C18" s="357">
        <v>419.03399999999999</v>
      </c>
      <c r="D18" s="357">
        <v>527.95100000000002</v>
      </c>
      <c r="E18" s="358">
        <v>442.05403999999999</v>
      </c>
      <c r="F18" s="358">
        <v>671.21835999999996</v>
      </c>
      <c r="G18" s="359">
        <v>561.65014999999994</v>
      </c>
      <c r="H18" s="357">
        <v>769.97334999999998</v>
      </c>
      <c r="I18" s="358">
        <v>558.17524999999989</v>
      </c>
      <c r="J18" s="358">
        <v>588.02235000000007</v>
      </c>
      <c r="K18" s="359">
        <v>99.583450000000013</v>
      </c>
      <c r="L18" s="359">
        <v>181.57641999999998</v>
      </c>
      <c r="M18" s="359">
        <v>39.966850000000001</v>
      </c>
      <c r="N18" s="359">
        <v>136.64194999999998</v>
      </c>
      <c r="O18" s="359">
        <f t="shared" si="0"/>
        <v>318.78870000000006</v>
      </c>
    </row>
    <row r="19" spans="2:46" ht="21">
      <c r="B19" s="341" t="s">
        <v>17</v>
      </c>
      <c r="C19" s="361">
        <v>2213.44875</v>
      </c>
      <c r="D19" s="361">
        <v>1901.51593</v>
      </c>
      <c r="E19" s="362">
        <v>2293.0180799999998</v>
      </c>
      <c r="F19" s="362">
        <v>2275.1035400000001</v>
      </c>
      <c r="G19" s="363">
        <v>1948.80142</v>
      </c>
      <c r="H19" s="361">
        <v>2054.3689399999998</v>
      </c>
      <c r="I19" s="362">
        <v>2417.3981599999997</v>
      </c>
      <c r="J19" s="362">
        <v>2602.4186500000001</v>
      </c>
      <c r="K19" s="363">
        <v>1610.3245999999999</v>
      </c>
      <c r="L19" s="363">
        <v>2389.3180699999998</v>
      </c>
      <c r="M19" s="363">
        <v>2241.5512300000005</v>
      </c>
      <c r="N19" s="372">
        <v>2399.93048</v>
      </c>
      <c r="O19" s="372">
        <f>O13+O7</f>
        <v>1883.0138400000003</v>
      </c>
    </row>
    <row r="20" spans="2:46" ht="21">
      <c r="B20" s="251"/>
      <c r="C20" s="351"/>
      <c r="D20" s="351"/>
      <c r="E20" s="351"/>
      <c r="F20" s="351"/>
      <c r="G20" s="352"/>
      <c r="H20" s="351"/>
      <c r="I20" s="351"/>
      <c r="J20" s="351"/>
      <c r="K20" s="352"/>
      <c r="L20" s="352"/>
      <c r="M20" s="352"/>
      <c r="N20" s="352"/>
      <c r="O20" s="352"/>
    </row>
    <row r="21" spans="2:46">
      <c r="C21" s="31"/>
      <c r="D21" s="31"/>
      <c r="E21" s="31"/>
      <c r="F21" s="31"/>
      <c r="G21" s="31"/>
      <c r="H21" s="31"/>
      <c r="I21" s="31"/>
      <c r="J21" s="31"/>
      <c r="K21" s="31"/>
      <c r="L21" s="31"/>
      <c r="M21" s="31"/>
      <c r="N21" s="31"/>
      <c r="O21" s="31"/>
      <c r="P21" s="31"/>
      <c r="Q21" s="31"/>
      <c r="R21" s="31"/>
      <c r="S21" s="31"/>
      <c r="T21" s="31"/>
      <c r="U21" s="31"/>
      <c r="AK21" s="404"/>
      <c r="AL21" s="404"/>
      <c r="AM21" s="404"/>
      <c r="AN21" s="404"/>
      <c r="AO21" s="404"/>
      <c r="AP21" s="404"/>
      <c r="AQ21" s="404"/>
      <c r="AR21" s="404"/>
      <c r="AS21" s="404"/>
      <c r="AT21" s="404"/>
    </row>
    <row r="22" spans="2:46">
      <c r="C22" s="31"/>
      <c r="D22" s="31"/>
      <c r="E22" s="31"/>
      <c r="F22" s="31"/>
      <c r="G22" s="31"/>
      <c r="H22" s="31"/>
      <c r="I22" s="31"/>
      <c r="J22" s="31"/>
      <c r="K22" s="31"/>
      <c r="L22" s="31"/>
      <c r="M22" s="31"/>
      <c r="N22" s="31"/>
      <c r="O22" s="31"/>
      <c r="P22" s="31"/>
      <c r="Q22" s="31"/>
      <c r="R22" s="31"/>
      <c r="S22" s="31"/>
      <c r="T22" s="31"/>
      <c r="U22" s="31"/>
    </row>
    <row r="23" spans="2:46">
      <c r="AP23" s="339"/>
      <c r="AS23" s="337"/>
    </row>
    <row r="24" spans="2:46">
      <c r="AP24" s="339"/>
      <c r="AS24" s="337"/>
      <c r="AT24" s="337"/>
    </row>
    <row r="25" spans="2:46">
      <c r="AP25" s="340"/>
      <c r="AS25" s="337"/>
      <c r="AT25" s="337"/>
    </row>
    <row r="26" spans="2:46">
      <c r="AS26" s="337"/>
      <c r="AT26" s="338"/>
    </row>
    <row r="27" spans="2:46">
      <c r="C27" s="31"/>
      <c r="D27" s="31"/>
      <c r="E27" s="31"/>
      <c r="F27" s="31"/>
      <c r="G27" s="31"/>
      <c r="H27" s="31"/>
      <c r="I27" s="31"/>
      <c r="J27" s="31"/>
      <c r="K27" s="31"/>
      <c r="L27" s="31"/>
      <c r="M27" s="31"/>
      <c r="N27" s="31"/>
      <c r="O27" s="31"/>
      <c r="P27" s="31"/>
      <c r="Q27" s="31"/>
      <c r="R27" s="31"/>
      <c r="S27" s="31"/>
      <c r="T27" s="31"/>
      <c r="U27" s="31"/>
    </row>
  </sheetData>
  <mergeCells count="5">
    <mergeCell ref="AM21:AN21"/>
    <mergeCell ref="AO21:AP21"/>
    <mergeCell ref="AQ21:AR21"/>
    <mergeCell ref="AS21:AT21"/>
    <mergeCell ref="AK21:AL21"/>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B123"/>
  <sheetViews>
    <sheetView showGridLines="0" zoomScale="50" zoomScaleNormal="50" workbookViewId="0">
      <pane xSplit="1" topLeftCell="B1" activePane="topRight" state="frozen"/>
      <selection activeCell="AH23" sqref="AH23"/>
      <selection pane="topRight" activeCell="AA107" sqref="AA107:AA123"/>
    </sheetView>
  </sheetViews>
  <sheetFormatPr defaultRowHeight="15"/>
  <cols>
    <col min="1" max="1" width="69.140625" bestFit="1" customWidth="1"/>
    <col min="2" max="2" width="1.42578125" customWidth="1"/>
    <col min="3" max="17" width="17.85546875" customWidth="1"/>
    <col min="18" max="21" width="18.140625" customWidth="1"/>
    <col min="22" max="22" width="18.42578125" bestFit="1" customWidth="1"/>
    <col min="23" max="25" width="18.42578125" customWidth="1"/>
    <col min="26" max="26" width="20.7109375" bestFit="1" customWidth="1"/>
    <col min="27" max="27" width="20.7109375" customWidth="1"/>
    <col min="28" max="28" width="13.28515625" customWidth="1"/>
  </cols>
  <sheetData>
    <row r="1" spans="1:28" ht="57" customHeight="1"/>
    <row r="2" spans="1:28" ht="22.5" customHeight="1">
      <c r="A2" s="405" t="s">
        <v>23</v>
      </c>
      <c r="B2" s="405"/>
      <c r="C2" s="405"/>
      <c r="D2" s="405"/>
      <c r="E2" s="405"/>
      <c r="F2" s="405"/>
      <c r="G2" s="405"/>
      <c r="H2" s="405"/>
      <c r="I2" s="405"/>
      <c r="J2" s="405"/>
      <c r="K2" s="405"/>
      <c r="L2" s="405"/>
      <c r="M2" s="405"/>
      <c r="N2" s="405"/>
      <c r="O2" s="405"/>
      <c r="P2" s="405"/>
      <c r="Q2" s="405"/>
      <c r="R2" s="405"/>
      <c r="S2" s="270"/>
      <c r="T2" s="270"/>
      <c r="U2" s="270"/>
      <c r="V2" s="270"/>
      <c r="W2" s="270"/>
      <c r="X2" s="270"/>
      <c r="Y2" s="270"/>
      <c r="Z2" s="270"/>
      <c r="AA2" s="270"/>
    </row>
    <row r="3" spans="1:28" ht="20.25">
      <c r="A3" s="41" t="s">
        <v>50</v>
      </c>
      <c r="B3" s="42"/>
      <c r="C3" s="43" t="s">
        <v>37</v>
      </c>
      <c r="D3" s="43" t="s">
        <v>38</v>
      </c>
      <c r="E3" s="43" t="s">
        <v>39</v>
      </c>
      <c r="F3" s="43" t="s">
        <v>40</v>
      </c>
      <c r="G3" s="43" t="s">
        <v>41</v>
      </c>
      <c r="H3" s="43" t="s">
        <v>42</v>
      </c>
      <c r="I3" s="43" t="s">
        <v>43</v>
      </c>
      <c r="J3" s="43" t="s">
        <v>215</v>
      </c>
      <c r="K3" s="43" t="s">
        <v>240</v>
      </c>
      <c r="L3" s="43" t="s">
        <v>251</v>
      </c>
      <c r="M3" s="43" t="s">
        <v>263</v>
      </c>
      <c r="N3" s="43" t="s">
        <v>270</v>
      </c>
      <c r="O3" s="43" t="s">
        <v>283</v>
      </c>
      <c r="P3" s="43" t="s">
        <v>305</v>
      </c>
      <c r="Q3" s="43" t="s">
        <v>313</v>
      </c>
      <c r="R3" s="43" t="s">
        <v>323</v>
      </c>
      <c r="S3" s="43" t="s">
        <v>331</v>
      </c>
      <c r="T3" s="43" t="s">
        <v>334</v>
      </c>
      <c r="U3" s="43" t="s">
        <v>348</v>
      </c>
      <c r="V3" s="43" t="s">
        <v>361</v>
      </c>
      <c r="W3" s="43" t="s">
        <v>362</v>
      </c>
      <c r="X3" s="43" t="s">
        <v>411</v>
      </c>
      <c r="Y3" s="43" t="s">
        <v>413</v>
      </c>
      <c r="Z3" s="43" t="s">
        <v>419</v>
      </c>
      <c r="AA3" s="43" t="s">
        <v>421</v>
      </c>
    </row>
    <row r="4" spans="1:28" ht="20.25">
      <c r="A4" s="44" t="s">
        <v>51</v>
      </c>
      <c r="B4" s="45"/>
      <c r="C4" s="46">
        <v>108.3</v>
      </c>
      <c r="D4" s="46">
        <v>89.1</v>
      </c>
      <c r="E4" s="46">
        <v>121.4</v>
      </c>
      <c r="F4" s="46">
        <v>205.9</v>
      </c>
      <c r="G4" s="46">
        <v>251.9</v>
      </c>
      <c r="H4" s="46">
        <v>202.1</v>
      </c>
      <c r="I4" s="46">
        <v>314.8</v>
      </c>
      <c r="J4" s="46">
        <v>316.3</v>
      </c>
      <c r="K4" s="46">
        <v>418.1</v>
      </c>
      <c r="L4" s="46">
        <v>441.1</v>
      </c>
      <c r="M4" s="46">
        <v>554.9</v>
      </c>
      <c r="N4" s="46">
        <v>575</v>
      </c>
      <c r="O4" s="46">
        <v>581.5</v>
      </c>
      <c r="P4" s="46">
        <v>745.9</v>
      </c>
      <c r="Q4" s="46">
        <v>1118.0999999999999</v>
      </c>
      <c r="R4" s="46">
        <v>1412.6</v>
      </c>
      <c r="S4" s="46">
        <v>1479.1</v>
      </c>
      <c r="T4" s="46">
        <v>2083.8000000000002</v>
      </c>
      <c r="U4" s="46">
        <v>1362.0509999999999</v>
      </c>
      <c r="V4" s="46">
        <v>930.12900000000002</v>
      </c>
      <c r="W4" s="46">
        <v>812.14400000000001</v>
      </c>
      <c r="X4" s="46">
        <v>1160.2339999999999</v>
      </c>
      <c r="Y4" s="46">
        <v>833.077</v>
      </c>
      <c r="Z4" s="46">
        <v>812.25300000000004</v>
      </c>
      <c r="AA4" s="46">
        <v>783.55600000000004</v>
      </c>
      <c r="AB4" s="277"/>
    </row>
    <row r="5" spans="1:28" ht="20.25">
      <c r="A5" s="44" t="s">
        <v>52</v>
      </c>
      <c r="B5" s="45"/>
      <c r="C5" s="47">
        <v>108.3</v>
      </c>
      <c r="D5" s="47">
        <v>89.1</v>
      </c>
      <c r="E5" s="47">
        <v>86</v>
      </c>
      <c r="F5" s="47">
        <v>61</v>
      </c>
      <c r="G5" s="47">
        <v>77.099999999999994</v>
      </c>
      <c r="H5" s="47">
        <v>79.3</v>
      </c>
      <c r="I5" s="47">
        <v>109.1</v>
      </c>
      <c r="J5" s="47">
        <v>120.4</v>
      </c>
      <c r="K5" s="47">
        <v>132.69999999999999</v>
      </c>
      <c r="L5" s="47">
        <v>179.8</v>
      </c>
      <c r="M5" s="47">
        <v>177.4</v>
      </c>
      <c r="N5" s="47">
        <v>116.9</v>
      </c>
      <c r="O5" s="47">
        <v>149.6</v>
      </c>
      <c r="P5" s="47">
        <v>147.4</v>
      </c>
      <c r="Q5" s="47">
        <v>227.7</v>
      </c>
      <c r="R5" s="47">
        <v>271.7</v>
      </c>
      <c r="S5" s="47">
        <v>224.6</v>
      </c>
      <c r="T5" s="47">
        <v>259</v>
      </c>
      <c r="U5" s="47">
        <v>434.46699999999998</v>
      </c>
      <c r="V5" s="47">
        <v>221.3015527599994</v>
      </c>
      <c r="W5" s="47">
        <v>245.32222840000003</v>
      </c>
      <c r="X5" s="47">
        <v>322.50277160000002</v>
      </c>
      <c r="Y5" s="47">
        <v>214.53200000000001</v>
      </c>
      <c r="Z5" s="47">
        <v>178.40700000000001</v>
      </c>
      <c r="AA5" s="47">
        <v>211.98599999999999</v>
      </c>
      <c r="AB5" s="277"/>
    </row>
    <row r="6" spans="1:28" ht="20.25">
      <c r="A6" s="44" t="s">
        <v>53</v>
      </c>
      <c r="B6" s="45"/>
      <c r="C6" s="46">
        <v>0</v>
      </c>
      <c r="D6" s="46">
        <v>0</v>
      </c>
      <c r="E6" s="46">
        <v>35.4</v>
      </c>
      <c r="F6" s="46">
        <v>144.9</v>
      </c>
      <c r="G6" s="46">
        <v>174.8</v>
      </c>
      <c r="H6" s="46">
        <v>122.8</v>
      </c>
      <c r="I6" s="46">
        <v>205.7</v>
      </c>
      <c r="J6" s="46">
        <v>195.9</v>
      </c>
      <c r="K6" s="46">
        <v>285.5</v>
      </c>
      <c r="L6" s="46">
        <v>261.3</v>
      </c>
      <c r="M6" s="46">
        <v>377.6</v>
      </c>
      <c r="N6" s="46">
        <v>458.1</v>
      </c>
      <c r="O6" s="46">
        <v>431.8</v>
      </c>
      <c r="P6" s="46">
        <v>598.6</v>
      </c>
      <c r="Q6" s="46">
        <v>890.5</v>
      </c>
      <c r="R6" s="46">
        <v>1140.9000000000001</v>
      </c>
      <c r="S6" s="46">
        <v>1254.5</v>
      </c>
      <c r="T6" s="46">
        <v>1824.8</v>
      </c>
      <c r="U6" s="46">
        <v>927.58399999999995</v>
      </c>
      <c r="V6" s="46">
        <v>708.82744724000054</v>
      </c>
      <c r="W6" s="46">
        <v>566.82177160000003</v>
      </c>
      <c r="X6" s="46">
        <v>837.73122839999996</v>
      </c>
      <c r="Y6" s="46">
        <v>618.54499999999996</v>
      </c>
      <c r="Z6" s="46">
        <v>633.846</v>
      </c>
      <c r="AA6" s="46">
        <v>571.57000000000005</v>
      </c>
      <c r="AB6" s="277"/>
    </row>
    <row r="7" spans="1:28" ht="20.25">
      <c r="A7" s="44" t="s">
        <v>54</v>
      </c>
      <c r="B7" s="45"/>
      <c r="C7" s="46">
        <v>-53</v>
      </c>
      <c r="D7" s="46">
        <v>-53.2</v>
      </c>
      <c r="E7" s="46">
        <v>-83.1</v>
      </c>
      <c r="F7" s="46">
        <v>-153.69999999999999</v>
      </c>
      <c r="G7" s="46">
        <v>-178.6</v>
      </c>
      <c r="H7" s="46">
        <v>-140.19999999999999</v>
      </c>
      <c r="I7" s="46">
        <v>-209.7</v>
      </c>
      <c r="J7" s="46">
        <v>-220.3</v>
      </c>
      <c r="K7" s="46">
        <v>-233.5</v>
      </c>
      <c r="L7" s="46">
        <v>-211.2</v>
      </c>
      <c r="M7" s="46">
        <v>-329</v>
      </c>
      <c r="N7" s="46">
        <v>-370.6</v>
      </c>
      <c r="O7" s="46">
        <v>-335.4</v>
      </c>
      <c r="P7" s="46">
        <v>-326.3</v>
      </c>
      <c r="Q7" s="46">
        <v>-424.6</v>
      </c>
      <c r="R7" s="46">
        <v>-395.7</v>
      </c>
      <c r="S7" s="46">
        <v>-365.9</v>
      </c>
      <c r="T7" s="46">
        <v>-543.6</v>
      </c>
      <c r="U7" s="46">
        <v>-566.16499999999996</v>
      </c>
      <c r="V7" s="46">
        <v>-596.47400000000005</v>
      </c>
      <c r="W7" s="46">
        <v>-408.92700000000002</v>
      </c>
      <c r="X7" s="46">
        <v>-653.52200000000005</v>
      </c>
      <c r="Y7" s="46">
        <v>-606.98199999999997</v>
      </c>
      <c r="Z7" s="46">
        <v>-595.87900000000002</v>
      </c>
      <c r="AA7" s="46">
        <v>-492.99700000000001</v>
      </c>
      <c r="AB7" s="277"/>
    </row>
    <row r="8" spans="1:28" ht="20.25">
      <c r="A8" s="44" t="s">
        <v>55</v>
      </c>
      <c r="B8" s="45"/>
      <c r="C8" s="46">
        <v>55.3</v>
      </c>
      <c r="D8" s="46">
        <v>36</v>
      </c>
      <c r="E8" s="46">
        <v>38.299999999999997</v>
      </c>
      <c r="F8" s="46">
        <v>52.2</v>
      </c>
      <c r="G8" s="46">
        <v>73.2</v>
      </c>
      <c r="H8" s="46">
        <v>61.9</v>
      </c>
      <c r="I8" s="46">
        <v>105.1</v>
      </c>
      <c r="J8" s="46">
        <v>96.1</v>
      </c>
      <c r="K8" s="46">
        <v>184.7</v>
      </c>
      <c r="L8" s="46">
        <v>229.8</v>
      </c>
      <c r="M8" s="46">
        <v>226</v>
      </c>
      <c r="N8" s="46">
        <v>204.4</v>
      </c>
      <c r="O8" s="46">
        <v>246.1</v>
      </c>
      <c r="P8" s="46">
        <v>419.7</v>
      </c>
      <c r="Q8" s="46">
        <v>693.6</v>
      </c>
      <c r="R8" s="46">
        <v>1017</v>
      </c>
      <c r="S8" s="46">
        <v>1113.0999999999999</v>
      </c>
      <c r="T8" s="46">
        <v>1540.2</v>
      </c>
      <c r="U8" s="46">
        <v>795.88599999999997</v>
      </c>
      <c r="V8" s="46">
        <v>333.65499999999997</v>
      </c>
      <c r="W8" s="46">
        <v>403.21699999999998</v>
      </c>
      <c r="X8" s="46">
        <v>506.71199999999999</v>
      </c>
      <c r="Y8" s="46">
        <v>226.095</v>
      </c>
      <c r="Z8" s="46">
        <v>216.374</v>
      </c>
      <c r="AA8" s="46">
        <v>290.55900000000003</v>
      </c>
      <c r="AB8" s="277"/>
    </row>
    <row r="9" spans="1:28" ht="20.25">
      <c r="A9" s="44" t="s">
        <v>56</v>
      </c>
      <c r="B9" s="45"/>
      <c r="C9" s="46">
        <v>-42.5</v>
      </c>
      <c r="D9" s="46">
        <v>151</v>
      </c>
      <c r="E9" s="46">
        <v>-49.8</v>
      </c>
      <c r="F9" s="46">
        <v>-49</v>
      </c>
      <c r="G9" s="46">
        <v>-56.4</v>
      </c>
      <c r="H9" s="46">
        <v>-58.4</v>
      </c>
      <c r="I9" s="46">
        <v>-53.4</v>
      </c>
      <c r="J9" s="46">
        <v>109.3</v>
      </c>
      <c r="K9" s="46">
        <v>-64.3</v>
      </c>
      <c r="L9" s="46">
        <v>-70.400000000000006</v>
      </c>
      <c r="M9" s="46">
        <v>-69.2</v>
      </c>
      <c r="N9" s="46">
        <v>-37</v>
      </c>
      <c r="O9" s="46">
        <v>-67.900000000000006</v>
      </c>
      <c r="P9" s="46">
        <v>-74.900000000000006</v>
      </c>
      <c r="Q9" s="46">
        <v>-84.3</v>
      </c>
      <c r="R9" s="46">
        <v>536.9</v>
      </c>
      <c r="S9" s="46">
        <v>-73.3</v>
      </c>
      <c r="T9" s="46">
        <v>-91.4</v>
      </c>
      <c r="U9" s="46">
        <v>-148.09200000000001</v>
      </c>
      <c r="V9" s="46">
        <v>-135.34800000000001</v>
      </c>
      <c r="W9" s="46">
        <v>-111.83499999999999</v>
      </c>
      <c r="X9" s="46">
        <v>-172.29</v>
      </c>
      <c r="Y9" s="46">
        <v>-118.751</v>
      </c>
      <c r="Z9" s="46">
        <v>190.53399999999999</v>
      </c>
      <c r="AA9" s="46">
        <v>-106.015</v>
      </c>
      <c r="AB9" s="277"/>
    </row>
    <row r="10" spans="1:28" ht="20.25">
      <c r="A10" s="44" t="s">
        <v>57</v>
      </c>
      <c r="B10" s="45"/>
      <c r="C10" s="46">
        <v>-3.1</v>
      </c>
      <c r="D10" s="46">
        <v>-3</v>
      </c>
      <c r="E10" s="46">
        <v>-7.2</v>
      </c>
      <c r="F10" s="46">
        <v>-18.100000000000001</v>
      </c>
      <c r="G10" s="46">
        <v>-25.3</v>
      </c>
      <c r="H10" s="46">
        <v>-19.100000000000001</v>
      </c>
      <c r="I10" s="46">
        <v>-23.9</v>
      </c>
      <c r="J10" s="46">
        <v>-19.5</v>
      </c>
      <c r="K10" s="46">
        <v>-23.5</v>
      </c>
      <c r="L10" s="46">
        <v>-22.7</v>
      </c>
      <c r="M10" s="46">
        <v>-33.200000000000003</v>
      </c>
      <c r="N10" s="46">
        <v>-36.799999999999997</v>
      </c>
      <c r="O10" s="46">
        <v>-43.4</v>
      </c>
      <c r="P10" s="46">
        <v>-43.3</v>
      </c>
      <c r="Q10" s="46">
        <v>-51.4</v>
      </c>
      <c r="R10" s="46">
        <v>-51.7</v>
      </c>
      <c r="S10" s="46">
        <v>-51.1</v>
      </c>
      <c r="T10" s="46">
        <v>-65.599999999999994</v>
      </c>
      <c r="U10" s="46">
        <v>-124.529</v>
      </c>
      <c r="V10" s="46">
        <v>-72.445999999999998</v>
      </c>
      <c r="W10" s="46">
        <v>-69.644000000000005</v>
      </c>
      <c r="X10" s="46">
        <v>-130.803</v>
      </c>
      <c r="Y10" s="46">
        <v>-80.647999999999996</v>
      </c>
      <c r="Z10" s="46">
        <v>-72.591999999999999</v>
      </c>
      <c r="AA10" s="46">
        <v>-64.5</v>
      </c>
      <c r="AB10" s="277"/>
    </row>
    <row r="11" spans="1:28" ht="20.25">
      <c r="A11" s="44" t="s">
        <v>58</v>
      </c>
      <c r="B11" s="45"/>
      <c r="C11" s="46">
        <v>-5.0999999999999996</v>
      </c>
      <c r="D11" s="46">
        <v>-5.6</v>
      </c>
      <c r="E11" s="46">
        <v>-5.8</v>
      </c>
      <c r="F11" s="46">
        <v>-3.5</v>
      </c>
      <c r="G11" s="46">
        <v>-6.3</v>
      </c>
      <c r="H11" s="46">
        <v>-7</v>
      </c>
      <c r="I11" s="46">
        <v>-6.1</v>
      </c>
      <c r="J11" s="46">
        <v>-6.8</v>
      </c>
      <c r="K11" s="46">
        <v>-5.9</v>
      </c>
      <c r="L11" s="46">
        <v>-6.6</v>
      </c>
      <c r="M11" s="46">
        <v>-6.3</v>
      </c>
      <c r="N11" s="46">
        <v>-5.6</v>
      </c>
      <c r="O11" s="46">
        <v>-5.7</v>
      </c>
      <c r="P11" s="46">
        <v>-6.8</v>
      </c>
      <c r="Q11" s="46">
        <v>-6.8</v>
      </c>
      <c r="R11" s="46">
        <v>-7.5</v>
      </c>
      <c r="S11" s="46">
        <v>-7.5</v>
      </c>
      <c r="T11" s="46">
        <v>-8.1</v>
      </c>
      <c r="U11" s="46">
        <v>-8.7690000000000001</v>
      </c>
      <c r="V11" s="46">
        <v>-13.734</v>
      </c>
      <c r="W11" s="46">
        <v>-10.086</v>
      </c>
      <c r="X11" s="46">
        <v>-10.712999999999999</v>
      </c>
      <c r="Y11" s="46">
        <v>-10.464</v>
      </c>
      <c r="Z11" s="46">
        <v>-10.750999999999999</v>
      </c>
      <c r="AA11" s="46">
        <v>-11.903</v>
      </c>
      <c r="AB11" s="277"/>
    </row>
    <row r="12" spans="1:28" ht="20.25">
      <c r="A12" s="44" t="s">
        <v>59</v>
      </c>
      <c r="B12" s="45"/>
      <c r="C12" s="46">
        <v>-34.200000000000003</v>
      </c>
      <c r="D12" s="46">
        <v>159.5</v>
      </c>
      <c r="E12" s="46">
        <v>-36.799999999999997</v>
      </c>
      <c r="F12" s="46">
        <v>-27.3</v>
      </c>
      <c r="G12" s="46">
        <v>-24.8</v>
      </c>
      <c r="H12" s="46">
        <v>-32.4</v>
      </c>
      <c r="I12" s="46">
        <v>-23.4</v>
      </c>
      <c r="J12" s="46">
        <v>135.6</v>
      </c>
      <c r="K12" s="46">
        <v>-34.9</v>
      </c>
      <c r="L12" s="46">
        <v>-41.1</v>
      </c>
      <c r="M12" s="46">
        <v>-29.8</v>
      </c>
      <c r="N12" s="46">
        <v>5.4</v>
      </c>
      <c r="O12" s="46">
        <v>-18.8</v>
      </c>
      <c r="P12" s="46">
        <v>-24.8</v>
      </c>
      <c r="Q12" s="46">
        <v>-26.2</v>
      </c>
      <c r="R12" s="46">
        <v>596</v>
      </c>
      <c r="S12" s="46">
        <v>-14.7</v>
      </c>
      <c r="T12" s="46">
        <v>-17.600000000000001</v>
      </c>
      <c r="U12" s="46">
        <v>-14.794</v>
      </c>
      <c r="V12" s="46">
        <v>-49.167999999999999</v>
      </c>
      <c r="W12" s="46">
        <v>-32.104999999999997</v>
      </c>
      <c r="X12" s="46">
        <v>-30.774000000000001</v>
      </c>
      <c r="Y12" s="46">
        <v>-27.638999999999999</v>
      </c>
      <c r="Z12" s="46">
        <v>273.87700000000001</v>
      </c>
      <c r="AA12" s="46">
        <v>-29.611999999999998</v>
      </c>
      <c r="AB12" s="277"/>
    </row>
    <row r="13" spans="1:28" ht="32.25" customHeight="1">
      <c r="A13" s="48" t="s">
        <v>60</v>
      </c>
      <c r="B13" s="45"/>
      <c r="C13" s="46">
        <v>12.9</v>
      </c>
      <c r="D13" s="46">
        <v>186.9</v>
      </c>
      <c r="E13" s="46">
        <v>-11.5</v>
      </c>
      <c r="F13" s="46">
        <v>3.2</v>
      </c>
      <c r="G13" s="46">
        <v>16.899999999999999</v>
      </c>
      <c r="H13" s="46">
        <v>3.4</v>
      </c>
      <c r="I13" s="46">
        <v>51.7</v>
      </c>
      <c r="J13" s="46">
        <v>205.3</v>
      </c>
      <c r="K13" s="46">
        <v>120.3</v>
      </c>
      <c r="L13" s="46">
        <v>159.5</v>
      </c>
      <c r="M13" s="46">
        <v>156.69999999999999</v>
      </c>
      <c r="N13" s="46">
        <v>167.4</v>
      </c>
      <c r="O13" s="46">
        <v>178.2</v>
      </c>
      <c r="P13" s="46">
        <v>344.8</v>
      </c>
      <c r="Q13" s="46">
        <v>609.20000000000005</v>
      </c>
      <c r="R13" s="46">
        <v>1553.9</v>
      </c>
      <c r="S13" s="46">
        <v>1039.8</v>
      </c>
      <c r="T13" s="46">
        <v>1448.9</v>
      </c>
      <c r="U13" s="46">
        <v>647.79399999999998</v>
      </c>
      <c r="V13" s="46">
        <v>198.30699999999999</v>
      </c>
      <c r="W13" s="46">
        <v>291.38200000000001</v>
      </c>
      <c r="X13" s="46">
        <v>334.42200000000003</v>
      </c>
      <c r="Y13" s="46">
        <v>107.34399999999999</v>
      </c>
      <c r="Z13" s="46">
        <v>406.90800000000002</v>
      </c>
      <c r="AA13" s="46">
        <v>184.54400000000001</v>
      </c>
      <c r="AB13" s="277"/>
    </row>
    <row r="14" spans="1:28" ht="20.25">
      <c r="A14" s="44" t="s">
        <v>241</v>
      </c>
      <c r="B14" s="45"/>
      <c r="C14" s="46">
        <v>38.700000000000003</v>
      </c>
      <c r="D14" s="46">
        <v>38.9</v>
      </c>
      <c r="E14" s="46">
        <v>38.1</v>
      </c>
      <c r="F14" s="46">
        <v>36.299999999999997</v>
      </c>
      <c r="G14" s="46">
        <v>32.1</v>
      </c>
      <c r="H14" s="46">
        <v>29.9</v>
      </c>
      <c r="I14" s="46">
        <v>31.1</v>
      </c>
      <c r="J14" s="46">
        <v>32.299999999999997</v>
      </c>
      <c r="K14" s="46">
        <v>32.299999999999997</v>
      </c>
      <c r="L14" s="46">
        <v>31</v>
      </c>
      <c r="M14" s="46">
        <v>31.3</v>
      </c>
      <c r="N14" s="46">
        <v>38.9</v>
      </c>
      <c r="O14" s="46">
        <v>35.799999999999997</v>
      </c>
      <c r="P14" s="46">
        <v>35.700000000000003</v>
      </c>
      <c r="Q14" s="46">
        <v>35.200000000000003</v>
      </c>
      <c r="R14" s="46">
        <v>35.4</v>
      </c>
      <c r="S14" s="46">
        <v>38.700000000000003</v>
      </c>
      <c r="T14" s="46">
        <v>39.9</v>
      </c>
      <c r="U14" s="46">
        <v>38.578000000000003</v>
      </c>
      <c r="V14" s="46">
        <v>56.932000000000002</v>
      </c>
      <c r="W14" s="46">
        <v>52.658000000000001</v>
      </c>
      <c r="X14" s="46">
        <v>49.860999999999997</v>
      </c>
      <c r="Y14" s="46">
        <v>51.552</v>
      </c>
      <c r="Z14" s="46">
        <v>56.725000000000001</v>
      </c>
      <c r="AA14" s="46">
        <v>68.38</v>
      </c>
      <c r="AB14" s="277"/>
    </row>
    <row r="15" spans="1:28" ht="20.25">
      <c r="A15" s="44" t="s">
        <v>242</v>
      </c>
      <c r="B15" s="45"/>
      <c r="C15" s="46">
        <v>12.8</v>
      </c>
      <c r="D15" s="46">
        <v>14.8</v>
      </c>
      <c r="E15" s="46">
        <v>16.7</v>
      </c>
      <c r="F15" s="46">
        <v>6.4</v>
      </c>
      <c r="G15" s="46">
        <v>10.9</v>
      </c>
      <c r="H15" s="46">
        <v>16.100000000000001</v>
      </c>
      <c r="I15" s="46">
        <v>19</v>
      </c>
      <c r="J15" s="46">
        <v>16.7</v>
      </c>
      <c r="K15" s="46">
        <v>13.6</v>
      </c>
      <c r="L15" s="46">
        <v>13</v>
      </c>
      <c r="M15" s="46">
        <v>27.9</v>
      </c>
      <c r="N15" s="46">
        <v>6</v>
      </c>
      <c r="O15" s="46">
        <v>-8.5</v>
      </c>
      <c r="P15" s="46">
        <v>17.7</v>
      </c>
      <c r="Q15" s="46">
        <v>19.5</v>
      </c>
      <c r="R15" s="46">
        <v>27</v>
      </c>
      <c r="S15" s="46">
        <v>11.7</v>
      </c>
      <c r="T15" s="46">
        <v>26.2</v>
      </c>
      <c r="U15" s="46">
        <v>45.170999999999999</v>
      </c>
      <c r="V15" s="46">
        <v>10.832000000000001</v>
      </c>
      <c r="W15" s="46">
        <v>12.172000000000001</v>
      </c>
      <c r="X15" s="46">
        <v>27.687999999999999</v>
      </c>
      <c r="Y15" s="46">
        <v>41.34</v>
      </c>
      <c r="Z15" s="46">
        <v>32.042999999999999</v>
      </c>
      <c r="AA15" s="46">
        <v>18.527000000000001</v>
      </c>
      <c r="AB15" s="277"/>
    </row>
    <row r="16" spans="1:28" ht="20.25">
      <c r="A16" s="49" t="s">
        <v>95</v>
      </c>
      <c r="B16" s="45"/>
      <c r="C16" s="51">
        <v>64.400000000000006</v>
      </c>
      <c r="D16" s="51">
        <v>240.7</v>
      </c>
      <c r="E16" s="51">
        <v>43.2</v>
      </c>
      <c r="F16" s="51">
        <v>46</v>
      </c>
      <c r="G16" s="51">
        <v>59.9</v>
      </c>
      <c r="H16" s="51">
        <v>49.4</v>
      </c>
      <c r="I16" s="51">
        <v>101.9</v>
      </c>
      <c r="J16" s="51">
        <v>254.3</v>
      </c>
      <c r="K16" s="51">
        <v>166.1</v>
      </c>
      <c r="L16" s="51">
        <v>203.5</v>
      </c>
      <c r="M16" s="51">
        <v>216</v>
      </c>
      <c r="N16" s="51">
        <v>212.3</v>
      </c>
      <c r="O16" s="51">
        <v>205.5</v>
      </c>
      <c r="P16" s="51">
        <v>398.1</v>
      </c>
      <c r="Q16" s="51">
        <v>664</v>
      </c>
      <c r="R16" s="51">
        <v>1616.2</v>
      </c>
      <c r="S16" s="51">
        <v>1090.2</v>
      </c>
      <c r="T16" s="51">
        <v>1514.9</v>
      </c>
      <c r="U16" s="51">
        <v>731.54300000000001</v>
      </c>
      <c r="V16" s="51">
        <v>266.07100000000003</v>
      </c>
      <c r="W16" s="51">
        <v>356.21199999999999</v>
      </c>
      <c r="X16" s="51">
        <v>411.971</v>
      </c>
      <c r="Y16" s="51">
        <v>200.23599999999999</v>
      </c>
      <c r="Z16" s="51">
        <v>495.67599999999999</v>
      </c>
      <c r="AA16" s="51">
        <v>271.45100000000002</v>
      </c>
      <c r="AB16" s="277"/>
    </row>
    <row r="17" spans="1:28" ht="20.25">
      <c r="A17" s="49" t="s">
        <v>243</v>
      </c>
      <c r="B17" s="45"/>
      <c r="C17" s="52">
        <v>0.59399999999999997</v>
      </c>
      <c r="D17" s="52">
        <v>2.7</v>
      </c>
      <c r="E17" s="52">
        <v>0.35599999999999998</v>
      </c>
      <c r="F17" s="52">
        <v>0.223</v>
      </c>
      <c r="G17" s="52">
        <v>0.23799999999999999</v>
      </c>
      <c r="H17" s="52">
        <v>0.245</v>
      </c>
      <c r="I17" s="52">
        <v>0.32400000000000001</v>
      </c>
      <c r="J17" s="52">
        <v>0.80400000000000005</v>
      </c>
      <c r="K17" s="52">
        <v>0.39700000000000002</v>
      </c>
      <c r="L17" s="52">
        <v>0.46100000000000002</v>
      </c>
      <c r="M17" s="52">
        <v>0.38900000000000001</v>
      </c>
      <c r="N17" s="52">
        <v>0.36899999999999999</v>
      </c>
      <c r="O17" s="52">
        <v>0.35299999999999998</v>
      </c>
      <c r="P17" s="52">
        <v>0.53400000000000003</v>
      </c>
      <c r="Q17" s="52">
        <v>0.59399999999999997</v>
      </c>
      <c r="R17" s="52">
        <v>1.1439999999999999</v>
      </c>
      <c r="S17" s="52">
        <v>0.73699999999999999</v>
      </c>
      <c r="T17" s="52">
        <v>0.72699999999999998</v>
      </c>
      <c r="U17" s="52">
        <v>0.53708928667135081</v>
      </c>
      <c r="V17" s="52">
        <v>0.28605817042582266</v>
      </c>
      <c r="W17" s="52">
        <v>0.43860694655135046</v>
      </c>
      <c r="X17" s="52">
        <v>0.35507578643618443</v>
      </c>
      <c r="Y17" s="52">
        <v>0.2403571338543736</v>
      </c>
      <c r="Z17" s="52">
        <v>0.6102482847093208</v>
      </c>
      <c r="AA17" s="52">
        <v>0.34643471557872063</v>
      </c>
      <c r="AB17" s="319"/>
    </row>
    <row r="18" spans="1:28" ht="6.75" customHeight="1">
      <c r="A18" s="44"/>
      <c r="B18" s="45"/>
      <c r="C18" s="46"/>
      <c r="D18" s="46"/>
      <c r="E18" s="46"/>
      <c r="F18" s="46"/>
      <c r="G18" s="46"/>
      <c r="H18" s="46"/>
      <c r="I18" s="46"/>
      <c r="J18" s="46"/>
      <c r="K18" s="46"/>
      <c r="L18" s="46"/>
      <c r="M18" s="46"/>
      <c r="N18" s="46"/>
      <c r="O18" s="46"/>
      <c r="P18" s="46"/>
      <c r="Q18" s="46"/>
      <c r="R18" s="46"/>
      <c r="S18" s="46"/>
      <c r="T18" s="46"/>
      <c r="U18" s="46"/>
      <c r="V18" s="46"/>
      <c r="W18" s="46"/>
      <c r="X18" s="46"/>
      <c r="Y18" s="46"/>
      <c r="Z18" s="46"/>
      <c r="AA18" s="46"/>
    </row>
    <row r="19" spans="1:28" ht="20.25">
      <c r="A19" s="49" t="s">
        <v>61</v>
      </c>
      <c r="B19" s="50"/>
      <c r="C19" s="51">
        <v>51.5</v>
      </c>
      <c r="D19" s="51">
        <v>225.8</v>
      </c>
      <c r="E19" s="51">
        <v>26.6</v>
      </c>
      <c r="F19" s="51">
        <v>41.4</v>
      </c>
      <c r="G19" s="51">
        <v>49</v>
      </c>
      <c r="H19" s="51">
        <v>33.299999999999997</v>
      </c>
      <c r="I19" s="51">
        <v>82.8</v>
      </c>
      <c r="J19" s="51">
        <v>38.1</v>
      </c>
      <c r="K19" s="51">
        <v>152.6</v>
      </c>
      <c r="L19" s="51">
        <v>190.5</v>
      </c>
      <c r="M19" s="51">
        <v>188.1</v>
      </c>
      <c r="N19" s="51">
        <v>209.4</v>
      </c>
      <c r="O19" s="51">
        <v>214</v>
      </c>
      <c r="P19" s="51">
        <v>380.5</v>
      </c>
      <c r="Q19" s="51">
        <v>644.5</v>
      </c>
      <c r="R19" s="51">
        <v>958.3</v>
      </c>
      <c r="S19" s="51">
        <v>1079.5</v>
      </c>
      <c r="T19" s="51">
        <v>1489.4</v>
      </c>
      <c r="U19" s="51">
        <v>684.50099999999998</v>
      </c>
      <c r="V19" s="51">
        <v>256.61799999999999</v>
      </c>
      <c r="W19" s="51">
        <v>344.82600000000002</v>
      </c>
      <c r="X19" s="51">
        <v>385.483</v>
      </c>
      <c r="Y19" s="51">
        <v>156.971</v>
      </c>
      <c r="Z19" s="51">
        <v>171.321</v>
      </c>
      <c r="AA19" s="51">
        <v>253.875</v>
      </c>
      <c r="AB19" s="277"/>
    </row>
    <row r="20" spans="1:28" ht="20.25">
      <c r="A20" s="49" t="s">
        <v>62</v>
      </c>
      <c r="B20" s="50"/>
      <c r="C20" s="52">
        <v>0.47599999999999998</v>
      </c>
      <c r="D20" s="52">
        <v>2.5339999999999998</v>
      </c>
      <c r="E20" s="52">
        <v>0.219</v>
      </c>
      <c r="F20" s="52">
        <v>0.20100000000000001</v>
      </c>
      <c r="G20" s="52">
        <v>0.19500000000000001</v>
      </c>
      <c r="H20" s="52">
        <v>0.16500000000000001</v>
      </c>
      <c r="I20" s="52">
        <v>0.26300000000000001</v>
      </c>
      <c r="J20" s="52">
        <v>0.12</v>
      </c>
      <c r="K20" s="52">
        <v>0.36499999999999999</v>
      </c>
      <c r="L20" s="52">
        <v>0.432</v>
      </c>
      <c r="M20" s="52">
        <v>0.33900000000000002</v>
      </c>
      <c r="N20" s="52">
        <v>0.36399999999999999</v>
      </c>
      <c r="O20" s="52">
        <v>0.36799999999999999</v>
      </c>
      <c r="P20" s="52">
        <v>0.51</v>
      </c>
      <c r="Q20" s="52">
        <v>0.57599999999999996</v>
      </c>
      <c r="R20" s="52">
        <v>0.67800000000000005</v>
      </c>
      <c r="S20" s="52">
        <v>0.73</v>
      </c>
      <c r="T20" s="52">
        <v>0.71499999999999997</v>
      </c>
      <c r="U20" s="52">
        <v>0.50255166656755146</v>
      </c>
      <c r="V20" s="52">
        <v>0.27589506401800179</v>
      </c>
      <c r="W20" s="52">
        <v>0.42458726531255542</v>
      </c>
      <c r="X20" s="52">
        <v>0.33224590901490564</v>
      </c>
      <c r="Y20" s="52">
        <v>0.18842315896369724</v>
      </c>
      <c r="Z20" s="52">
        <v>0.21092073528814298</v>
      </c>
      <c r="AA20" s="52">
        <v>0.32400364492135852</v>
      </c>
      <c r="AB20" s="319"/>
    </row>
    <row r="21" spans="1:28" ht="15.75">
      <c r="A21" s="45"/>
      <c r="B21" s="45"/>
      <c r="C21" s="53"/>
      <c r="D21" s="53"/>
      <c r="E21" s="53"/>
      <c r="F21" s="53"/>
      <c r="G21" s="53"/>
      <c r="H21" s="53"/>
      <c r="I21" s="53"/>
      <c r="J21" s="53"/>
      <c r="K21" s="53"/>
      <c r="L21" s="53"/>
      <c r="M21" s="53"/>
      <c r="N21" s="53"/>
      <c r="O21" s="53"/>
      <c r="P21" s="53"/>
      <c r="Q21" s="53"/>
    </row>
    <row r="22" spans="1:28" ht="15.75">
      <c r="A22" s="45"/>
      <c r="B22" s="45"/>
      <c r="C22" s="53"/>
      <c r="D22" s="53"/>
      <c r="E22" s="53"/>
      <c r="F22" s="53"/>
      <c r="G22" s="53"/>
      <c r="H22" s="53"/>
      <c r="I22" s="53"/>
      <c r="J22" s="53"/>
      <c r="K22" s="53"/>
      <c r="L22" s="53"/>
      <c r="M22" s="53"/>
      <c r="N22" s="53"/>
      <c r="O22" s="53"/>
      <c r="P22" s="53"/>
      <c r="Q22" s="53"/>
    </row>
    <row r="23" spans="1:28" ht="28.5" customHeight="1">
      <c r="A23" s="405" t="s">
        <v>272</v>
      </c>
      <c r="B23" s="405"/>
      <c r="C23" s="405"/>
      <c r="D23" s="405"/>
      <c r="E23" s="405"/>
      <c r="F23" s="405"/>
      <c r="G23" s="405"/>
      <c r="H23" s="405"/>
      <c r="I23" s="405"/>
      <c r="J23" s="405"/>
      <c r="K23" s="405"/>
      <c r="L23" s="405"/>
      <c r="M23" s="405"/>
      <c r="N23" s="405"/>
      <c r="O23" s="405"/>
      <c r="P23" s="405"/>
      <c r="Q23" s="405"/>
      <c r="R23" s="405"/>
      <c r="S23" s="270"/>
      <c r="T23" s="270"/>
      <c r="U23" s="270"/>
      <c r="V23" s="270"/>
      <c r="W23" s="270"/>
      <c r="X23" s="270"/>
      <c r="Y23" s="270"/>
      <c r="Z23" s="270"/>
      <c r="AA23" s="270"/>
    </row>
    <row r="24" spans="1:28" ht="20.25">
      <c r="A24" s="41" t="s">
        <v>50</v>
      </c>
      <c r="B24" s="42"/>
      <c r="C24" s="43" t="s">
        <v>37</v>
      </c>
      <c r="D24" s="43" t="s">
        <v>38</v>
      </c>
      <c r="E24" s="43" t="s">
        <v>39</v>
      </c>
      <c r="F24" s="43" t="s">
        <v>40</v>
      </c>
      <c r="G24" s="43" t="s">
        <v>41</v>
      </c>
      <c r="H24" s="43" t="s">
        <v>42</v>
      </c>
      <c r="I24" s="43" t="s">
        <v>43</v>
      </c>
      <c r="J24" s="43" t="s">
        <v>215</v>
      </c>
      <c r="K24" s="43" t="s">
        <v>240</v>
      </c>
      <c r="L24" s="43" t="s">
        <v>251</v>
      </c>
      <c r="M24" s="43" t="s">
        <v>263</v>
      </c>
      <c r="N24" s="43" t="s">
        <v>270</v>
      </c>
      <c r="O24" s="43" t="s">
        <v>283</v>
      </c>
      <c r="P24" s="43" t="s">
        <v>305</v>
      </c>
      <c r="Q24" s="43" t="s">
        <v>313</v>
      </c>
      <c r="R24" s="43" t="s">
        <v>323</v>
      </c>
      <c r="S24" s="43" t="s">
        <v>331</v>
      </c>
      <c r="T24" s="43" t="s">
        <v>334</v>
      </c>
      <c r="U24" s="43" t="s">
        <v>348</v>
      </c>
      <c r="V24" s="43" t="s">
        <v>361</v>
      </c>
      <c r="W24" s="43" t="s">
        <v>362</v>
      </c>
      <c r="X24" s="43" t="s">
        <v>411</v>
      </c>
      <c r="Y24" s="43" t="s">
        <v>413</v>
      </c>
      <c r="Z24" s="43" t="s">
        <v>419</v>
      </c>
      <c r="AA24" s="43" t="s">
        <v>421</v>
      </c>
    </row>
    <row r="25" spans="1:28" ht="20.25">
      <c r="A25" s="44" t="s">
        <v>51</v>
      </c>
      <c r="B25" s="45"/>
      <c r="C25" s="46">
        <v>2218.6</v>
      </c>
      <c r="D25" s="46">
        <v>2457.6999999999998</v>
      </c>
      <c r="E25" s="46">
        <v>2543</v>
      </c>
      <c r="F25" s="46">
        <v>2761</v>
      </c>
      <c r="G25" s="46">
        <v>3003.4</v>
      </c>
      <c r="H25" s="46">
        <v>2923.6</v>
      </c>
      <c r="I25" s="46">
        <v>3440.5</v>
      </c>
      <c r="J25" s="46">
        <v>3202.9</v>
      </c>
      <c r="K25" s="46">
        <v>3088.5</v>
      </c>
      <c r="L25" s="46">
        <v>3329.2</v>
      </c>
      <c r="M25" s="46">
        <v>3241.8</v>
      </c>
      <c r="N25" s="46">
        <v>3059.7</v>
      </c>
      <c r="O25" s="46">
        <v>3248.6</v>
      </c>
      <c r="P25" s="46">
        <v>1881.8</v>
      </c>
      <c r="Q25" s="46">
        <v>3042.5</v>
      </c>
      <c r="R25" s="46">
        <v>4197.8999999999996</v>
      </c>
      <c r="S25" s="46">
        <v>5776</v>
      </c>
      <c r="T25" s="46">
        <v>7733.9</v>
      </c>
      <c r="U25" s="46">
        <v>7933.4560000000001</v>
      </c>
      <c r="V25" s="46">
        <v>6913.7669999999998</v>
      </c>
      <c r="W25" s="46">
        <v>6937.4089999999997</v>
      </c>
      <c r="X25" s="46">
        <v>7737.8069999999998</v>
      </c>
      <c r="Y25" s="46">
        <v>7451.2030000000004</v>
      </c>
      <c r="Z25" s="46">
        <v>6569.4579999999996</v>
      </c>
      <c r="AA25" s="46">
        <v>6390.3739999999998</v>
      </c>
      <c r="AB25" s="277"/>
    </row>
    <row r="26" spans="1:28" ht="20.25">
      <c r="A26" s="44" t="s">
        <v>52</v>
      </c>
      <c r="B26" s="45"/>
      <c r="C26" s="47">
        <v>1978.4</v>
      </c>
      <c r="D26" s="47">
        <v>2100.1</v>
      </c>
      <c r="E26" s="47">
        <v>2227.5</v>
      </c>
      <c r="F26" s="47">
        <v>2328.8000000000002</v>
      </c>
      <c r="G26" s="47">
        <v>2580.3000000000002</v>
      </c>
      <c r="H26" s="47">
        <v>2498.9</v>
      </c>
      <c r="I26" s="47">
        <v>3045.6</v>
      </c>
      <c r="J26" s="47">
        <v>2810.2</v>
      </c>
      <c r="K26" s="47">
        <v>2729.3</v>
      </c>
      <c r="L26" s="47">
        <v>3005.5</v>
      </c>
      <c r="M26" s="47">
        <v>2985.7</v>
      </c>
      <c r="N26" s="47">
        <v>2722.5</v>
      </c>
      <c r="O26" s="47">
        <v>2837.7</v>
      </c>
      <c r="P26" s="47">
        <v>1591.8</v>
      </c>
      <c r="Q26" s="47">
        <v>2630.7</v>
      </c>
      <c r="R26" s="47">
        <v>4051.5</v>
      </c>
      <c r="S26" s="47">
        <v>5439.7</v>
      </c>
      <c r="T26" s="47">
        <v>7426.1</v>
      </c>
      <c r="U26" s="47">
        <v>7344.4480000000003</v>
      </c>
      <c r="V26" s="47">
        <v>5323.0119999999997</v>
      </c>
      <c r="W26" s="47">
        <v>5486.2240000000002</v>
      </c>
      <c r="X26" s="47">
        <v>6932.0429999999997</v>
      </c>
      <c r="Y26" s="47">
        <v>6643.0810000000001</v>
      </c>
      <c r="Z26" s="47">
        <v>5808.6620000000003</v>
      </c>
      <c r="AA26" s="47">
        <v>5772.924</v>
      </c>
      <c r="AB26" s="277"/>
    </row>
    <row r="27" spans="1:28" ht="20.25">
      <c r="A27" s="44" t="s">
        <v>53</v>
      </c>
      <c r="B27" s="45"/>
      <c r="C27" s="46">
        <v>240.3</v>
      </c>
      <c r="D27" s="46">
        <v>357.6</v>
      </c>
      <c r="E27" s="46">
        <v>315.39999999999998</v>
      </c>
      <c r="F27" s="46">
        <v>432.2</v>
      </c>
      <c r="G27" s="46">
        <v>423</v>
      </c>
      <c r="H27" s="46">
        <v>424.7</v>
      </c>
      <c r="I27" s="46">
        <v>394.9</v>
      </c>
      <c r="J27" s="46">
        <v>392.7</v>
      </c>
      <c r="K27" s="47">
        <v>359.2</v>
      </c>
      <c r="L27" s="47">
        <v>323.7</v>
      </c>
      <c r="M27" s="47">
        <v>256.10000000000002</v>
      </c>
      <c r="N27" s="47">
        <v>337.2</v>
      </c>
      <c r="O27" s="47">
        <v>410.8</v>
      </c>
      <c r="P27" s="47">
        <v>290</v>
      </c>
      <c r="Q27" s="47">
        <v>411.8</v>
      </c>
      <c r="R27" s="47">
        <v>146.4</v>
      </c>
      <c r="S27" s="47">
        <v>336.3</v>
      </c>
      <c r="T27" s="47">
        <v>307.7</v>
      </c>
      <c r="U27" s="47">
        <v>589.00800000000004</v>
      </c>
      <c r="V27" s="47">
        <v>1590.7550000000001</v>
      </c>
      <c r="W27" s="47">
        <v>1451.1849999999999</v>
      </c>
      <c r="X27" s="47">
        <v>805.76400000000001</v>
      </c>
      <c r="Y27" s="47">
        <v>808.12199999999996</v>
      </c>
      <c r="Z27" s="47">
        <v>760.79600000000005</v>
      </c>
      <c r="AA27" s="47">
        <v>617.45000000000005</v>
      </c>
      <c r="AB27" s="277"/>
    </row>
    <row r="28" spans="1:28" ht="20.25">
      <c r="A28" s="44" t="s">
        <v>54</v>
      </c>
      <c r="B28" s="45"/>
      <c r="C28" s="46">
        <v>-1797.8</v>
      </c>
      <c r="D28" s="46">
        <v>-2110.9</v>
      </c>
      <c r="E28" s="46">
        <v>-2209</v>
      </c>
      <c r="F28" s="46">
        <v>-2371</v>
      </c>
      <c r="G28" s="46">
        <v>-2460.1</v>
      </c>
      <c r="H28" s="46">
        <v>-2389.8000000000002</v>
      </c>
      <c r="I28" s="46">
        <v>-2883.2</v>
      </c>
      <c r="J28" s="46">
        <v>-2872.4</v>
      </c>
      <c r="K28" s="46">
        <v>-2794.2</v>
      </c>
      <c r="L28" s="46">
        <v>-2927.6</v>
      </c>
      <c r="M28" s="46">
        <v>-3027.5</v>
      </c>
      <c r="N28" s="46">
        <v>-3025</v>
      </c>
      <c r="O28" s="46">
        <v>-2958.9</v>
      </c>
      <c r="P28" s="46">
        <v>-1966.8</v>
      </c>
      <c r="Q28" s="46">
        <v>-2863.4</v>
      </c>
      <c r="R28" s="46">
        <v>-3692.3</v>
      </c>
      <c r="S28" s="46">
        <v>-4458.8</v>
      </c>
      <c r="T28" s="46">
        <v>-5701.8</v>
      </c>
      <c r="U28" s="46">
        <v>-5739.3280000000004</v>
      </c>
      <c r="V28" s="46">
        <v>-5456.8860000000004</v>
      </c>
      <c r="W28" s="46">
        <v>-5819.5829999999996</v>
      </c>
      <c r="X28" s="46">
        <v>-6143.9459999999999</v>
      </c>
      <c r="Y28" s="46">
        <v>-6950.0659999999998</v>
      </c>
      <c r="Z28" s="46">
        <v>-6182.2849999999999</v>
      </c>
      <c r="AA28" s="46">
        <v>-5874.7169999999996</v>
      </c>
      <c r="AB28" s="277"/>
    </row>
    <row r="29" spans="1:28" ht="20.25">
      <c r="A29" s="44" t="s">
        <v>55</v>
      </c>
      <c r="B29" s="45"/>
      <c r="C29" s="46">
        <v>420.8</v>
      </c>
      <c r="D29" s="46">
        <v>346.8</v>
      </c>
      <c r="E29" s="46">
        <v>334</v>
      </c>
      <c r="F29" s="46">
        <v>390</v>
      </c>
      <c r="G29" s="46">
        <v>543.29999999999995</v>
      </c>
      <c r="H29" s="46">
        <v>533.79999999999995</v>
      </c>
      <c r="I29" s="46">
        <v>557.29999999999995</v>
      </c>
      <c r="J29" s="46">
        <v>330.5</v>
      </c>
      <c r="K29" s="46">
        <v>294.3</v>
      </c>
      <c r="L29" s="46">
        <v>401.6</v>
      </c>
      <c r="M29" s="46">
        <v>214.3</v>
      </c>
      <c r="N29" s="46">
        <v>34.700000000000003</v>
      </c>
      <c r="O29" s="46">
        <v>289.7</v>
      </c>
      <c r="P29" s="46">
        <v>-85</v>
      </c>
      <c r="Q29" s="46">
        <v>179.1</v>
      </c>
      <c r="R29" s="46">
        <v>505.6</v>
      </c>
      <c r="S29" s="46">
        <v>1317.2</v>
      </c>
      <c r="T29" s="46">
        <v>2032.1</v>
      </c>
      <c r="U29" s="46">
        <v>2194.1280000000002</v>
      </c>
      <c r="V29" s="46">
        <v>1456.8810000000001</v>
      </c>
      <c r="W29" s="46">
        <v>1117.826</v>
      </c>
      <c r="X29" s="46">
        <v>1593.8610000000001</v>
      </c>
      <c r="Y29" s="46">
        <v>501.137</v>
      </c>
      <c r="Z29" s="46">
        <v>387.173</v>
      </c>
      <c r="AA29" s="46">
        <v>515.65700000000004</v>
      </c>
      <c r="AB29" s="277"/>
    </row>
    <row r="30" spans="1:28" ht="20.25">
      <c r="A30" s="44" t="s">
        <v>56</v>
      </c>
      <c r="B30" s="45"/>
      <c r="C30" s="46">
        <v>-217.8</v>
      </c>
      <c r="D30" s="46">
        <v>-132.80000000000001</v>
      </c>
      <c r="E30" s="46">
        <v>-142.30000000000001</v>
      </c>
      <c r="F30" s="46">
        <v>-265.89999999999998</v>
      </c>
      <c r="G30" s="46">
        <v>-195.5</v>
      </c>
      <c r="H30" s="46">
        <v>-285.5</v>
      </c>
      <c r="I30" s="46">
        <v>-202</v>
      </c>
      <c r="J30" s="46">
        <v>-278.7</v>
      </c>
      <c r="K30" s="46">
        <v>-203.3</v>
      </c>
      <c r="L30" s="46">
        <v>-208.8</v>
      </c>
      <c r="M30" s="46">
        <v>-225</v>
      </c>
      <c r="N30" s="46">
        <v>-81</v>
      </c>
      <c r="O30" s="46">
        <v>-133.19999999999999</v>
      </c>
      <c r="P30" s="46">
        <v>-232.7</v>
      </c>
      <c r="Q30" s="46">
        <v>-236.9</v>
      </c>
      <c r="R30" s="46">
        <v>-12.4</v>
      </c>
      <c r="S30" s="46">
        <v>-268.7</v>
      </c>
      <c r="T30" s="46">
        <v>1189.9000000000001</v>
      </c>
      <c r="U30" s="46">
        <v>-752.38199999999995</v>
      </c>
      <c r="V30" s="46">
        <v>342.31099999999998</v>
      </c>
      <c r="W30" s="46">
        <v>-279.322</v>
      </c>
      <c r="X30" s="46">
        <v>-312.46899999999999</v>
      </c>
      <c r="Y30" s="46">
        <v>-276.13600000000002</v>
      </c>
      <c r="Z30" s="46">
        <v>-1992.289</v>
      </c>
      <c r="AA30" s="46">
        <v>-257.68799999999999</v>
      </c>
      <c r="AB30" s="277"/>
    </row>
    <row r="31" spans="1:28" ht="20.25">
      <c r="A31" s="44" t="s">
        <v>57</v>
      </c>
      <c r="B31" s="45"/>
      <c r="C31" s="46">
        <v>-32</v>
      </c>
      <c r="D31" s="46">
        <v>-47</v>
      </c>
      <c r="E31" s="46">
        <v>-40.799999999999997</v>
      </c>
      <c r="F31" s="46">
        <v>-36.1</v>
      </c>
      <c r="G31" s="46">
        <v>-36.700000000000003</v>
      </c>
      <c r="H31" s="46">
        <v>-39</v>
      </c>
      <c r="I31" s="46">
        <v>-36.200000000000003</v>
      </c>
      <c r="J31" s="46">
        <v>-75</v>
      </c>
      <c r="K31" s="46">
        <v>-28.4</v>
      </c>
      <c r="L31" s="46">
        <v>-31.9</v>
      </c>
      <c r="M31" s="46">
        <v>-24.5</v>
      </c>
      <c r="N31" s="46">
        <v>-24.5</v>
      </c>
      <c r="O31" s="46">
        <v>-39.5</v>
      </c>
      <c r="P31" s="46">
        <v>-46.2</v>
      </c>
      <c r="Q31" s="46">
        <v>-29.2</v>
      </c>
      <c r="R31" s="46">
        <v>-25.8</v>
      </c>
      <c r="S31" s="46">
        <v>-28.6</v>
      </c>
      <c r="T31" s="46">
        <v>-36</v>
      </c>
      <c r="U31" s="46">
        <v>-55.087000000000003</v>
      </c>
      <c r="V31" s="46">
        <v>-63.603999999999999</v>
      </c>
      <c r="W31" s="46">
        <v>-88.944000000000003</v>
      </c>
      <c r="X31" s="46">
        <v>-44.81</v>
      </c>
      <c r="Y31" s="46">
        <v>-41.222999999999999</v>
      </c>
      <c r="Z31" s="46">
        <v>-43.488999999999997</v>
      </c>
      <c r="AA31" s="46">
        <v>-39.347000000000001</v>
      </c>
      <c r="AB31" s="277"/>
    </row>
    <row r="32" spans="1:28" ht="20.25">
      <c r="A32" s="44" t="s">
        <v>58</v>
      </c>
      <c r="B32" s="45"/>
      <c r="C32" s="46">
        <v>-71.5</v>
      </c>
      <c r="D32" s="46">
        <v>-72.099999999999994</v>
      </c>
      <c r="E32" s="46">
        <v>-81.400000000000006</v>
      </c>
      <c r="F32" s="46">
        <v>-86.4</v>
      </c>
      <c r="G32" s="46">
        <v>-77.7</v>
      </c>
      <c r="H32" s="46">
        <v>-85.1</v>
      </c>
      <c r="I32" s="46">
        <v>-76.400000000000006</v>
      </c>
      <c r="J32" s="46">
        <v>-95.5</v>
      </c>
      <c r="K32" s="46">
        <v>-77.7</v>
      </c>
      <c r="L32" s="46">
        <v>-85.3</v>
      </c>
      <c r="M32" s="46">
        <v>-74.8</v>
      </c>
      <c r="N32" s="46">
        <v>-95.2</v>
      </c>
      <c r="O32" s="46">
        <v>-87.4</v>
      </c>
      <c r="P32" s="46">
        <v>-76.599999999999994</v>
      </c>
      <c r="Q32" s="46">
        <v>-77.3</v>
      </c>
      <c r="R32" s="46">
        <v>-96</v>
      </c>
      <c r="S32" s="46">
        <v>-95.7</v>
      </c>
      <c r="T32" s="46">
        <v>-93</v>
      </c>
      <c r="U32" s="46">
        <v>-95.073999999999998</v>
      </c>
      <c r="V32" s="46">
        <v>-136.47300000000001</v>
      </c>
      <c r="W32" s="46">
        <v>-107.72</v>
      </c>
      <c r="X32" s="46">
        <v>-122.325</v>
      </c>
      <c r="Y32" s="46">
        <v>-115.642</v>
      </c>
      <c r="Z32" s="46">
        <v>-144.327</v>
      </c>
      <c r="AA32" s="46">
        <v>-113.907</v>
      </c>
      <c r="AB32" s="277"/>
    </row>
    <row r="33" spans="1:28" ht="20.25">
      <c r="A33" s="44" t="s">
        <v>59</v>
      </c>
      <c r="B33" s="45"/>
      <c r="C33" s="46">
        <v>-114.3</v>
      </c>
      <c r="D33" s="46">
        <v>-13.7</v>
      </c>
      <c r="E33" s="46">
        <v>-20</v>
      </c>
      <c r="F33" s="46">
        <v>-143.4</v>
      </c>
      <c r="G33" s="46">
        <v>-81.099999999999994</v>
      </c>
      <c r="H33" s="46">
        <v>-161.4</v>
      </c>
      <c r="I33" s="46">
        <v>-89.4</v>
      </c>
      <c r="J33" s="46">
        <v>-108.2</v>
      </c>
      <c r="K33" s="46">
        <v>-97.2</v>
      </c>
      <c r="L33" s="46">
        <v>-91.7</v>
      </c>
      <c r="M33" s="46">
        <v>-125.7</v>
      </c>
      <c r="N33" s="46">
        <v>38.700000000000003</v>
      </c>
      <c r="O33" s="46">
        <v>-6.4</v>
      </c>
      <c r="P33" s="46">
        <v>-109.9</v>
      </c>
      <c r="Q33" s="46">
        <v>-130.4</v>
      </c>
      <c r="R33" s="46">
        <v>109.3</v>
      </c>
      <c r="S33" s="46">
        <v>-144.5</v>
      </c>
      <c r="T33" s="46">
        <v>1318.9</v>
      </c>
      <c r="U33" s="46">
        <v>-602.221</v>
      </c>
      <c r="V33" s="46">
        <v>542.38800000000003</v>
      </c>
      <c r="W33" s="46">
        <v>-82.658000000000001</v>
      </c>
      <c r="X33" s="46">
        <v>-145.334</v>
      </c>
      <c r="Y33" s="46">
        <v>-119.271</v>
      </c>
      <c r="Z33" s="46">
        <v>-1804.473</v>
      </c>
      <c r="AA33" s="46">
        <v>-104.434</v>
      </c>
      <c r="AB33" s="277"/>
    </row>
    <row r="34" spans="1:28" ht="30.75">
      <c r="A34" s="48" t="s">
        <v>60</v>
      </c>
      <c r="B34" s="45"/>
      <c r="C34" s="46">
        <v>203</v>
      </c>
      <c r="D34" s="46">
        <v>214</v>
      </c>
      <c r="E34" s="46">
        <v>191.7</v>
      </c>
      <c r="F34" s="46">
        <v>124.1</v>
      </c>
      <c r="G34" s="46">
        <v>347.8</v>
      </c>
      <c r="H34" s="46">
        <v>248.2</v>
      </c>
      <c r="I34" s="46">
        <v>355.2</v>
      </c>
      <c r="J34" s="46">
        <v>51.8</v>
      </c>
      <c r="K34" s="46">
        <v>91</v>
      </c>
      <c r="L34" s="46">
        <v>192.8</v>
      </c>
      <c r="M34" s="46">
        <v>-10.7</v>
      </c>
      <c r="N34" s="46">
        <v>-46.3</v>
      </c>
      <c r="O34" s="46">
        <v>156.4</v>
      </c>
      <c r="P34" s="46">
        <v>-317.7</v>
      </c>
      <c r="Q34" s="46">
        <v>-57.8</v>
      </c>
      <c r="R34" s="46">
        <v>493.2</v>
      </c>
      <c r="S34" s="46">
        <v>1048.5</v>
      </c>
      <c r="T34" s="46">
        <v>3222</v>
      </c>
      <c r="U34" s="46">
        <v>1441.7460000000001</v>
      </c>
      <c r="V34" s="46">
        <v>1799.192</v>
      </c>
      <c r="W34" s="46">
        <v>838.50400000000002</v>
      </c>
      <c r="X34" s="46">
        <v>1281.3920000000001</v>
      </c>
      <c r="Y34" s="46">
        <v>225.001</v>
      </c>
      <c r="Z34" s="46">
        <v>-1605.116</v>
      </c>
      <c r="AA34" s="46">
        <v>257.96899999999999</v>
      </c>
      <c r="AB34" s="277"/>
    </row>
    <row r="35" spans="1:28" ht="20.25">
      <c r="A35" s="44" t="s">
        <v>241</v>
      </c>
      <c r="B35" s="45"/>
      <c r="C35" s="46">
        <v>261.89999999999998</v>
      </c>
      <c r="D35" s="46">
        <v>284</v>
      </c>
      <c r="E35" s="46">
        <v>246.4</v>
      </c>
      <c r="F35" s="46">
        <v>207.8</v>
      </c>
      <c r="G35" s="46">
        <v>220.8</v>
      </c>
      <c r="H35" s="46">
        <v>222.3</v>
      </c>
      <c r="I35" s="46">
        <v>222.4</v>
      </c>
      <c r="J35" s="46">
        <v>222.5</v>
      </c>
      <c r="K35" s="46">
        <v>209.9</v>
      </c>
      <c r="L35" s="46">
        <v>211</v>
      </c>
      <c r="M35" s="46">
        <v>223.9</v>
      </c>
      <c r="N35" s="46">
        <v>217.4</v>
      </c>
      <c r="O35" s="46">
        <v>214</v>
      </c>
      <c r="P35" s="46">
        <v>215.6</v>
      </c>
      <c r="Q35" s="46">
        <v>214.4</v>
      </c>
      <c r="R35" s="46">
        <v>218.9</v>
      </c>
      <c r="S35" s="46">
        <v>211.5</v>
      </c>
      <c r="T35" s="46">
        <v>212.6</v>
      </c>
      <c r="U35" s="46">
        <v>206.58699999999999</v>
      </c>
      <c r="V35" s="46">
        <v>185.48500000000001</v>
      </c>
      <c r="W35" s="46">
        <v>171.62100000000001</v>
      </c>
      <c r="X35" s="46">
        <v>172.32900000000001</v>
      </c>
      <c r="Y35" s="46">
        <v>175.322</v>
      </c>
      <c r="Z35" s="46">
        <v>174.96600000000001</v>
      </c>
      <c r="AA35" s="46">
        <v>179.251</v>
      </c>
      <c r="AB35" s="277"/>
    </row>
    <row r="36" spans="1:28" ht="20.25">
      <c r="A36" s="44" t="s">
        <v>242</v>
      </c>
      <c r="B36" s="45"/>
      <c r="C36" s="46">
        <v>42.2</v>
      </c>
      <c r="D36" s="46">
        <v>107.8</v>
      </c>
      <c r="E36" s="46">
        <v>-20.8</v>
      </c>
      <c r="F36" s="46">
        <v>131.80000000000001</v>
      </c>
      <c r="G36" s="46">
        <v>56.4</v>
      </c>
      <c r="H36" s="46">
        <v>0.7</v>
      </c>
      <c r="I36" s="46">
        <v>44</v>
      </c>
      <c r="J36" s="46">
        <v>-37.700000000000003</v>
      </c>
      <c r="K36" s="46">
        <v>60.7</v>
      </c>
      <c r="L36" s="46">
        <v>83.3</v>
      </c>
      <c r="M36" s="46">
        <v>107.1</v>
      </c>
      <c r="N36" s="46">
        <v>22.1</v>
      </c>
      <c r="O36" s="46">
        <v>112.8</v>
      </c>
      <c r="P36" s="46">
        <v>92.6</v>
      </c>
      <c r="Q36" s="46">
        <v>259.5</v>
      </c>
      <c r="R36" s="46">
        <v>794.9</v>
      </c>
      <c r="S36" s="46">
        <v>481.4</v>
      </c>
      <c r="T36" s="46">
        <v>599</v>
      </c>
      <c r="U36" s="46">
        <v>489.81599999999997</v>
      </c>
      <c r="V36" s="46">
        <v>370.45800000000003</v>
      </c>
      <c r="W36" s="46">
        <v>306.42099999999999</v>
      </c>
      <c r="X36" s="46">
        <v>214.75200000000001</v>
      </c>
      <c r="Y36" s="46">
        <v>340.548</v>
      </c>
      <c r="Z36" s="46">
        <v>423.82799999999997</v>
      </c>
      <c r="AA36" s="46">
        <v>205.55</v>
      </c>
      <c r="AB36" s="277"/>
    </row>
    <row r="37" spans="1:28" ht="20.25">
      <c r="A37" s="49" t="s">
        <v>95</v>
      </c>
      <c r="B37" s="45"/>
      <c r="C37" s="51">
        <v>507</v>
      </c>
      <c r="D37" s="51">
        <v>605.79999999999995</v>
      </c>
      <c r="E37" s="51">
        <v>417.3</v>
      </c>
      <c r="F37" s="51">
        <v>463.7</v>
      </c>
      <c r="G37" s="51">
        <v>625.1</v>
      </c>
      <c r="H37" s="51">
        <v>471.3</v>
      </c>
      <c r="I37" s="51">
        <v>621.70000000000005</v>
      </c>
      <c r="J37" s="51">
        <v>236.6</v>
      </c>
      <c r="K37" s="51">
        <v>361.5</v>
      </c>
      <c r="L37" s="51">
        <v>487.1</v>
      </c>
      <c r="M37" s="51">
        <v>320.39999999999998</v>
      </c>
      <c r="N37" s="51">
        <v>193.2</v>
      </c>
      <c r="O37" s="51">
        <v>483.3</v>
      </c>
      <c r="P37" s="51">
        <v>-9.4</v>
      </c>
      <c r="Q37" s="51">
        <v>416.1</v>
      </c>
      <c r="R37" s="51">
        <v>1506.9</v>
      </c>
      <c r="S37" s="51">
        <v>1741.4</v>
      </c>
      <c r="T37" s="51">
        <v>4033.5</v>
      </c>
      <c r="U37" s="51">
        <v>2138.1489999999999</v>
      </c>
      <c r="V37" s="51">
        <v>2355.1350000000002</v>
      </c>
      <c r="W37" s="51">
        <v>1316.546</v>
      </c>
      <c r="X37" s="51">
        <v>1668.473</v>
      </c>
      <c r="Y37" s="51">
        <v>740.87099999999998</v>
      </c>
      <c r="Z37" s="51">
        <v>-1006.322</v>
      </c>
      <c r="AA37" s="51">
        <v>642.77</v>
      </c>
      <c r="AB37" s="277"/>
    </row>
    <row r="38" spans="1:28" ht="20.25">
      <c r="A38" s="49" t="s">
        <v>243</v>
      </c>
      <c r="B38" s="45"/>
      <c r="C38" s="52">
        <v>0.22900000000000001</v>
      </c>
      <c r="D38" s="52">
        <v>0.247</v>
      </c>
      <c r="E38" s="52">
        <v>0.16400000000000001</v>
      </c>
      <c r="F38" s="52">
        <v>0.16800000000000001</v>
      </c>
      <c r="G38" s="52">
        <v>0.20799999999999999</v>
      </c>
      <c r="H38" s="52">
        <v>0.161</v>
      </c>
      <c r="I38" s="52">
        <v>0.18099999999999999</v>
      </c>
      <c r="J38" s="52">
        <v>7.3999999999999996E-2</v>
      </c>
      <c r="K38" s="52">
        <v>0.11700000000000001</v>
      </c>
      <c r="L38" s="52">
        <v>0.14599999999999999</v>
      </c>
      <c r="M38" s="52">
        <v>9.9000000000000005E-2</v>
      </c>
      <c r="N38" s="52">
        <v>6.3E-2</v>
      </c>
      <c r="O38" s="52">
        <v>0.14899999999999999</v>
      </c>
      <c r="P38" s="52">
        <v>-5.0000000000000001E-3</v>
      </c>
      <c r="Q38" s="52">
        <v>0.13700000000000001</v>
      </c>
      <c r="R38" s="52">
        <v>0.35899999999999999</v>
      </c>
      <c r="S38" s="52">
        <v>0.30099999999999999</v>
      </c>
      <c r="T38" s="52">
        <v>0.52200000000000002</v>
      </c>
      <c r="U38" s="52">
        <v>0.26951041261210751</v>
      </c>
      <c r="V38" s="52">
        <v>0.34064425370423967</v>
      </c>
      <c r="W38" s="52">
        <v>0.18977488569579798</v>
      </c>
      <c r="X38" s="52">
        <v>0.21562608113642534</v>
      </c>
      <c r="Y38" s="52">
        <v>9.9429716248503761E-2</v>
      </c>
      <c r="Z38" s="52">
        <v>-0.15318189110882513</v>
      </c>
      <c r="AA38" s="52">
        <v>0.10058409726879836</v>
      </c>
      <c r="AB38" s="319"/>
    </row>
    <row r="39" spans="1:28" ht="6" customHeight="1">
      <c r="A39" s="44"/>
      <c r="B39" s="45"/>
      <c r="C39" s="46"/>
      <c r="D39" s="46"/>
      <c r="E39" s="46"/>
      <c r="F39" s="46"/>
      <c r="G39" s="46"/>
      <c r="H39" s="46"/>
      <c r="I39" s="46"/>
      <c r="J39" s="46"/>
      <c r="K39" s="46"/>
      <c r="L39" s="46"/>
      <c r="M39" s="46"/>
      <c r="N39" s="46"/>
      <c r="O39" s="46"/>
      <c r="P39" s="46"/>
      <c r="Q39" s="46"/>
      <c r="R39" s="46"/>
      <c r="S39" s="46"/>
      <c r="T39" s="46"/>
      <c r="U39" s="46"/>
      <c r="V39" s="46"/>
      <c r="W39" s="46"/>
      <c r="X39" s="46"/>
      <c r="Y39" s="46"/>
      <c r="Z39" s="46"/>
      <c r="AA39" s="46"/>
    </row>
    <row r="40" spans="1:28" ht="20.25">
      <c r="A40" s="49" t="s">
        <v>61</v>
      </c>
      <c r="B40" s="50"/>
      <c r="C40" s="51">
        <v>464.9</v>
      </c>
      <c r="D40" s="51">
        <v>498</v>
      </c>
      <c r="E40" s="51">
        <v>438.1</v>
      </c>
      <c r="F40" s="51">
        <v>404.9</v>
      </c>
      <c r="G40" s="51">
        <v>568.6</v>
      </c>
      <c r="H40" s="51">
        <v>470.6</v>
      </c>
      <c r="I40" s="51">
        <v>577.70000000000005</v>
      </c>
      <c r="J40" s="51">
        <v>803.6</v>
      </c>
      <c r="K40" s="51">
        <v>300.8</v>
      </c>
      <c r="L40" s="51">
        <v>403.8</v>
      </c>
      <c r="M40" s="51">
        <v>213.2</v>
      </c>
      <c r="N40" s="51">
        <v>184.5</v>
      </c>
      <c r="O40" s="51">
        <v>370.4</v>
      </c>
      <c r="P40" s="51">
        <v>-102.1</v>
      </c>
      <c r="Q40" s="51">
        <v>156.6</v>
      </c>
      <c r="R40" s="51">
        <v>604.79999999999995</v>
      </c>
      <c r="S40" s="51">
        <v>1261.0999999999999</v>
      </c>
      <c r="T40" s="51">
        <v>3435.7</v>
      </c>
      <c r="U40" s="51">
        <v>2049.5909999999999</v>
      </c>
      <c r="V40" s="51">
        <v>1985.307</v>
      </c>
      <c r="W40" s="51">
        <v>1011.2910000000001</v>
      </c>
      <c r="X40" s="51">
        <v>1454.424</v>
      </c>
      <c r="Y40" s="51">
        <v>401.154</v>
      </c>
      <c r="Z40" s="51">
        <v>264.22699999999998</v>
      </c>
      <c r="AA40" s="51">
        <v>438.25900000000001</v>
      </c>
      <c r="AB40" s="277"/>
    </row>
    <row r="41" spans="1:28" ht="20.25">
      <c r="A41" s="49" t="s">
        <v>62</v>
      </c>
      <c r="B41" s="50"/>
      <c r="C41" s="52">
        <v>0.21</v>
      </c>
      <c r="D41" s="52">
        <v>0.20300000000000001</v>
      </c>
      <c r="E41" s="52">
        <v>0.17199999999999999</v>
      </c>
      <c r="F41" s="52">
        <v>0.14699999999999999</v>
      </c>
      <c r="G41" s="52">
        <v>0.189</v>
      </c>
      <c r="H41" s="52">
        <v>0.161</v>
      </c>
      <c r="I41" s="52">
        <v>0.16800000000000001</v>
      </c>
      <c r="J41" s="52">
        <v>0.251</v>
      </c>
      <c r="K41" s="52">
        <v>9.7000000000000003E-2</v>
      </c>
      <c r="L41" s="52">
        <v>0.121</v>
      </c>
      <c r="M41" s="52">
        <v>6.6000000000000003E-2</v>
      </c>
      <c r="N41" s="52">
        <v>0.06</v>
      </c>
      <c r="O41" s="52">
        <v>0.114</v>
      </c>
      <c r="P41" s="52">
        <v>-5.3999999999999999E-2</v>
      </c>
      <c r="Q41" s="52">
        <v>5.0999999999999997E-2</v>
      </c>
      <c r="R41" s="52">
        <v>0.14399999999999999</v>
      </c>
      <c r="S41" s="52">
        <v>0.218</v>
      </c>
      <c r="T41" s="52">
        <v>0.44400000000000001</v>
      </c>
      <c r="U41" s="52">
        <v>0.25834781210105656</v>
      </c>
      <c r="V41" s="52">
        <v>0.2871527200728633</v>
      </c>
      <c r="W41" s="52">
        <v>0.14577358780489952</v>
      </c>
      <c r="X41" s="52">
        <v>0.18796333379728908</v>
      </c>
      <c r="Y41" s="52">
        <v>5.3837481008100298E-2</v>
      </c>
      <c r="Z41" s="52">
        <v>4.0220517430813923E-2</v>
      </c>
      <c r="AA41" s="52">
        <v>6.858111903935514E-2</v>
      </c>
      <c r="AB41" s="319"/>
    </row>
    <row r="42" spans="1:28" ht="15.75">
      <c r="A42" s="45" t="s">
        <v>63</v>
      </c>
      <c r="B42" s="45"/>
      <c r="C42" s="53"/>
      <c r="D42" s="53"/>
      <c r="E42" s="53"/>
      <c r="F42" s="53"/>
      <c r="G42" s="53"/>
      <c r="H42" s="53"/>
      <c r="I42" s="53"/>
      <c r="J42" s="53"/>
      <c r="K42" s="53"/>
      <c r="L42" s="53"/>
      <c r="M42" s="53"/>
      <c r="N42" s="53"/>
      <c r="O42" s="53"/>
      <c r="P42" s="53"/>
      <c r="Q42" s="53"/>
    </row>
    <row r="43" spans="1:28" ht="15.75">
      <c r="A43" s="45"/>
      <c r="B43" s="45"/>
      <c r="C43" s="53"/>
      <c r="D43" s="53"/>
      <c r="E43" s="53"/>
      <c r="F43" s="53"/>
      <c r="G43" s="53"/>
      <c r="H43" s="53"/>
      <c r="I43" s="53"/>
      <c r="J43" s="53"/>
      <c r="K43" s="53"/>
      <c r="L43" s="53"/>
      <c r="M43" s="53"/>
      <c r="N43" s="53"/>
      <c r="O43" s="53"/>
      <c r="P43" s="53"/>
      <c r="Q43" s="53"/>
    </row>
    <row r="44" spans="1:28" ht="31.5" customHeight="1">
      <c r="A44" s="405" t="s">
        <v>64</v>
      </c>
      <c r="B44" s="405"/>
      <c r="C44" s="405"/>
      <c r="D44" s="405"/>
      <c r="E44" s="405"/>
      <c r="F44" s="405"/>
      <c r="G44" s="405"/>
      <c r="H44" s="405"/>
      <c r="I44" s="405"/>
      <c r="J44" s="405"/>
      <c r="K44" s="405"/>
      <c r="L44" s="405"/>
      <c r="M44" s="405"/>
      <c r="N44" s="405"/>
      <c r="O44" s="405"/>
      <c r="P44" s="405"/>
      <c r="Q44" s="405"/>
      <c r="R44" s="405"/>
      <c r="S44" s="270"/>
      <c r="T44" s="270"/>
      <c r="U44" s="270"/>
      <c r="V44" s="270"/>
      <c r="W44" s="270"/>
      <c r="X44" s="270"/>
      <c r="Y44" s="270"/>
      <c r="Z44" s="270"/>
      <c r="AA44" s="270"/>
    </row>
    <row r="45" spans="1:28" ht="20.25">
      <c r="A45" s="41" t="s">
        <v>50</v>
      </c>
      <c r="B45" s="42"/>
      <c r="C45" s="43" t="s">
        <v>37</v>
      </c>
      <c r="D45" s="43" t="s">
        <v>38</v>
      </c>
      <c r="E45" s="43" t="s">
        <v>39</v>
      </c>
      <c r="F45" s="43" t="s">
        <v>40</v>
      </c>
      <c r="G45" s="43" t="s">
        <v>41</v>
      </c>
      <c r="H45" s="43" t="s">
        <v>42</v>
      </c>
      <c r="I45" s="43" t="s">
        <v>43</v>
      </c>
      <c r="J45" s="43" t="s">
        <v>215</v>
      </c>
      <c r="K45" s="43" t="s">
        <v>240</v>
      </c>
      <c r="L45" s="43" t="s">
        <v>251</v>
      </c>
      <c r="M45" s="43" t="s">
        <v>263</v>
      </c>
      <c r="N45" s="43" t="s">
        <v>270</v>
      </c>
      <c r="O45" s="43" t="s">
        <v>283</v>
      </c>
      <c r="P45" s="43" t="s">
        <v>305</v>
      </c>
      <c r="Q45" s="43" t="s">
        <v>313</v>
      </c>
      <c r="R45" s="43" t="s">
        <v>323</v>
      </c>
      <c r="S45" s="43" t="s">
        <v>331</v>
      </c>
      <c r="T45" s="43" t="s">
        <v>334</v>
      </c>
      <c r="U45" s="43" t="s">
        <v>348</v>
      </c>
      <c r="V45" s="43" t="s">
        <v>361</v>
      </c>
      <c r="W45" s="43" t="s">
        <v>362</v>
      </c>
      <c r="X45" s="43" t="s">
        <v>411</v>
      </c>
      <c r="Y45" s="43" t="s">
        <v>413</v>
      </c>
      <c r="Z45" s="43" t="s">
        <v>419</v>
      </c>
      <c r="AA45" s="43" t="s">
        <v>421</v>
      </c>
    </row>
    <row r="46" spans="1:28" ht="20.25">
      <c r="A46" s="44" t="s">
        <v>51</v>
      </c>
      <c r="B46" s="45"/>
      <c r="C46" s="46">
        <v>567</v>
      </c>
      <c r="D46" s="46">
        <v>589.70000000000005</v>
      </c>
      <c r="E46" s="46">
        <v>673.3</v>
      </c>
      <c r="F46" s="46">
        <v>667</v>
      </c>
      <c r="G46" s="46">
        <v>702.8</v>
      </c>
      <c r="H46" s="46">
        <v>770.6</v>
      </c>
      <c r="I46" s="46">
        <v>933.4</v>
      </c>
      <c r="J46" s="46">
        <v>831.1</v>
      </c>
      <c r="K46" s="46">
        <v>879.4</v>
      </c>
      <c r="L46" s="46">
        <v>929.8</v>
      </c>
      <c r="M46" s="46">
        <v>984.8</v>
      </c>
      <c r="N46" s="46">
        <v>936.3</v>
      </c>
      <c r="O46" s="46">
        <v>901.4</v>
      </c>
      <c r="P46" s="46">
        <v>498.1</v>
      </c>
      <c r="Q46" s="46">
        <v>1065.7</v>
      </c>
      <c r="R46" s="46">
        <v>1378.3</v>
      </c>
      <c r="S46" s="46">
        <v>1742.8</v>
      </c>
      <c r="T46" s="46">
        <v>2417.5</v>
      </c>
      <c r="U46" s="46">
        <v>2357.9079999999999</v>
      </c>
      <c r="V46" s="46">
        <v>1998.163</v>
      </c>
      <c r="W46" s="46">
        <v>2136.1619999999998</v>
      </c>
      <c r="X46" s="46">
        <v>2416.2759999999998</v>
      </c>
      <c r="Y46" s="46">
        <v>2628.6970000000001</v>
      </c>
      <c r="Z46" s="46">
        <v>2203.3609999999999</v>
      </c>
      <c r="AA46" s="46">
        <v>2133.7600000000002</v>
      </c>
      <c r="AB46" s="277"/>
    </row>
    <row r="47" spans="1:28" ht="20.25">
      <c r="A47" s="44" t="s">
        <v>52</v>
      </c>
      <c r="B47" s="45"/>
      <c r="C47" s="47">
        <v>566.79999999999995</v>
      </c>
      <c r="D47" s="47">
        <v>589.5</v>
      </c>
      <c r="E47" s="47">
        <v>673</v>
      </c>
      <c r="F47" s="47">
        <v>666.8</v>
      </c>
      <c r="G47" s="47">
        <v>702.8</v>
      </c>
      <c r="H47" s="47">
        <v>770.3</v>
      </c>
      <c r="I47" s="47">
        <v>933.4</v>
      </c>
      <c r="J47" s="47">
        <v>831.1</v>
      </c>
      <c r="K47" s="47">
        <v>879.4</v>
      </c>
      <c r="L47" s="47">
        <v>929.6</v>
      </c>
      <c r="M47" s="47">
        <v>984.7</v>
      </c>
      <c r="N47" s="47">
        <v>936.1</v>
      </c>
      <c r="O47" s="47">
        <v>901.1</v>
      </c>
      <c r="P47" s="47">
        <v>497</v>
      </c>
      <c r="Q47" s="47">
        <v>1064.9000000000001</v>
      </c>
      <c r="R47" s="47">
        <v>1378.1</v>
      </c>
      <c r="S47" s="47">
        <v>1742.1</v>
      </c>
      <c r="T47" s="47">
        <v>2416</v>
      </c>
      <c r="U47" s="47">
        <v>2356.2370000000001</v>
      </c>
      <c r="V47" s="47">
        <v>1996.069</v>
      </c>
      <c r="W47" s="47">
        <v>2131.875</v>
      </c>
      <c r="X47" s="47">
        <v>2414.0839999999998</v>
      </c>
      <c r="Y47" s="47">
        <v>2624.1390000000001</v>
      </c>
      <c r="Z47" s="47">
        <v>2198.529</v>
      </c>
      <c r="AA47" s="47">
        <v>2130.6619999999998</v>
      </c>
      <c r="AB47" s="277"/>
    </row>
    <row r="48" spans="1:28" ht="20.25">
      <c r="A48" s="44" t="s">
        <v>53</v>
      </c>
      <c r="B48" s="45"/>
      <c r="C48" s="46">
        <v>0</v>
      </c>
      <c r="D48" s="46">
        <v>0</v>
      </c>
      <c r="E48" s="46">
        <v>0</v>
      </c>
      <c r="F48" s="46">
        <v>0</v>
      </c>
      <c r="G48" s="46">
        <v>0.1</v>
      </c>
      <c r="H48" s="46">
        <v>0.3</v>
      </c>
      <c r="I48" s="46">
        <v>0</v>
      </c>
      <c r="J48" s="46">
        <v>0</v>
      </c>
      <c r="K48" s="47">
        <v>0</v>
      </c>
      <c r="L48" s="47">
        <v>0.2</v>
      </c>
      <c r="M48" s="47">
        <v>0.1</v>
      </c>
      <c r="N48" s="47">
        <v>0.2</v>
      </c>
      <c r="O48" s="47">
        <v>0.3</v>
      </c>
      <c r="P48" s="47">
        <v>1.1000000000000001</v>
      </c>
      <c r="Q48" s="47">
        <v>0.8</v>
      </c>
      <c r="R48" s="47">
        <v>0.2</v>
      </c>
      <c r="S48" s="47">
        <v>0.7</v>
      </c>
      <c r="T48" s="47">
        <v>1.5</v>
      </c>
      <c r="U48" s="47">
        <v>1.671</v>
      </c>
      <c r="V48" s="47">
        <v>2.0939999999999999</v>
      </c>
      <c r="W48" s="47">
        <v>4.2869999999999999</v>
      </c>
      <c r="X48" s="47">
        <v>2.1920000000000002</v>
      </c>
      <c r="Y48" s="47">
        <v>4.5579999999999998</v>
      </c>
      <c r="Z48" s="47">
        <v>4.8319999999999999</v>
      </c>
      <c r="AA48" s="47">
        <v>3.0979999999999999</v>
      </c>
      <c r="AB48" s="277"/>
    </row>
    <row r="49" spans="1:28" ht="20.25">
      <c r="A49" s="44" t="s">
        <v>54</v>
      </c>
      <c r="B49" s="45"/>
      <c r="C49" s="46">
        <v>-512.1</v>
      </c>
      <c r="D49" s="46">
        <v>-548.5</v>
      </c>
      <c r="E49" s="46">
        <v>-638.79999999999995</v>
      </c>
      <c r="F49" s="46">
        <v>-628.6</v>
      </c>
      <c r="G49" s="46">
        <v>-656</v>
      </c>
      <c r="H49" s="46">
        <v>-721.1</v>
      </c>
      <c r="I49" s="46">
        <v>-875.3</v>
      </c>
      <c r="J49" s="46">
        <v>-792.1</v>
      </c>
      <c r="K49" s="46">
        <v>-846.7</v>
      </c>
      <c r="L49" s="46">
        <v>-871.8</v>
      </c>
      <c r="M49" s="46">
        <v>-937.5</v>
      </c>
      <c r="N49" s="46">
        <v>-884.1</v>
      </c>
      <c r="O49" s="46">
        <v>-852.7</v>
      </c>
      <c r="P49" s="46">
        <v>-487.8</v>
      </c>
      <c r="Q49" s="46">
        <v>-989</v>
      </c>
      <c r="R49" s="46">
        <v>-1207.8</v>
      </c>
      <c r="S49" s="46">
        <v>-1502.5</v>
      </c>
      <c r="T49" s="46">
        <v>-2021.4</v>
      </c>
      <c r="U49" s="46">
        <v>-2047.0340000000001</v>
      </c>
      <c r="V49" s="46">
        <v>-1940.2840000000001</v>
      </c>
      <c r="W49" s="46">
        <v>-2042.588</v>
      </c>
      <c r="X49" s="46">
        <v>-2110.011</v>
      </c>
      <c r="Y49" s="46">
        <v>-2452.8789999999999</v>
      </c>
      <c r="Z49" s="46">
        <v>-2126.2190000000001</v>
      </c>
      <c r="AA49" s="46">
        <v>-2053.5</v>
      </c>
      <c r="AB49" s="277"/>
    </row>
    <row r="50" spans="1:28" ht="20.25">
      <c r="A50" s="44" t="s">
        <v>55</v>
      </c>
      <c r="B50" s="45"/>
      <c r="C50" s="46">
        <v>54.9</v>
      </c>
      <c r="D50" s="46">
        <v>41.2</v>
      </c>
      <c r="E50" s="46">
        <v>34.5</v>
      </c>
      <c r="F50" s="46">
        <v>38.299999999999997</v>
      </c>
      <c r="G50" s="46">
        <v>46.8</v>
      </c>
      <c r="H50" s="46">
        <v>49.5</v>
      </c>
      <c r="I50" s="46">
        <v>58.1</v>
      </c>
      <c r="J50" s="46">
        <v>39</v>
      </c>
      <c r="K50" s="46">
        <v>32.700000000000003</v>
      </c>
      <c r="L50" s="46">
        <v>58</v>
      </c>
      <c r="M50" s="46">
        <v>47.3</v>
      </c>
      <c r="N50" s="46">
        <v>52.2</v>
      </c>
      <c r="O50" s="46">
        <v>48.7</v>
      </c>
      <c r="P50" s="46">
        <v>10.3</v>
      </c>
      <c r="Q50" s="46">
        <v>76.7</v>
      </c>
      <c r="R50" s="46">
        <v>170.5</v>
      </c>
      <c r="S50" s="46">
        <v>240.3</v>
      </c>
      <c r="T50" s="46">
        <v>396.2</v>
      </c>
      <c r="U50" s="46">
        <v>310.87400000000002</v>
      </c>
      <c r="V50" s="46">
        <v>57.878999999999998</v>
      </c>
      <c r="W50" s="46">
        <v>93.573999999999998</v>
      </c>
      <c r="X50" s="46">
        <v>306.26499999999999</v>
      </c>
      <c r="Y50" s="46">
        <v>175.81800000000001</v>
      </c>
      <c r="Z50" s="46">
        <v>77.141999999999996</v>
      </c>
      <c r="AA50" s="46">
        <v>80.260000000000005</v>
      </c>
      <c r="AB50" s="277"/>
    </row>
    <row r="51" spans="1:28" ht="20.25">
      <c r="A51" s="44" t="s">
        <v>56</v>
      </c>
      <c r="B51" s="45"/>
      <c r="C51" s="46">
        <v>-26.1</v>
      </c>
      <c r="D51" s="46">
        <v>-21.9</v>
      </c>
      <c r="E51" s="46">
        <v>-24</v>
      </c>
      <c r="F51" s="46">
        <v>-27.5</v>
      </c>
      <c r="G51" s="46">
        <v>-26.1</v>
      </c>
      <c r="H51" s="46">
        <v>-20</v>
      </c>
      <c r="I51" s="46">
        <v>-25.4</v>
      </c>
      <c r="J51" s="46">
        <v>-34.799999999999997</v>
      </c>
      <c r="K51" s="46">
        <v>-22.9</v>
      </c>
      <c r="L51" s="46">
        <v>-28.1</v>
      </c>
      <c r="M51" s="46">
        <v>-22.6</v>
      </c>
      <c r="N51" s="46">
        <v>-26.6</v>
      </c>
      <c r="O51" s="46">
        <v>-31.3</v>
      </c>
      <c r="P51" s="46">
        <v>-28.3</v>
      </c>
      <c r="Q51" s="46">
        <v>-23.2</v>
      </c>
      <c r="R51" s="46">
        <v>-40.1</v>
      </c>
      <c r="S51" s="46">
        <v>0.7</v>
      </c>
      <c r="T51" s="46">
        <v>26.6</v>
      </c>
      <c r="U51" s="46">
        <v>-39.829000000000001</v>
      </c>
      <c r="V51" s="46">
        <v>-65.37</v>
      </c>
      <c r="W51" s="46">
        <v>-33.418999999999997</v>
      </c>
      <c r="X51" s="46">
        <v>-44.024999999999999</v>
      </c>
      <c r="Y51" s="46">
        <v>-34.869</v>
      </c>
      <c r="Z51" s="46">
        <v>-38.536999999999999</v>
      </c>
      <c r="AA51" s="46">
        <v>-24.919</v>
      </c>
      <c r="AB51" s="277"/>
    </row>
    <row r="52" spans="1:28" ht="20.25">
      <c r="A52" s="44" t="s">
        <v>57</v>
      </c>
      <c r="B52" s="45"/>
      <c r="C52" s="46">
        <v>-13.2</v>
      </c>
      <c r="D52" s="46">
        <v>-11</v>
      </c>
      <c r="E52" s="46">
        <v>-10.5</v>
      </c>
      <c r="F52" s="46">
        <v>-11.5</v>
      </c>
      <c r="G52" s="46">
        <v>-9.8000000000000007</v>
      </c>
      <c r="H52" s="46">
        <v>-11.2</v>
      </c>
      <c r="I52" s="46">
        <v>-10.6</v>
      </c>
      <c r="J52" s="46">
        <v>-14.6</v>
      </c>
      <c r="K52" s="46">
        <v>-11.4</v>
      </c>
      <c r="L52" s="46">
        <v>-12.5</v>
      </c>
      <c r="M52" s="46">
        <v>-11</v>
      </c>
      <c r="N52" s="46">
        <v>-10.5</v>
      </c>
      <c r="O52" s="46">
        <v>-13</v>
      </c>
      <c r="P52" s="46">
        <v>-11.6</v>
      </c>
      <c r="Q52" s="46">
        <v>-10.8</v>
      </c>
      <c r="R52" s="46">
        <v>-17</v>
      </c>
      <c r="S52" s="46">
        <v>-19.100000000000001</v>
      </c>
      <c r="T52" s="46">
        <v>-18.100000000000001</v>
      </c>
      <c r="U52" s="46">
        <v>-19.75</v>
      </c>
      <c r="V52" s="46">
        <v>-16.792999999999999</v>
      </c>
      <c r="W52" s="46">
        <v>-12.529</v>
      </c>
      <c r="X52" s="46">
        <v>-17.465</v>
      </c>
      <c r="Y52" s="46">
        <v>-17.335999999999999</v>
      </c>
      <c r="Z52" s="46">
        <v>-10.010999999999999</v>
      </c>
      <c r="AA52" s="46">
        <v>-4.7910000000000004</v>
      </c>
      <c r="AB52" s="277"/>
    </row>
    <row r="53" spans="1:28" ht="20.25">
      <c r="A53" s="44" t="s">
        <v>58</v>
      </c>
      <c r="B53" s="45"/>
      <c r="C53" s="46">
        <v>-12.4</v>
      </c>
      <c r="D53" s="46">
        <v>-13.7</v>
      </c>
      <c r="E53" s="46">
        <v>-13.8</v>
      </c>
      <c r="F53" s="46">
        <v>-14.1</v>
      </c>
      <c r="G53" s="46">
        <v>-13.3</v>
      </c>
      <c r="H53" s="46">
        <v>-14.7</v>
      </c>
      <c r="I53" s="46">
        <v>-13.7</v>
      </c>
      <c r="J53" s="46">
        <v>-16.2</v>
      </c>
      <c r="K53" s="46">
        <v>-14.3</v>
      </c>
      <c r="L53" s="46">
        <v>-14.8</v>
      </c>
      <c r="M53" s="46">
        <v>-14.4</v>
      </c>
      <c r="N53" s="46">
        <v>-13.9</v>
      </c>
      <c r="O53" s="46">
        <v>-13.8</v>
      </c>
      <c r="P53" s="46">
        <v>-11.6</v>
      </c>
      <c r="Q53" s="46">
        <v>-12.2</v>
      </c>
      <c r="R53" s="46">
        <v>-15.3</v>
      </c>
      <c r="S53" s="46">
        <v>-14.5</v>
      </c>
      <c r="T53" s="46">
        <v>-14</v>
      </c>
      <c r="U53" s="46">
        <v>-15.805999999999999</v>
      </c>
      <c r="V53" s="46">
        <v>-17.416</v>
      </c>
      <c r="W53" s="46">
        <v>-16.891999999999999</v>
      </c>
      <c r="X53" s="46">
        <v>-18.774999999999999</v>
      </c>
      <c r="Y53" s="46">
        <v>-18.989999999999998</v>
      </c>
      <c r="Z53" s="46">
        <v>-21.187000000000001</v>
      </c>
      <c r="AA53" s="46">
        <v>-18.591999999999999</v>
      </c>
      <c r="AB53" s="277"/>
    </row>
    <row r="54" spans="1:28" ht="20.25">
      <c r="A54" s="44" t="s">
        <v>59</v>
      </c>
      <c r="B54" s="45"/>
      <c r="C54" s="46">
        <v>-0.4</v>
      </c>
      <c r="D54" s="46">
        <v>2.9</v>
      </c>
      <c r="E54" s="46">
        <v>0.2</v>
      </c>
      <c r="F54" s="46">
        <v>-1.9</v>
      </c>
      <c r="G54" s="46">
        <v>-3</v>
      </c>
      <c r="H54" s="46">
        <v>5.9</v>
      </c>
      <c r="I54" s="46">
        <v>-1.1000000000000001</v>
      </c>
      <c r="J54" s="46">
        <v>-4.0999999999999996</v>
      </c>
      <c r="K54" s="46">
        <v>2.7</v>
      </c>
      <c r="L54" s="46">
        <v>-0.8</v>
      </c>
      <c r="M54" s="46">
        <v>2.8</v>
      </c>
      <c r="N54" s="46">
        <v>-2.2000000000000002</v>
      </c>
      <c r="O54" s="46">
        <v>-4.5</v>
      </c>
      <c r="P54" s="46">
        <v>-5.0999999999999996</v>
      </c>
      <c r="Q54" s="46">
        <v>-0.1</v>
      </c>
      <c r="R54" s="46">
        <v>-7.8</v>
      </c>
      <c r="S54" s="46">
        <v>34.200000000000003</v>
      </c>
      <c r="T54" s="46">
        <v>58.6</v>
      </c>
      <c r="U54" s="46">
        <v>-4.2729999999999997</v>
      </c>
      <c r="V54" s="46">
        <v>-31.161000000000001</v>
      </c>
      <c r="W54" s="46">
        <v>-3.9980000000000002</v>
      </c>
      <c r="X54" s="46">
        <v>-7.7850000000000001</v>
      </c>
      <c r="Y54" s="46">
        <v>1.4570000000000001</v>
      </c>
      <c r="Z54" s="46">
        <v>-7.3390000000000004</v>
      </c>
      <c r="AA54" s="46">
        <v>-1.536</v>
      </c>
      <c r="AB54" s="277"/>
    </row>
    <row r="55" spans="1:28" ht="30.75">
      <c r="A55" s="48" t="s">
        <v>60</v>
      </c>
      <c r="B55" s="45"/>
      <c r="C55" s="46">
        <v>28.8</v>
      </c>
      <c r="D55" s="46">
        <v>19.3</v>
      </c>
      <c r="E55" s="46">
        <v>10.5</v>
      </c>
      <c r="F55" s="46">
        <v>10.8</v>
      </c>
      <c r="G55" s="46">
        <v>20.7</v>
      </c>
      <c r="H55" s="46">
        <v>29.5</v>
      </c>
      <c r="I55" s="46">
        <v>32.6</v>
      </c>
      <c r="J55" s="46">
        <v>4.2</v>
      </c>
      <c r="K55" s="46">
        <v>9.8000000000000007</v>
      </c>
      <c r="L55" s="46">
        <v>29.9</v>
      </c>
      <c r="M55" s="46">
        <v>24.7</v>
      </c>
      <c r="N55" s="46">
        <v>25.6</v>
      </c>
      <c r="O55" s="46">
        <v>17.399999999999999</v>
      </c>
      <c r="P55" s="46">
        <v>-18</v>
      </c>
      <c r="Q55" s="46">
        <v>53.5</v>
      </c>
      <c r="R55" s="46">
        <v>130.5</v>
      </c>
      <c r="S55" s="46">
        <v>241</v>
      </c>
      <c r="T55" s="46">
        <v>422.7</v>
      </c>
      <c r="U55" s="46">
        <v>271.04500000000002</v>
      </c>
      <c r="V55" s="46">
        <v>-7.4909999999999997</v>
      </c>
      <c r="W55" s="46">
        <v>60.155000000000001</v>
      </c>
      <c r="X55" s="46">
        <v>262.24</v>
      </c>
      <c r="Y55" s="46">
        <v>140.94900000000001</v>
      </c>
      <c r="Z55" s="46">
        <v>38.604999999999997</v>
      </c>
      <c r="AA55" s="46">
        <v>55.341000000000001</v>
      </c>
      <c r="AB55" s="277"/>
    </row>
    <row r="56" spans="1:28" ht="20.25">
      <c r="A56" s="44" t="s">
        <v>241</v>
      </c>
      <c r="B56" s="45"/>
      <c r="C56" s="46">
        <v>8</v>
      </c>
      <c r="D56" s="46">
        <v>8</v>
      </c>
      <c r="E56" s="46">
        <v>7.8</v>
      </c>
      <c r="F56" s="46">
        <v>7.8</v>
      </c>
      <c r="G56" s="46">
        <v>7.8</v>
      </c>
      <c r="H56" s="46">
        <v>7.8</v>
      </c>
      <c r="I56" s="46">
        <v>7.8</v>
      </c>
      <c r="J56" s="46">
        <v>7.6</v>
      </c>
      <c r="K56" s="46">
        <v>7.5</v>
      </c>
      <c r="L56" s="46">
        <v>7.5</v>
      </c>
      <c r="M56" s="46">
        <v>7</v>
      </c>
      <c r="N56" s="46">
        <v>8.5</v>
      </c>
      <c r="O56" s="46">
        <v>7.1</v>
      </c>
      <c r="P56" s="46">
        <v>7.1</v>
      </c>
      <c r="Q56" s="46">
        <v>7.1</v>
      </c>
      <c r="R56" s="46">
        <v>6.8</v>
      </c>
      <c r="S56" s="46">
        <v>6.6</v>
      </c>
      <c r="T56" s="46">
        <v>6.4</v>
      </c>
      <c r="U56" s="46">
        <v>6.3979999999999997</v>
      </c>
      <c r="V56" s="46">
        <v>6.3719999999999999</v>
      </c>
      <c r="W56" s="46">
        <v>6.8680000000000003</v>
      </c>
      <c r="X56" s="46">
        <v>6.8170000000000002</v>
      </c>
      <c r="Y56" s="46">
        <v>6.819</v>
      </c>
      <c r="Z56" s="46">
        <v>11.603999999999999</v>
      </c>
      <c r="AA56" s="46">
        <v>9.8420000000000005</v>
      </c>
      <c r="AB56" s="277"/>
    </row>
    <row r="57" spans="1:28" ht="20.25">
      <c r="A57" s="44" t="s">
        <v>242</v>
      </c>
      <c r="B57" s="45"/>
      <c r="C57" s="46">
        <v>0</v>
      </c>
      <c r="D57" s="46">
        <v>0</v>
      </c>
      <c r="E57" s="46">
        <v>0</v>
      </c>
      <c r="F57" s="46">
        <v>0</v>
      </c>
      <c r="G57" s="46">
        <v>0</v>
      </c>
      <c r="H57" s="46">
        <v>0</v>
      </c>
      <c r="I57" s="46">
        <v>0</v>
      </c>
      <c r="J57" s="46">
        <v>0</v>
      </c>
      <c r="K57" s="46">
        <v>0</v>
      </c>
      <c r="L57" s="46">
        <v>0</v>
      </c>
      <c r="M57" s="46">
        <v>0</v>
      </c>
      <c r="N57" s="46">
        <v>0</v>
      </c>
      <c r="O57" s="46">
        <v>0</v>
      </c>
      <c r="P57" s="46">
        <v>0</v>
      </c>
      <c r="Q57" s="46">
        <v>0</v>
      </c>
      <c r="R57" s="46">
        <v>0</v>
      </c>
      <c r="S57" s="46">
        <v>0</v>
      </c>
      <c r="T57" s="46">
        <v>0</v>
      </c>
      <c r="U57" s="46">
        <v>0</v>
      </c>
      <c r="V57" s="46">
        <v>0</v>
      </c>
      <c r="W57" s="46">
        <v>0</v>
      </c>
      <c r="X57" s="46">
        <v>0</v>
      </c>
      <c r="Y57" s="46">
        <v>0</v>
      </c>
      <c r="Z57" s="46">
        <v>0</v>
      </c>
      <c r="AA57" s="46">
        <v>0</v>
      </c>
      <c r="AB57" s="277"/>
    </row>
    <row r="58" spans="1:28" ht="20.25">
      <c r="A58" s="49" t="s">
        <v>95</v>
      </c>
      <c r="B58" s="45"/>
      <c r="C58" s="51">
        <v>36.9</v>
      </c>
      <c r="D58" s="51">
        <v>27.3</v>
      </c>
      <c r="E58" s="51">
        <v>10.5</v>
      </c>
      <c r="F58" s="51">
        <v>18.600000000000001</v>
      </c>
      <c r="G58" s="51">
        <v>28.5</v>
      </c>
      <c r="H58" s="51">
        <v>37.299999999999997</v>
      </c>
      <c r="I58" s="51">
        <v>40.4</v>
      </c>
      <c r="J58" s="51">
        <v>11.8</v>
      </c>
      <c r="K58" s="51">
        <v>17.3</v>
      </c>
      <c r="L58" s="51">
        <v>37.4</v>
      </c>
      <c r="M58" s="51">
        <v>31.6</v>
      </c>
      <c r="N58" s="274">
        <v>34.1</v>
      </c>
      <c r="O58" s="274">
        <v>24.5</v>
      </c>
      <c r="P58" s="274">
        <v>-10.8</v>
      </c>
      <c r="Q58" s="51">
        <v>60.6</v>
      </c>
      <c r="R58" s="51">
        <v>137.30000000000001</v>
      </c>
      <c r="S58" s="51">
        <v>247.6</v>
      </c>
      <c r="T58" s="51">
        <v>429.1</v>
      </c>
      <c r="U58" s="51">
        <v>277.44299999999998</v>
      </c>
      <c r="V58" s="51">
        <v>-1.119</v>
      </c>
      <c r="W58" s="51">
        <v>67.022999999999996</v>
      </c>
      <c r="X58" s="51">
        <v>269.05700000000002</v>
      </c>
      <c r="Y58" s="51">
        <v>147.768</v>
      </c>
      <c r="Z58" s="51">
        <v>50.209000000000003</v>
      </c>
      <c r="AA58" s="51">
        <v>65.183000000000007</v>
      </c>
      <c r="AB58" s="277"/>
    </row>
    <row r="59" spans="1:28" ht="20.25">
      <c r="A59" s="49" t="s">
        <v>243</v>
      </c>
      <c r="B59" s="45"/>
      <c r="C59" s="52">
        <v>6.5000000000000002E-2</v>
      </c>
      <c r="D59" s="52">
        <v>4.5999999999999999E-2</v>
      </c>
      <c r="E59" s="52">
        <v>2.7E-2</v>
      </c>
      <c r="F59" s="52">
        <v>2.8000000000000001E-2</v>
      </c>
      <c r="G59" s="52">
        <v>4.1000000000000002E-2</v>
      </c>
      <c r="H59" s="52">
        <v>4.8000000000000001E-2</v>
      </c>
      <c r="I59" s="52">
        <v>4.2999999999999997E-2</v>
      </c>
      <c r="J59" s="52">
        <v>1.4E-2</v>
      </c>
      <c r="K59" s="52">
        <v>0.02</v>
      </c>
      <c r="L59" s="52">
        <v>0.04</v>
      </c>
      <c r="M59" s="52">
        <v>3.2000000000000001E-2</v>
      </c>
      <c r="N59" s="275">
        <v>3.5999999999999997E-2</v>
      </c>
      <c r="O59" s="275">
        <v>2.7E-2</v>
      </c>
      <c r="P59" s="275">
        <v>-2.1999999999999999E-2</v>
      </c>
      <c r="Q59" s="52">
        <v>5.7000000000000002E-2</v>
      </c>
      <c r="R59" s="52">
        <v>0.1</v>
      </c>
      <c r="S59" s="52">
        <v>0.14199999999999999</v>
      </c>
      <c r="T59" s="52">
        <v>0.17799999999999999</v>
      </c>
      <c r="U59" s="52">
        <v>0.11766489617067333</v>
      </c>
      <c r="V59" s="52">
        <v>-5.6001437320178584E-4</v>
      </c>
      <c r="W59" s="52">
        <v>3.1375429391591089E-2</v>
      </c>
      <c r="X59" s="52">
        <v>0.11135193165019229</v>
      </c>
      <c r="Y59" s="52">
        <v>5.6213401544567512E-2</v>
      </c>
      <c r="Z59" s="52">
        <v>2.2787459703607356E-2</v>
      </c>
      <c r="AA59" s="52">
        <v>3.0548421565686861E-2</v>
      </c>
      <c r="AB59" s="319"/>
    </row>
    <row r="60" spans="1:28" ht="6.75" customHeight="1">
      <c r="A60" s="44"/>
      <c r="B60" s="45"/>
      <c r="C60" s="46"/>
      <c r="D60" s="46"/>
      <c r="E60" s="46"/>
      <c r="F60" s="46"/>
      <c r="G60" s="46"/>
      <c r="H60" s="46"/>
      <c r="I60" s="46"/>
      <c r="J60" s="46"/>
      <c r="K60" s="46"/>
      <c r="L60" s="46"/>
      <c r="M60" s="46"/>
      <c r="N60" s="276"/>
      <c r="O60" s="276"/>
      <c r="P60" s="276"/>
      <c r="Q60" s="266"/>
      <c r="R60" s="46"/>
      <c r="S60" s="46"/>
      <c r="T60" s="46"/>
      <c r="U60" s="46"/>
      <c r="V60" s="46"/>
      <c r="W60" s="46"/>
      <c r="X60" s="46"/>
      <c r="Y60" s="46"/>
      <c r="Z60" s="46"/>
      <c r="AA60" s="46"/>
    </row>
    <row r="61" spans="1:28" ht="20.25">
      <c r="A61" s="49" t="s">
        <v>61</v>
      </c>
      <c r="B61" s="50"/>
      <c r="C61" s="51">
        <v>36.9</v>
      </c>
      <c r="D61" s="51">
        <v>27.3</v>
      </c>
      <c r="E61" s="51">
        <v>18.3</v>
      </c>
      <c r="F61" s="51">
        <v>18.600000000000001</v>
      </c>
      <c r="G61" s="51">
        <v>28.5</v>
      </c>
      <c r="H61" s="51">
        <v>37.299999999999997</v>
      </c>
      <c r="I61" s="51">
        <v>40.4</v>
      </c>
      <c r="J61" s="51">
        <v>11.8</v>
      </c>
      <c r="K61" s="51">
        <v>17.3</v>
      </c>
      <c r="L61" s="51">
        <v>37.4</v>
      </c>
      <c r="M61" s="51">
        <v>31.6</v>
      </c>
      <c r="N61" s="274">
        <v>34.1</v>
      </c>
      <c r="O61" s="274">
        <v>24.5</v>
      </c>
      <c r="P61" s="274">
        <v>-10.8</v>
      </c>
      <c r="Q61" s="51">
        <v>60.6</v>
      </c>
      <c r="R61" s="51">
        <v>137.30000000000001</v>
      </c>
      <c r="S61" s="51">
        <v>247.6</v>
      </c>
      <c r="T61" s="51">
        <v>429.1</v>
      </c>
      <c r="U61" s="51">
        <v>277.44299999999998</v>
      </c>
      <c r="V61" s="51">
        <v>-1.119</v>
      </c>
      <c r="W61" s="51">
        <v>67.022999999999996</v>
      </c>
      <c r="X61" s="51">
        <v>269.05700000000002</v>
      </c>
      <c r="Y61" s="51">
        <v>147.768</v>
      </c>
      <c r="Z61" s="51">
        <v>50.209000000000003</v>
      </c>
      <c r="AA61" s="51">
        <v>65.183000000000007</v>
      </c>
      <c r="AB61" s="277"/>
    </row>
    <row r="62" spans="1:28" ht="20.25">
      <c r="A62" s="49" t="s">
        <v>62</v>
      </c>
      <c r="B62" s="50"/>
      <c r="C62" s="52">
        <v>6.5000000000000002E-2</v>
      </c>
      <c r="D62" s="52">
        <v>4.5999999999999999E-2</v>
      </c>
      <c r="E62" s="52">
        <v>2.7E-2</v>
      </c>
      <c r="F62" s="52">
        <v>2.8000000000000001E-2</v>
      </c>
      <c r="G62" s="52">
        <v>4.1000000000000002E-2</v>
      </c>
      <c r="H62" s="52">
        <v>4.8000000000000001E-2</v>
      </c>
      <c r="I62" s="52">
        <v>4.2999999999999997E-2</v>
      </c>
      <c r="J62" s="52">
        <v>1.4E-2</v>
      </c>
      <c r="K62" s="52">
        <v>0.02</v>
      </c>
      <c r="L62" s="52">
        <v>0.04</v>
      </c>
      <c r="M62" s="52">
        <v>3.2000000000000001E-2</v>
      </c>
      <c r="N62" s="275">
        <v>3.5999999999999997E-2</v>
      </c>
      <c r="O62" s="275">
        <v>2.7E-2</v>
      </c>
      <c r="P62" s="275">
        <v>-2.1999999999999999E-2</v>
      </c>
      <c r="Q62" s="52">
        <v>5.7000000000000002E-2</v>
      </c>
      <c r="R62" s="52">
        <v>0.1</v>
      </c>
      <c r="S62" s="52">
        <v>0.14199999999999999</v>
      </c>
      <c r="T62" s="52">
        <v>0.17799999999999999</v>
      </c>
      <c r="U62" s="52">
        <v>0.11766489617067333</v>
      </c>
      <c r="V62" s="52">
        <v>-5.6001437320178584E-4</v>
      </c>
      <c r="W62" s="52">
        <v>3.1375429391591089E-2</v>
      </c>
      <c r="X62" s="52">
        <v>0.11135193165019229</v>
      </c>
      <c r="Y62" s="52">
        <v>5.6213401544567512E-2</v>
      </c>
      <c r="Z62" s="52">
        <v>2.2787459703607356E-2</v>
      </c>
      <c r="AA62" s="52">
        <v>3.0548421565686861E-2</v>
      </c>
      <c r="AB62" s="319"/>
    </row>
    <row r="63" spans="1:28" ht="15.75">
      <c r="A63" s="45"/>
      <c r="B63" s="45"/>
      <c r="C63" s="53"/>
      <c r="D63" s="53"/>
      <c r="E63" s="53"/>
      <c r="F63" s="53"/>
      <c r="G63" s="53"/>
      <c r="H63" s="53"/>
      <c r="I63" s="53"/>
      <c r="J63" s="53"/>
      <c r="K63" s="53"/>
      <c r="L63" s="53"/>
      <c r="M63" s="53"/>
      <c r="N63" s="53"/>
      <c r="O63" s="53"/>
      <c r="P63" s="53"/>
      <c r="Q63" s="53"/>
    </row>
    <row r="64" spans="1:28" ht="15.75">
      <c r="A64" s="45"/>
      <c r="B64" s="45"/>
      <c r="C64" s="53"/>
      <c r="D64" s="53"/>
      <c r="E64" s="53"/>
      <c r="F64" s="53"/>
      <c r="G64" s="53"/>
      <c r="H64" s="53"/>
      <c r="I64" s="53"/>
      <c r="J64" s="53"/>
      <c r="K64" s="53"/>
      <c r="L64" s="53"/>
      <c r="M64" s="53"/>
      <c r="N64" s="53"/>
      <c r="O64" s="53"/>
      <c r="P64" s="53"/>
      <c r="Q64" s="53"/>
    </row>
    <row r="65" spans="1:28" ht="31.5" customHeight="1">
      <c r="A65" s="405" t="s">
        <v>65</v>
      </c>
      <c r="B65" s="405"/>
      <c r="C65" s="405"/>
      <c r="D65" s="405"/>
      <c r="E65" s="405"/>
      <c r="F65" s="405"/>
      <c r="G65" s="405"/>
      <c r="H65" s="405"/>
      <c r="I65" s="405"/>
      <c r="J65" s="405"/>
      <c r="K65" s="405"/>
      <c r="L65" s="405"/>
      <c r="M65" s="405"/>
      <c r="N65" s="405"/>
      <c r="O65" s="405"/>
      <c r="P65" s="405"/>
      <c r="Q65" s="405"/>
      <c r="R65" s="405"/>
      <c r="S65" s="270"/>
      <c r="T65" s="270"/>
      <c r="U65" s="270"/>
      <c r="V65" s="270"/>
      <c r="W65" s="270"/>
      <c r="X65" s="270"/>
      <c r="Y65" s="270"/>
      <c r="Z65" s="270"/>
      <c r="AA65" s="270"/>
    </row>
    <row r="66" spans="1:28" ht="20.25">
      <c r="A66" s="41" t="s">
        <v>50</v>
      </c>
      <c r="B66" s="42"/>
      <c r="C66" s="43" t="s">
        <v>37</v>
      </c>
      <c r="D66" s="43" t="s">
        <v>38</v>
      </c>
      <c r="E66" s="43" t="s">
        <v>39</v>
      </c>
      <c r="F66" s="43" t="s">
        <v>40</v>
      </c>
      <c r="G66" s="43" t="s">
        <v>41</v>
      </c>
      <c r="H66" s="43" t="s">
        <v>42</v>
      </c>
      <c r="I66" s="43" t="s">
        <v>43</v>
      </c>
      <c r="J66" s="43" t="s">
        <v>215</v>
      </c>
      <c r="K66" s="43" t="s">
        <v>240</v>
      </c>
      <c r="L66" s="43" t="s">
        <v>251</v>
      </c>
      <c r="M66" s="43" t="s">
        <v>263</v>
      </c>
      <c r="N66" s="43" t="s">
        <v>270</v>
      </c>
      <c r="O66" s="43" t="s">
        <v>283</v>
      </c>
      <c r="P66" s="43" t="s">
        <v>305</v>
      </c>
      <c r="Q66" s="43" t="s">
        <v>313</v>
      </c>
      <c r="R66" s="43" t="s">
        <v>323</v>
      </c>
      <c r="S66" s="43" t="s">
        <v>331</v>
      </c>
      <c r="T66" s="43" t="s">
        <v>334</v>
      </c>
      <c r="U66" s="43" t="s">
        <v>348</v>
      </c>
      <c r="V66" s="43" t="s">
        <v>361</v>
      </c>
      <c r="W66" s="43" t="s">
        <v>362</v>
      </c>
      <c r="X66" s="43" t="s">
        <v>411</v>
      </c>
      <c r="Y66" s="43" t="s">
        <v>413</v>
      </c>
      <c r="Z66" s="43" t="s">
        <v>419</v>
      </c>
      <c r="AA66" s="43" t="s">
        <v>421</v>
      </c>
    </row>
    <row r="67" spans="1:28" ht="20.25">
      <c r="A67" s="44" t="s">
        <v>51</v>
      </c>
      <c r="B67" s="45"/>
      <c r="C67" s="46">
        <v>82.7</v>
      </c>
      <c r="D67" s="46">
        <v>80.400000000000006</v>
      </c>
      <c r="E67" s="46">
        <v>73.8</v>
      </c>
      <c r="F67" s="46">
        <v>50.7</v>
      </c>
      <c r="G67" s="46">
        <v>113.3</v>
      </c>
      <c r="H67" s="46">
        <v>101.6</v>
      </c>
      <c r="I67" s="46">
        <v>71</v>
      </c>
      <c r="J67" s="46">
        <v>66.8</v>
      </c>
      <c r="K67" s="46">
        <v>62.5</v>
      </c>
      <c r="L67" s="46">
        <v>96.4</v>
      </c>
      <c r="M67" s="46">
        <v>127.3</v>
      </c>
      <c r="N67" s="46">
        <v>125.7</v>
      </c>
      <c r="O67" s="46">
        <v>114.7</v>
      </c>
      <c r="P67" s="46">
        <v>42.9</v>
      </c>
      <c r="Q67" s="46">
        <v>30.8</v>
      </c>
      <c r="R67" s="46">
        <v>59.8</v>
      </c>
      <c r="S67" s="46"/>
      <c r="T67" s="46"/>
      <c r="U67" s="46"/>
      <c r="V67" s="46"/>
      <c r="W67" s="46"/>
      <c r="X67" s="46"/>
      <c r="Y67" s="46"/>
      <c r="Z67" s="46"/>
      <c r="AA67" s="46"/>
      <c r="AB67" s="277"/>
    </row>
    <row r="68" spans="1:28" ht="20.25">
      <c r="A68" s="44" t="s">
        <v>52</v>
      </c>
      <c r="B68" s="45"/>
      <c r="C68" s="47">
        <v>82</v>
      </c>
      <c r="D68" s="47">
        <v>80.400000000000006</v>
      </c>
      <c r="E68" s="47">
        <v>73.8</v>
      </c>
      <c r="F68" s="47">
        <v>50.7</v>
      </c>
      <c r="G68" s="47">
        <v>113.2</v>
      </c>
      <c r="H68" s="47">
        <v>101.6</v>
      </c>
      <c r="I68" s="47">
        <v>71</v>
      </c>
      <c r="J68" s="47">
        <v>66.8</v>
      </c>
      <c r="K68" s="47">
        <v>62.5</v>
      </c>
      <c r="L68" s="47">
        <v>96.4</v>
      </c>
      <c r="M68" s="47">
        <v>127.3</v>
      </c>
      <c r="N68" s="47">
        <v>125.7</v>
      </c>
      <c r="O68" s="47">
        <v>114.7</v>
      </c>
      <c r="P68" s="47">
        <v>42.9</v>
      </c>
      <c r="Q68" s="47">
        <v>30.8</v>
      </c>
      <c r="R68" s="47">
        <v>59.8</v>
      </c>
      <c r="S68" s="47"/>
      <c r="T68" s="47"/>
      <c r="U68" s="47"/>
      <c r="V68" s="47"/>
      <c r="W68" s="47"/>
      <c r="X68" s="47"/>
      <c r="Y68" s="47"/>
      <c r="Z68" s="47"/>
      <c r="AA68" s="47"/>
      <c r="AB68" s="277"/>
    </row>
    <row r="69" spans="1:28" ht="20.25">
      <c r="A69" s="44" t="s">
        <v>53</v>
      </c>
      <c r="B69" s="45"/>
      <c r="C69" s="46">
        <v>0.7</v>
      </c>
      <c r="D69" s="46">
        <v>0</v>
      </c>
      <c r="E69" s="46">
        <v>0</v>
      </c>
      <c r="F69" s="46">
        <v>0</v>
      </c>
      <c r="G69" s="46">
        <v>0.1</v>
      </c>
      <c r="H69" s="46">
        <v>0</v>
      </c>
      <c r="I69" s="46">
        <v>0</v>
      </c>
      <c r="J69" s="46">
        <v>0</v>
      </c>
      <c r="K69" s="47">
        <v>0</v>
      </c>
      <c r="L69" s="47">
        <v>0</v>
      </c>
      <c r="M69" s="47">
        <v>0</v>
      </c>
      <c r="N69" s="47">
        <v>0</v>
      </c>
      <c r="O69" s="47">
        <v>0</v>
      </c>
      <c r="P69" s="47">
        <v>0</v>
      </c>
      <c r="Q69" s="47">
        <v>0</v>
      </c>
      <c r="R69" s="47">
        <v>0</v>
      </c>
      <c r="S69" s="47"/>
      <c r="T69" s="47"/>
      <c r="U69" s="47"/>
      <c r="V69" s="47"/>
      <c r="W69" s="47"/>
      <c r="X69" s="47"/>
      <c r="Y69" s="47"/>
      <c r="Z69" s="47"/>
      <c r="AA69" s="47"/>
      <c r="AB69" s="277"/>
    </row>
    <row r="70" spans="1:28" ht="20.25">
      <c r="A70" s="44" t="s">
        <v>54</v>
      </c>
      <c r="B70" s="45"/>
      <c r="C70" s="46">
        <v>-82.2</v>
      </c>
      <c r="D70" s="46">
        <v>-75.2</v>
      </c>
      <c r="E70" s="46">
        <v>-66.5</v>
      </c>
      <c r="F70" s="46">
        <v>-54.4</v>
      </c>
      <c r="G70" s="46">
        <v>-73.8</v>
      </c>
      <c r="H70" s="46">
        <v>-111</v>
      </c>
      <c r="I70" s="46">
        <v>-83.9</v>
      </c>
      <c r="J70" s="46">
        <v>-81.099999999999994</v>
      </c>
      <c r="K70" s="46">
        <v>-53.6</v>
      </c>
      <c r="L70" s="46">
        <v>-86</v>
      </c>
      <c r="M70" s="46">
        <v>-117.9</v>
      </c>
      <c r="N70" s="46">
        <v>-130.9</v>
      </c>
      <c r="O70" s="46">
        <v>-119</v>
      </c>
      <c r="P70" s="46">
        <v>-79.400000000000006</v>
      </c>
      <c r="Q70" s="46">
        <v>-71.8</v>
      </c>
      <c r="R70" s="46">
        <v>-66.5</v>
      </c>
      <c r="S70" s="46"/>
      <c r="T70" s="46"/>
      <c r="U70" s="46"/>
      <c r="V70" s="46"/>
      <c r="W70" s="46"/>
      <c r="X70" s="46"/>
      <c r="Y70" s="46"/>
      <c r="Z70" s="46"/>
      <c r="AA70" s="46"/>
      <c r="AB70" s="277"/>
    </row>
    <row r="71" spans="1:28" ht="20.25">
      <c r="A71" s="44" t="s">
        <v>55</v>
      </c>
      <c r="B71" s="45"/>
      <c r="C71" s="46">
        <v>0.5</v>
      </c>
      <c r="D71" s="46">
        <v>5.3</v>
      </c>
      <c r="E71" s="46">
        <v>7.3</v>
      </c>
      <c r="F71" s="46">
        <v>-3.7</v>
      </c>
      <c r="G71" s="46">
        <v>39.6</v>
      </c>
      <c r="H71" s="46">
        <v>-9.5</v>
      </c>
      <c r="I71" s="46">
        <v>-12.9</v>
      </c>
      <c r="J71" s="46">
        <v>-14.3</v>
      </c>
      <c r="K71" s="46">
        <v>8.9</v>
      </c>
      <c r="L71" s="46">
        <v>10.4</v>
      </c>
      <c r="M71" s="46">
        <v>9.3000000000000007</v>
      </c>
      <c r="N71" s="46">
        <v>-5.0999999999999996</v>
      </c>
      <c r="O71" s="46">
        <v>-4.3</v>
      </c>
      <c r="P71" s="46">
        <v>-36.6</v>
      </c>
      <c r="Q71" s="46">
        <v>-41.1</v>
      </c>
      <c r="R71" s="46">
        <v>-6.7</v>
      </c>
      <c r="S71" s="46"/>
      <c r="T71" s="46"/>
      <c r="U71" s="46"/>
      <c r="V71" s="46"/>
      <c r="W71" s="46"/>
      <c r="X71" s="46"/>
      <c r="Y71" s="46"/>
      <c r="Z71" s="46"/>
      <c r="AA71" s="46"/>
      <c r="AB71" s="277"/>
    </row>
    <row r="72" spans="1:28" ht="20.25">
      <c r="A72" s="44" t="s">
        <v>56</v>
      </c>
      <c r="B72" s="45"/>
      <c r="C72" s="46">
        <v>-10.8</v>
      </c>
      <c r="D72" s="46">
        <v>-12.9</v>
      </c>
      <c r="E72" s="46">
        <v>-35.5</v>
      </c>
      <c r="F72" s="46">
        <v>-3.3</v>
      </c>
      <c r="G72" s="46">
        <v>-11.6</v>
      </c>
      <c r="H72" s="46">
        <v>-15.2</v>
      </c>
      <c r="I72" s="46">
        <v>-11.4</v>
      </c>
      <c r="J72" s="46">
        <v>-148.1</v>
      </c>
      <c r="K72" s="46">
        <v>-10.199999999999999</v>
      </c>
      <c r="L72" s="46">
        <v>-9.6</v>
      </c>
      <c r="M72" s="46">
        <v>-15.2</v>
      </c>
      <c r="N72" s="46">
        <v>-4.5</v>
      </c>
      <c r="O72" s="46">
        <v>-6</v>
      </c>
      <c r="P72" s="46">
        <v>-30.8</v>
      </c>
      <c r="Q72" s="46">
        <v>-17.3</v>
      </c>
      <c r="R72" s="46">
        <v>-10</v>
      </c>
      <c r="S72" s="46"/>
      <c r="T72" s="46"/>
      <c r="U72" s="46"/>
      <c r="V72" s="46"/>
      <c r="W72" s="46"/>
      <c r="X72" s="46"/>
      <c r="Y72" s="46"/>
      <c r="Z72" s="46"/>
      <c r="AA72" s="46"/>
      <c r="AB72" s="277"/>
    </row>
    <row r="73" spans="1:28" ht="20.25">
      <c r="A73" s="44" t="s">
        <v>57</v>
      </c>
      <c r="B73" s="45"/>
      <c r="C73" s="46">
        <v>-2.7</v>
      </c>
      <c r="D73" s="46">
        <v>-3.4</v>
      </c>
      <c r="E73" s="46">
        <v>-3.2</v>
      </c>
      <c r="F73" s="46">
        <v>-3.2</v>
      </c>
      <c r="G73" s="46">
        <v>-3.2</v>
      </c>
      <c r="H73" s="46">
        <v>-3.2</v>
      </c>
      <c r="I73" s="46">
        <v>-2.5</v>
      </c>
      <c r="J73" s="46">
        <v>-2.8</v>
      </c>
      <c r="K73" s="46">
        <v>-2.9</v>
      </c>
      <c r="L73" s="46">
        <v>-2.9</v>
      </c>
      <c r="M73" s="46">
        <v>-4</v>
      </c>
      <c r="N73" s="46">
        <v>-3.4</v>
      </c>
      <c r="O73" s="46">
        <v>-2.6</v>
      </c>
      <c r="P73" s="46">
        <v>-3.6</v>
      </c>
      <c r="Q73" s="46">
        <v>-3.6</v>
      </c>
      <c r="R73" s="46">
        <v>-0.5</v>
      </c>
      <c r="S73" s="46"/>
      <c r="T73" s="46"/>
      <c r="U73" s="46"/>
      <c r="V73" s="46"/>
      <c r="W73" s="46"/>
      <c r="X73" s="46"/>
      <c r="Y73" s="46"/>
      <c r="Z73" s="46"/>
      <c r="AA73" s="46"/>
      <c r="AB73" s="277"/>
    </row>
    <row r="74" spans="1:28" ht="20.25">
      <c r="A74" s="44" t="s">
        <v>58</v>
      </c>
      <c r="B74" s="45"/>
      <c r="C74" s="46">
        <v>-7.4</v>
      </c>
      <c r="D74" s="46">
        <v>-8.3000000000000007</v>
      </c>
      <c r="E74" s="46">
        <v>-8.4</v>
      </c>
      <c r="F74" s="46">
        <v>-7.9</v>
      </c>
      <c r="G74" s="46">
        <v>-8.8000000000000007</v>
      </c>
      <c r="H74" s="46">
        <v>-9.5</v>
      </c>
      <c r="I74" s="46">
        <v>-8.3000000000000007</v>
      </c>
      <c r="J74" s="46">
        <v>-8.6999999999999993</v>
      </c>
      <c r="K74" s="46">
        <v>-6.3</v>
      </c>
      <c r="L74" s="46">
        <v>-6.6</v>
      </c>
      <c r="M74" s="46">
        <v>-6.5</v>
      </c>
      <c r="N74" s="46">
        <v>-7.5</v>
      </c>
      <c r="O74" s="46">
        <v>-6.2</v>
      </c>
      <c r="P74" s="46">
        <v>-5.6</v>
      </c>
      <c r="Q74" s="46">
        <v>-6.1</v>
      </c>
      <c r="R74" s="46">
        <v>-7.2</v>
      </c>
      <c r="S74" s="46"/>
      <c r="T74" s="46"/>
      <c r="U74" s="46"/>
      <c r="V74" s="46"/>
      <c r="W74" s="46"/>
      <c r="X74" s="46"/>
      <c r="Y74" s="46"/>
      <c r="Z74" s="46"/>
      <c r="AA74" s="46"/>
      <c r="AB74" s="277"/>
    </row>
    <row r="75" spans="1:28" ht="20.25">
      <c r="A75" s="44" t="s">
        <v>59</v>
      </c>
      <c r="B75" s="45"/>
      <c r="C75" s="46">
        <v>-0.7</v>
      </c>
      <c r="D75" s="46">
        <v>-1.2</v>
      </c>
      <c r="E75" s="46">
        <v>-23.9</v>
      </c>
      <c r="F75" s="46">
        <v>7.8</v>
      </c>
      <c r="G75" s="46">
        <v>0.3</v>
      </c>
      <c r="H75" s="46">
        <v>-2.5</v>
      </c>
      <c r="I75" s="46">
        <v>-0.7</v>
      </c>
      <c r="J75" s="46">
        <v>-136.6</v>
      </c>
      <c r="K75" s="46">
        <v>-1</v>
      </c>
      <c r="L75" s="46">
        <v>-0.1</v>
      </c>
      <c r="M75" s="46">
        <v>-4.7</v>
      </c>
      <c r="N75" s="46">
        <v>6.4</v>
      </c>
      <c r="O75" s="46">
        <v>2.8</v>
      </c>
      <c r="P75" s="46">
        <v>-21.6</v>
      </c>
      <c r="Q75" s="46">
        <v>-7.6</v>
      </c>
      <c r="R75" s="46">
        <v>-2.2000000000000002</v>
      </c>
      <c r="S75" s="46"/>
      <c r="T75" s="46"/>
      <c r="U75" s="46"/>
      <c r="V75" s="46"/>
      <c r="W75" s="46"/>
      <c r="X75" s="46"/>
      <c r="Y75" s="46"/>
      <c r="Z75" s="46"/>
      <c r="AA75" s="46"/>
      <c r="AB75" s="277"/>
    </row>
    <row r="76" spans="1:28" ht="30.75">
      <c r="A76" s="48" t="s">
        <v>60</v>
      </c>
      <c r="B76" s="45"/>
      <c r="C76" s="46">
        <v>-10.3</v>
      </c>
      <c r="D76" s="46">
        <v>-7.6</v>
      </c>
      <c r="E76" s="46">
        <v>-28.2</v>
      </c>
      <c r="F76" s="46">
        <v>-7</v>
      </c>
      <c r="G76" s="46">
        <v>27.9</v>
      </c>
      <c r="H76" s="46">
        <v>-24.7</v>
      </c>
      <c r="I76" s="46">
        <v>-24.3</v>
      </c>
      <c r="J76" s="46">
        <v>-162.4</v>
      </c>
      <c r="K76" s="46">
        <v>-1.3</v>
      </c>
      <c r="L76" s="46">
        <v>0.8</v>
      </c>
      <c r="M76" s="46">
        <v>-5.8</v>
      </c>
      <c r="N76" s="46">
        <v>-9.6</v>
      </c>
      <c r="O76" s="46">
        <v>-10.3</v>
      </c>
      <c r="P76" s="46">
        <v>-67.400000000000006</v>
      </c>
      <c r="Q76" s="46">
        <v>-58.4</v>
      </c>
      <c r="R76" s="46">
        <v>-16.7</v>
      </c>
      <c r="S76" s="46"/>
      <c r="T76" s="46"/>
      <c r="U76" s="46"/>
      <c r="V76" s="46"/>
      <c r="W76" s="46"/>
      <c r="X76" s="46"/>
      <c r="Y76" s="46"/>
      <c r="Z76" s="46"/>
      <c r="AA76" s="46"/>
      <c r="AB76" s="277"/>
    </row>
    <row r="77" spans="1:28" ht="20.25">
      <c r="A77" s="44" t="s">
        <v>241</v>
      </c>
      <c r="B77" s="45"/>
      <c r="C77" s="46">
        <v>6.1</v>
      </c>
      <c r="D77" s="46">
        <v>6</v>
      </c>
      <c r="E77" s="46">
        <v>2.7</v>
      </c>
      <c r="F77" s="46">
        <v>6.9</v>
      </c>
      <c r="G77" s="46">
        <v>4.8</v>
      </c>
      <c r="H77" s="46">
        <v>4.7</v>
      </c>
      <c r="I77" s="46">
        <v>4.7</v>
      </c>
      <c r="J77" s="46">
        <v>4.7</v>
      </c>
      <c r="K77" s="46">
        <v>0</v>
      </c>
      <c r="L77" s="46">
        <v>0</v>
      </c>
      <c r="M77" s="46">
        <v>0</v>
      </c>
      <c r="N77" s="46">
        <v>0</v>
      </c>
      <c r="O77" s="46">
        <v>0</v>
      </c>
      <c r="P77" s="46">
        <v>0</v>
      </c>
      <c r="Q77" s="46">
        <v>0</v>
      </c>
      <c r="R77" s="46">
        <v>0</v>
      </c>
      <c r="S77" s="46"/>
      <c r="T77" s="46"/>
      <c r="U77" s="46"/>
      <c r="V77" s="46"/>
      <c r="W77" s="46"/>
      <c r="X77" s="46"/>
      <c r="Y77" s="46"/>
      <c r="Z77" s="46"/>
      <c r="AA77" s="46"/>
      <c r="AB77" s="277"/>
    </row>
    <row r="78" spans="1:28" ht="20.25">
      <c r="A78" s="44" t="s">
        <v>242</v>
      </c>
      <c r="B78" s="45"/>
      <c r="C78" s="46">
        <v>0</v>
      </c>
      <c r="D78" s="46">
        <v>0</v>
      </c>
      <c r="E78" s="46">
        <v>0</v>
      </c>
      <c r="F78" s="46">
        <v>0</v>
      </c>
      <c r="G78" s="46">
        <v>0</v>
      </c>
      <c r="H78" s="46">
        <v>0</v>
      </c>
      <c r="I78" s="46">
        <v>0</v>
      </c>
      <c r="J78" s="46">
        <v>0</v>
      </c>
      <c r="K78" s="46">
        <v>0</v>
      </c>
      <c r="L78" s="46">
        <v>0</v>
      </c>
      <c r="M78" s="46">
        <v>0</v>
      </c>
      <c r="N78" s="46">
        <v>0</v>
      </c>
      <c r="O78" s="46">
        <v>0</v>
      </c>
      <c r="P78" s="46">
        <v>0</v>
      </c>
      <c r="Q78" s="46">
        <v>0</v>
      </c>
      <c r="R78" s="46">
        <v>0</v>
      </c>
      <c r="S78" s="46"/>
      <c r="T78" s="46"/>
      <c r="U78" s="46"/>
      <c r="V78" s="46"/>
      <c r="W78" s="46"/>
      <c r="X78" s="46"/>
      <c r="Y78" s="46"/>
      <c r="Z78" s="46"/>
      <c r="AA78" s="46"/>
      <c r="AB78" s="277"/>
    </row>
    <row r="79" spans="1:28" ht="20.25">
      <c r="A79" s="49" t="s">
        <v>95</v>
      </c>
      <c r="B79" s="45"/>
      <c r="C79" s="51">
        <v>-4.2</v>
      </c>
      <c r="D79" s="51">
        <v>-1.6</v>
      </c>
      <c r="E79" s="51">
        <v>-25.5</v>
      </c>
      <c r="F79" s="51">
        <v>-0.1</v>
      </c>
      <c r="G79" s="51">
        <v>32.700000000000003</v>
      </c>
      <c r="H79" s="51">
        <v>-19.899999999999999</v>
      </c>
      <c r="I79" s="51">
        <v>-19.600000000000001</v>
      </c>
      <c r="J79" s="51">
        <v>-157.69999999999999</v>
      </c>
      <c r="K79" s="51">
        <v>-1.3</v>
      </c>
      <c r="L79" s="51">
        <v>0.8</v>
      </c>
      <c r="M79" s="51">
        <v>-5.9</v>
      </c>
      <c r="N79" s="274">
        <v>-9.6</v>
      </c>
      <c r="O79" s="274">
        <v>-10.3</v>
      </c>
      <c r="P79" s="51">
        <v>-67.400000000000006</v>
      </c>
      <c r="Q79" s="51">
        <v>-58.4</v>
      </c>
      <c r="R79" s="51">
        <v>-16.8</v>
      </c>
      <c r="S79" s="51"/>
      <c r="T79" s="51"/>
      <c r="U79" s="51"/>
      <c r="V79" s="51"/>
      <c r="W79" s="51"/>
      <c r="X79" s="51"/>
      <c r="Y79" s="51"/>
      <c r="Z79" s="51"/>
      <c r="AA79" s="51"/>
      <c r="AB79" s="277"/>
    </row>
    <row r="80" spans="1:28" ht="20.25">
      <c r="A80" s="49" t="s">
        <v>243</v>
      </c>
      <c r="B80" s="45"/>
      <c r="C80" s="52">
        <v>-0.05</v>
      </c>
      <c r="D80" s="52">
        <v>-0.02</v>
      </c>
      <c r="E80" s="52">
        <v>-0.34599999999999997</v>
      </c>
      <c r="F80" s="52">
        <v>-1E-3</v>
      </c>
      <c r="G80" s="52">
        <v>0.28899999999999998</v>
      </c>
      <c r="H80" s="52">
        <v>-0.19600000000000001</v>
      </c>
      <c r="I80" s="52">
        <v>-0.27600000000000002</v>
      </c>
      <c r="J80" s="52">
        <v>0</v>
      </c>
      <c r="K80" s="52">
        <v>-2.1000000000000001E-2</v>
      </c>
      <c r="L80" s="52">
        <v>8.0000000000000002E-3</v>
      </c>
      <c r="M80" s="52">
        <v>-4.5999999999999999E-2</v>
      </c>
      <c r="N80" s="275">
        <v>-7.5999999999999998E-2</v>
      </c>
      <c r="O80" s="275">
        <v>-0.09</v>
      </c>
      <c r="P80" s="52">
        <v>-1.571</v>
      </c>
      <c r="Q80" s="52">
        <v>-1.899</v>
      </c>
      <c r="R80" s="52">
        <v>-0.28000000000000003</v>
      </c>
      <c r="S80" s="52"/>
      <c r="T80" s="52"/>
      <c r="U80" s="52"/>
      <c r="V80" s="52"/>
      <c r="W80" s="52"/>
      <c r="X80" s="52"/>
      <c r="Y80" s="52"/>
      <c r="Z80" s="52"/>
      <c r="AA80" s="52"/>
      <c r="AB80" s="319"/>
    </row>
    <row r="81" spans="1:28" ht="5.25" customHeight="1">
      <c r="A81" s="48"/>
      <c r="B81" s="45"/>
      <c r="C81" s="46"/>
      <c r="D81" s="46"/>
      <c r="E81" s="46"/>
      <c r="F81" s="46"/>
      <c r="G81" s="46"/>
      <c r="H81" s="46"/>
      <c r="I81" s="46"/>
      <c r="J81" s="46"/>
      <c r="K81" s="46"/>
      <c r="L81" s="46"/>
      <c r="M81" s="46"/>
      <c r="N81" s="276"/>
      <c r="O81" s="276"/>
      <c r="P81" s="266"/>
      <c r="Q81" s="266"/>
      <c r="R81" s="46"/>
      <c r="S81" s="46"/>
      <c r="T81" s="46"/>
      <c r="U81" s="46"/>
      <c r="V81" s="46"/>
      <c r="W81" s="46"/>
      <c r="X81" s="46"/>
      <c r="Y81" s="46"/>
      <c r="Z81" s="46"/>
      <c r="AA81" s="46"/>
    </row>
    <row r="82" spans="1:28" ht="20.25">
      <c r="A82" s="49" t="s">
        <v>61</v>
      </c>
      <c r="B82" s="50"/>
      <c r="C82" s="51">
        <v>-4.2</v>
      </c>
      <c r="D82" s="51">
        <v>-1.6</v>
      </c>
      <c r="E82" s="51">
        <v>-25.5</v>
      </c>
      <c r="F82" s="51">
        <v>-2.2000000000000002</v>
      </c>
      <c r="G82" s="51">
        <v>32.700000000000003</v>
      </c>
      <c r="H82" s="51">
        <v>-19.899999999999999</v>
      </c>
      <c r="I82" s="51">
        <v>-19.600000000000001</v>
      </c>
      <c r="J82" s="51">
        <v>-14.6</v>
      </c>
      <c r="K82" s="51">
        <v>-1.3</v>
      </c>
      <c r="L82" s="51">
        <v>0.8</v>
      </c>
      <c r="M82" s="51">
        <v>-5.8</v>
      </c>
      <c r="N82" s="274">
        <v>-9.6</v>
      </c>
      <c r="O82" s="274">
        <v>-10.3</v>
      </c>
      <c r="P82" s="51">
        <v>-67.400000000000006</v>
      </c>
      <c r="Q82" s="51">
        <v>-51.6</v>
      </c>
      <c r="R82" s="51">
        <v>-15.9</v>
      </c>
      <c r="S82" s="51"/>
      <c r="T82" s="51"/>
      <c r="U82" s="51"/>
      <c r="V82" s="51"/>
      <c r="W82" s="51"/>
      <c r="X82" s="51"/>
      <c r="Y82" s="51"/>
      <c r="Z82" s="51"/>
      <c r="AA82" s="51"/>
      <c r="AB82" s="277"/>
    </row>
    <row r="83" spans="1:28" ht="20.25">
      <c r="A83" s="49" t="s">
        <v>62</v>
      </c>
      <c r="B83" s="50"/>
      <c r="C83" s="52">
        <v>-0.05</v>
      </c>
      <c r="D83" s="52">
        <v>-0.02</v>
      </c>
      <c r="E83" s="52">
        <v>-0.34599999999999997</v>
      </c>
      <c r="F83" s="52">
        <v>-4.2999999999999997E-2</v>
      </c>
      <c r="G83" s="52">
        <v>0.28899999999999998</v>
      </c>
      <c r="H83" s="52">
        <v>-0.19600000000000001</v>
      </c>
      <c r="I83" s="52">
        <v>-0.27600000000000002</v>
      </c>
      <c r="J83" s="52">
        <v>-0.219</v>
      </c>
      <c r="K83" s="52">
        <v>-2.1000000000000001E-2</v>
      </c>
      <c r="L83" s="52">
        <v>8.0000000000000002E-3</v>
      </c>
      <c r="M83" s="52">
        <v>-4.5999999999999999E-2</v>
      </c>
      <c r="N83" s="275">
        <v>-7.5999999999999998E-2</v>
      </c>
      <c r="O83" s="275">
        <v>-0.09</v>
      </c>
      <c r="P83" s="52">
        <v>-1.571</v>
      </c>
      <c r="Q83" s="52">
        <v>-1.6779999999999999</v>
      </c>
      <c r="R83" s="52">
        <v>-0.26600000000000001</v>
      </c>
      <c r="S83" s="52"/>
      <c r="T83" s="52"/>
      <c r="U83" s="52"/>
      <c r="V83" s="52"/>
      <c r="W83" s="52"/>
      <c r="X83" s="52"/>
      <c r="Y83" s="52"/>
      <c r="Z83" s="52"/>
      <c r="AA83" s="52"/>
      <c r="AB83" s="319"/>
    </row>
    <row r="84" spans="1:28" ht="15.75">
      <c r="A84" s="45"/>
      <c r="B84" s="45"/>
      <c r="C84" s="45"/>
      <c r="D84" s="45"/>
      <c r="E84" s="45"/>
      <c r="F84" s="45"/>
      <c r="G84" s="45"/>
      <c r="H84" s="45"/>
      <c r="I84" s="45"/>
      <c r="J84" s="45"/>
      <c r="K84" s="45"/>
      <c r="L84" s="45"/>
      <c r="M84" s="45"/>
      <c r="N84" s="45"/>
      <c r="O84" s="45"/>
      <c r="P84" s="45"/>
      <c r="Q84" s="45"/>
    </row>
    <row r="85" spans="1:28" ht="30" customHeight="1">
      <c r="A85" s="405" t="s">
        <v>66</v>
      </c>
      <c r="B85" s="405"/>
      <c r="C85" s="405"/>
      <c r="D85" s="405"/>
      <c r="E85" s="405"/>
      <c r="F85" s="405"/>
      <c r="G85" s="405"/>
      <c r="H85" s="405"/>
      <c r="I85" s="405"/>
      <c r="J85" s="405"/>
      <c r="K85" s="405"/>
      <c r="L85" s="405"/>
      <c r="M85" s="405"/>
      <c r="N85" s="405"/>
      <c r="O85" s="405"/>
      <c r="P85" s="405"/>
      <c r="Q85" s="405"/>
      <c r="R85" s="405"/>
      <c r="S85" s="270"/>
      <c r="T85" s="270"/>
      <c r="U85" s="270"/>
      <c r="V85" s="270"/>
      <c r="W85" s="270"/>
      <c r="X85" s="270"/>
      <c r="Y85" s="270"/>
      <c r="Z85" s="270"/>
      <c r="AA85" s="270"/>
    </row>
    <row r="86" spans="1:28" ht="20.25">
      <c r="A86" s="41" t="s">
        <v>50</v>
      </c>
      <c r="B86" s="42"/>
      <c r="C86" s="43" t="s">
        <v>37</v>
      </c>
      <c r="D86" s="43" t="s">
        <v>38</v>
      </c>
      <c r="E86" s="43" t="s">
        <v>39</v>
      </c>
      <c r="F86" s="43" t="s">
        <v>40</v>
      </c>
      <c r="G86" s="43" t="s">
        <v>41</v>
      </c>
      <c r="H86" s="43" t="s">
        <v>42</v>
      </c>
      <c r="I86" s="43" t="s">
        <v>43</v>
      </c>
      <c r="J86" s="43" t="s">
        <v>215</v>
      </c>
      <c r="K86" s="43" t="s">
        <v>240</v>
      </c>
      <c r="L86" s="43" t="s">
        <v>251</v>
      </c>
      <c r="M86" s="43" t="s">
        <v>263</v>
      </c>
      <c r="N86" s="43" t="s">
        <v>270</v>
      </c>
      <c r="O86" s="43" t="s">
        <v>283</v>
      </c>
      <c r="P86" s="43" t="s">
        <v>305</v>
      </c>
      <c r="Q86" s="43" t="s">
        <v>313</v>
      </c>
      <c r="R86" s="43" t="s">
        <v>323</v>
      </c>
      <c r="S86" s="43" t="s">
        <v>331</v>
      </c>
      <c r="T86" s="43" t="s">
        <v>334</v>
      </c>
      <c r="U86" s="43" t="s">
        <v>348</v>
      </c>
      <c r="V86" s="43" t="s">
        <v>361</v>
      </c>
      <c r="W86" s="43" t="s">
        <v>362</v>
      </c>
      <c r="X86" s="43" t="s">
        <v>411</v>
      </c>
      <c r="Y86" s="43" t="s">
        <v>413</v>
      </c>
      <c r="Z86" s="43" t="s">
        <v>419</v>
      </c>
      <c r="AA86" s="43" t="s">
        <v>421</v>
      </c>
    </row>
    <row r="87" spans="1:28" ht="20.25">
      <c r="A87" s="44" t="s">
        <v>51</v>
      </c>
      <c r="B87" s="45"/>
      <c r="C87" s="46">
        <v>-625.79999999999995</v>
      </c>
      <c r="D87" s="46">
        <v>-647.4</v>
      </c>
      <c r="E87" s="46">
        <v>-674.5</v>
      </c>
      <c r="F87" s="46">
        <v>-607.79999999999995</v>
      </c>
      <c r="G87" s="46">
        <v>-827.2</v>
      </c>
      <c r="H87" s="46">
        <v>-793.8</v>
      </c>
      <c r="I87" s="46">
        <v>-898.1</v>
      </c>
      <c r="J87" s="46">
        <v>-990.2</v>
      </c>
      <c r="K87" s="46">
        <v>-916.5</v>
      </c>
      <c r="L87" s="46">
        <v>-1102.5</v>
      </c>
      <c r="M87" s="46">
        <v>-1059</v>
      </c>
      <c r="N87" s="46">
        <v>-823.9</v>
      </c>
      <c r="O87" s="46">
        <v>-1038.3</v>
      </c>
      <c r="P87" s="46">
        <v>-744</v>
      </c>
      <c r="Q87" s="46">
        <v>-875.9</v>
      </c>
      <c r="R87" s="46">
        <v>-1574.4</v>
      </c>
      <c r="S87" s="46">
        <v>-1932</v>
      </c>
      <c r="T87" s="46">
        <v>-2638.9</v>
      </c>
      <c r="U87" s="46">
        <v>-2627.7660000000001</v>
      </c>
      <c r="V87" s="46">
        <v>-1792.845</v>
      </c>
      <c r="W87" s="46">
        <v>-2041.067</v>
      </c>
      <c r="X87" s="46">
        <v>-2782.857</v>
      </c>
      <c r="Y87" s="46">
        <v>-2478.5509999999999</v>
      </c>
      <c r="Z87" s="46">
        <v>-1925.096</v>
      </c>
      <c r="AA87" s="46">
        <v>-2052.4409999999998</v>
      </c>
      <c r="AB87" s="277"/>
    </row>
    <row r="88" spans="1:28" ht="20.25">
      <c r="A88" s="44" t="s">
        <v>52</v>
      </c>
      <c r="B88" s="45"/>
      <c r="C88" s="47">
        <v>-625.79999999999995</v>
      </c>
      <c r="D88" s="47">
        <v>-647.4</v>
      </c>
      <c r="E88" s="47">
        <v>-674.5</v>
      </c>
      <c r="F88" s="47">
        <v>-607.79999999999995</v>
      </c>
      <c r="G88" s="47">
        <v>-827.2</v>
      </c>
      <c r="H88" s="47">
        <v>-793.8</v>
      </c>
      <c r="I88" s="47">
        <v>-898.1</v>
      </c>
      <c r="J88" s="47">
        <v>-990.2</v>
      </c>
      <c r="K88" s="46">
        <v>-916.5</v>
      </c>
      <c r="L88" s="46">
        <v>-1102.5</v>
      </c>
      <c r="M88" s="46">
        <v>-1059</v>
      </c>
      <c r="N88" s="46">
        <v>-823.9</v>
      </c>
      <c r="O88" s="46">
        <v>-1038.3</v>
      </c>
      <c r="P88" s="46">
        <v>-744</v>
      </c>
      <c r="Q88" s="46">
        <v>-875.9</v>
      </c>
      <c r="R88" s="47">
        <v>-1574.4</v>
      </c>
      <c r="S88" s="47">
        <v>-1932</v>
      </c>
      <c r="T88" s="47">
        <v>-2638.9</v>
      </c>
      <c r="U88" s="47">
        <v>-2627.7660000000001</v>
      </c>
      <c r="V88" s="47">
        <v>-1792.845</v>
      </c>
      <c r="W88" s="47">
        <v>-2041.067</v>
      </c>
      <c r="X88" s="47">
        <v>-2782.857</v>
      </c>
      <c r="Y88" s="47">
        <v>-2478.5509999999999</v>
      </c>
      <c r="Z88" s="47">
        <v>-1925.096</v>
      </c>
      <c r="AA88" s="47">
        <v>-2052.4409999999998</v>
      </c>
      <c r="AB88" s="277"/>
    </row>
    <row r="89" spans="1:28" ht="20.25">
      <c r="A89" s="44" t="s">
        <v>53</v>
      </c>
      <c r="B89" s="45"/>
      <c r="C89" s="46">
        <v>0</v>
      </c>
      <c r="D89" s="46">
        <v>0</v>
      </c>
      <c r="E89" s="46">
        <v>0</v>
      </c>
      <c r="F89" s="46">
        <v>0</v>
      </c>
      <c r="G89" s="46">
        <v>0</v>
      </c>
      <c r="H89" s="46">
        <v>0</v>
      </c>
      <c r="I89" s="46">
        <v>0</v>
      </c>
      <c r="J89" s="46">
        <v>0</v>
      </c>
      <c r="K89" s="47">
        <v>0</v>
      </c>
      <c r="L89" s="47">
        <v>0</v>
      </c>
      <c r="M89" s="47">
        <v>0</v>
      </c>
      <c r="N89" s="47">
        <v>0</v>
      </c>
      <c r="O89" s="47">
        <v>0</v>
      </c>
      <c r="P89" s="47">
        <v>0</v>
      </c>
      <c r="Q89" s="47">
        <v>0</v>
      </c>
      <c r="R89" s="47">
        <v>0</v>
      </c>
      <c r="S89" s="47">
        <v>0</v>
      </c>
      <c r="T89" s="47">
        <v>0</v>
      </c>
      <c r="U89" s="47">
        <v>0</v>
      </c>
      <c r="V89" s="47">
        <v>0</v>
      </c>
      <c r="W89" s="47">
        <v>0</v>
      </c>
      <c r="X89" s="47">
        <v>0</v>
      </c>
      <c r="Y89" s="47">
        <v>0</v>
      </c>
      <c r="Z89" s="47">
        <v>0</v>
      </c>
      <c r="AA89" s="47">
        <v>0</v>
      </c>
      <c r="AB89" s="277"/>
    </row>
    <row r="90" spans="1:28" ht="20.25">
      <c r="A90" s="44" t="s">
        <v>54</v>
      </c>
      <c r="B90" s="45"/>
      <c r="C90" s="46">
        <v>575</v>
      </c>
      <c r="D90" s="46">
        <v>600.4</v>
      </c>
      <c r="E90" s="46">
        <v>618</v>
      </c>
      <c r="F90" s="46">
        <v>545.4</v>
      </c>
      <c r="G90" s="46">
        <v>736.4</v>
      </c>
      <c r="H90" s="46">
        <v>740.9</v>
      </c>
      <c r="I90" s="46">
        <v>834.9</v>
      </c>
      <c r="J90" s="46">
        <v>914.7</v>
      </c>
      <c r="K90" s="46">
        <v>892</v>
      </c>
      <c r="L90" s="46">
        <v>1009.1</v>
      </c>
      <c r="M90" s="46">
        <v>1038</v>
      </c>
      <c r="N90" s="46">
        <v>833.9</v>
      </c>
      <c r="O90" s="46">
        <v>971</v>
      </c>
      <c r="P90" s="46">
        <v>714.5</v>
      </c>
      <c r="Q90" s="46">
        <v>859.5</v>
      </c>
      <c r="R90" s="46">
        <v>1460.8</v>
      </c>
      <c r="S90" s="46">
        <v>1724.8</v>
      </c>
      <c r="T90" s="46">
        <v>2312.6999999999998</v>
      </c>
      <c r="U90" s="46">
        <v>2462.2539999999999</v>
      </c>
      <c r="V90" s="46">
        <v>1977.712</v>
      </c>
      <c r="W90" s="46">
        <v>2141.6999999999998</v>
      </c>
      <c r="X90" s="46">
        <v>2563.326</v>
      </c>
      <c r="Y90" s="46">
        <v>2579.4670000000001</v>
      </c>
      <c r="Z90" s="46">
        <v>2017.559</v>
      </c>
      <c r="AA90" s="46">
        <v>2050.7530000000002</v>
      </c>
      <c r="AB90" s="277"/>
    </row>
    <row r="91" spans="1:28" ht="20.25">
      <c r="A91" s="44" t="s">
        <v>55</v>
      </c>
      <c r="B91" s="45"/>
      <c r="C91" s="46">
        <v>-50.8</v>
      </c>
      <c r="D91" s="46">
        <v>-47</v>
      </c>
      <c r="E91" s="46">
        <v>-56.4</v>
      </c>
      <c r="F91" s="46">
        <v>-62.4</v>
      </c>
      <c r="G91" s="46">
        <v>-90.8</v>
      </c>
      <c r="H91" s="46">
        <v>-52.9</v>
      </c>
      <c r="I91" s="46">
        <v>-63.2</v>
      </c>
      <c r="J91" s="46">
        <v>-75.400000000000006</v>
      </c>
      <c r="K91" s="46">
        <v>-24.5</v>
      </c>
      <c r="L91" s="46">
        <v>-93.4</v>
      </c>
      <c r="M91" s="46">
        <v>-21</v>
      </c>
      <c r="N91" s="46">
        <v>10.1</v>
      </c>
      <c r="O91" s="46">
        <v>-67.3</v>
      </c>
      <c r="P91" s="46">
        <v>-29.4</v>
      </c>
      <c r="Q91" s="46">
        <v>-16.399999999999999</v>
      </c>
      <c r="R91" s="46">
        <v>-113.6</v>
      </c>
      <c r="S91" s="46">
        <v>-207.3</v>
      </c>
      <c r="T91" s="46">
        <v>-326.2</v>
      </c>
      <c r="U91" s="46">
        <v>-165.512</v>
      </c>
      <c r="V91" s="46">
        <v>184.86699999999999</v>
      </c>
      <c r="W91" s="46">
        <v>100.633</v>
      </c>
      <c r="X91" s="46">
        <v>-219.53100000000001</v>
      </c>
      <c r="Y91" s="46">
        <v>100.916</v>
      </c>
      <c r="Z91" s="46">
        <v>92.462999999999994</v>
      </c>
      <c r="AA91" s="46">
        <v>-1.6879999999999999</v>
      </c>
      <c r="AB91" s="277"/>
    </row>
    <row r="92" spans="1:28" ht="20.25">
      <c r="A92" s="44" t="s">
        <v>56</v>
      </c>
      <c r="B92" s="45"/>
      <c r="C92" s="46">
        <v>1.1000000000000001</v>
      </c>
      <c r="D92" s="46">
        <v>1</v>
      </c>
      <c r="E92" s="46">
        <v>1</v>
      </c>
      <c r="F92" s="46">
        <v>1.9</v>
      </c>
      <c r="G92" s="46">
        <v>1.1000000000000001</v>
      </c>
      <c r="H92" s="46">
        <v>5.4</v>
      </c>
      <c r="I92" s="46">
        <v>1.3</v>
      </c>
      <c r="J92" s="46">
        <v>-27.7</v>
      </c>
      <c r="K92" s="46">
        <v>0.3</v>
      </c>
      <c r="L92" s="46">
        <v>2.6</v>
      </c>
      <c r="M92" s="46">
        <v>-2.9</v>
      </c>
      <c r="N92" s="46">
        <v>-4.2</v>
      </c>
      <c r="O92" s="46">
        <v>0.8</v>
      </c>
      <c r="P92" s="46">
        <v>0.2</v>
      </c>
      <c r="Q92" s="46">
        <v>1.3</v>
      </c>
      <c r="R92" s="46">
        <v>2.4</v>
      </c>
      <c r="S92" s="46">
        <v>3.5</v>
      </c>
      <c r="T92" s="46">
        <v>2.2000000000000002</v>
      </c>
      <c r="U92" s="46">
        <v>3.6739999999999999</v>
      </c>
      <c r="V92" s="46">
        <v>2.8359999999999999</v>
      </c>
      <c r="W92" s="46">
        <v>4.5990000000000002</v>
      </c>
      <c r="X92" s="46">
        <v>2.282</v>
      </c>
      <c r="Y92" s="46">
        <v>3.202</v>
      </c>
      <c r="Z92" s="46">
        <v>-20.853999999999999</v>
      </c>
      <c r="AA92" s="46">
        <v>-0.76600000000000001</v>
      </c>
      <c r="AB92" s="277"/>
    </row>
    <row r="93" spans="1:28" ht="20.25">
      <c r="A93" s="44" t="s">
        <v>57</v>
      </c>
      <c r="B93" s="45"/>
      <c r="C93" s="46">
        <v>-1.1000000000000001</v>
      </c>
      <c r="D93" s="46">
        <v>-1.2</v>
      </c>
      <c r="E93" s="46">
        <v>-1.3</v>
      </c>
      <c r="F93" s="46">
        <v>-1.3</v>
      </c>
      <c r="G93" s="46">
        <v>-1.2</v>
      </c>
      <c r="H93" s="46">
        <v>-1.1000000000000001</v>
      </c>
      <c r="I93" s="46">
        <v>-1.1000000000000001</v>
      </c>
      <c r="J93" s="46">
        <v>-1.4</v>
      </c>
      <c r="K93" s="46">
        <v>-1.2</v>
      </c>
      <c r="L93" s="46">
        <v>-1.1000000000000001</v>
      </c>
      <c r="M93" s="46">
        <v>-1.1000000000000001</v>
      </c>
      <c r="N93" s="46">
        <v>-1.2</v>
      </c>
      <c r="O93" s="46">
        <v>-1.3</v>
      </c>
      <c r="P93" s="46">
        <v>-1.2</v>
      </c>
      <c r="Q93" s="46">
        <v>-1.2</v>
      </c>
      <c r="R93" s="46">
        <v>-1.5</v>
      </c>
      <c r="S93" s="46">
        <v>0</v>
      </c>
      <c r="T93" s="46">
        <v>0</v>
      </c>
      <c r="U93" s="46">
        <v>0</v>
      </c>
      <c r="V93" s="46">
        <v>0</v>
      </c>
      <c r="W93" s="46">
        <v>0</v>
      </c>
      <c r="X93" s="46">
        <v>0</v>
      </c>
      <c r="Y93" s="46">
        <v>0</v>
      </c>
      <c r="Z93" s="46">
        <v>0</v>
      </c>
      <c r="AA93" s="46">
        <v>0</v>
      </c>
      <c r="AB93" s="277"/>
    </row>
    <row r="94" spans="1:28" ht="20.25">
      <c r="A94" s="44" t="s">
        <v>58</v>
      </c>
      <c r="B94" s="45"/>
      <c r="C94" s="46">
        <v>3.2</v>
      </c>
      <c r="D94" s="46">
        <v>3</v>
      </c>
      <c r="E94" s="46">
        <v>3.3</v>
      </c>
      <c r="F94" s="46">
        <v>3.5</v>
      </c>
      <c r="G94" s="46">
        <v>3.3</v>
      </c>
      <c r="H94" s="46">
        <v>3.4</v>
      </c>
      <c r="I94" s="46">
        <v>3.4</v>
      </c>
      <c r="J94" s="46">
        <v>3.9</v>
      </c>
      <c r="K94" s="46">
        <v>3.5</v>
      </c>
      <c r="L94" s="46">
        <v>3.4</v>
      </c>
      <c r="M94" s="46">
        <v>4</v>
      </c>
      <c r="N94" s="46">
        <v>3.8</v>
      </c>
      <c r="O94" s="46">
        <v>3.6</v>
      </c>
      <c r="P94" s="46">
        <v>3.7</v>
      </c>
      <c r="Q94" s="46">
        <v>4.2</v>
      </c>
      <c r="R94" s="46">
        <v>3.7</v>
      </c>
      <c r="S94" s="46">
        <v>2.2999999999999998</v>
      </c>
      <c r="T94" s="46">
        <v>5.6</v>
      </c>
      <c r="U94" s="46">
        <v>4.4809999999999999</v>
      </c>
      <c r="V94" s="46">
        <v>4.5309999999999997</v>
      </c>
      <c r="W94" s="46">
        <v>4.218</v>
      </c>
      <c r="X94" s="46">
        <v>4.6840000000000002</v>
      </c>
      <c r="Y94" s="46">
        <v>4.7119999999999997</v>
      </c>
      <c r="Z94" s="46">
        <v>5.4509999999999996</v>
      </c>
      <c r="AA94" s="46">
        <v>4.7380000000000004</v>
      </c>
      <c r="AB94" s="277"/>
    </row>
    <row r="95" spans="1:28" ht="20.25">
      <c r="A95" s="44" t="s">
        <v>59</v>
      </c>
      <c r="B95" s="45"/>
      <c r="C95" s="46">
        <v>-1.1000000000000001</v>
      </c>
      <c r="D95" s="46">
        <v>-0.8</v>
      </c>
      <c r="E95" s="46">
        <v>-1.1000000000000001</v>
      </c>
      <c r="F95" s="46">
        <v>-0.3</v>
      </c>
      <c r="G95" s="46">
        <v>-1.1000000000000001</v>
      </c>
      <c r="H95" s="46">
        <v>3.2</v>
      </c>
      <c r="I95" s="46">
        <v>-1</v>
      </c>
      <c r="J95" s="46">
        <v>-30.2</v>
      </c>
      <c r="K95" s="46">
        <v>-2</v>
      </c>
      <c r="L95" s="46">
        <v>0.2</v>
      </c>
      <c r="M95" s="46">
        <v>-5.8</v>
      </c>
      <c r="N95" s="46">
        <v>-6.9</v>
      </c>
      <c r="O95" s="46">
        <v>-1.5</v>
      </c>
      <c r="P95" s="46">
        <v>-2.4</v>
      </c>
      <c r="Q95" s="46">
        <v>-1.7</v>
      </c>
      <c r="R95" s="46">
        <v>0.2</v>
      </c>
      <c r="S95" s="46">
        <v>1.2</v>
      </c>
      <c r="T95" s="46">
        <v>-3.4</v>
      </c>
      <c r="U95" s="46">
        <v>-0.80700000000000005</v>
      </c>
      <c r="V95" s="46">
        <v>-1.6950000000000001</v>
      </c>
      <c r="W95" s="46">
        <v>0.38100000000000001</v>
      </c>
      <c r="X95" s="46">
        <v>-2.4020000000000001</v>
      </c>
      <c r="Y95" s="46">
        <v>-1.51</v>
      </c>
      <c r="Z95" s="46">
        <v>-26.305</v>
      </c>
      <c r="AA95" s="46">
        <v>-5.5039999999999996</v>
      </c>
      <c r="AB95" s="277"/>
    </row>
    <row r="96" spans="1:28" ht="30.75">
      <c r="A96" s="48" t="s">
        <v>60</v>
      </c>
      <c r="B96" s="45"/>
      <c r="C96" s="46">
        <v>-49.7</v>
      </c>
      <c r="D96" s="46">
        <v>-46</v>
      </c>
      <c r="E96" s="46">
        <v>-55.4</v>
      </c>
      <c r="F96" s="46">
        <v>-60.5</v>
      </c>
      <c r="G96" s="46">
        <v>-89.7</v>
      </c>
      <c r="H96" s="46">
        <v>-47.4</v>
      </c>
      <c r="I96" s="46">
        <v>-61.9</v>
      </c>
      <c r="J96" s="46">
        <v>-103.1</v>
      </c>
      <c r="K96" s="46">
        <v>-24.3</v>
      </c>
      <c r="L96" s="46">
        <v>-90.8</v>
      </c>
      <c r="M96" s="46">
        <v>-23.9</v>
      </c>
      <c r="N96" s="46">
        <v>5.9</v>
      </c>
      <c r="O96" s="46">
        <v>-66.5</v>
      </c>
      <c r="P96" s="46">
        <v>-29.3</v>
      </c>
      <c r="Q96" s="46">
        <v>-15.1</v>
      </c>
      <c r="R96" s="46">
        <v>-111.2</v>
      </c>
      <c r="S96" s="46">
        <v>-203.7</v>
      </c>
      <c r="T96" s="46">
        <v>-323.89999999999998</v>
      </c>
      <c r="U96" s="46">
        <v>-161.83799999999999</v>
      </c>
      <c r="V96" s="46">
        <v>187.703</v>
      </c>
      <c r="W96" s="46">
        <v>105.232</v>
      </c>
      <c r="X96" s="46">
        <v>-217.249</v>
      </c>
      <c r="Y96" s="46">
        <v>104.11799999999999</v>
      </c>
      <c r="Z96" s="46">
        <v>71.608999999999995</v>
      </c>
      <c r="AA96" s="46">
        <v>-2.4540000000000002</v>
      </c>
      <c r="AB96" s="277"/>
    </row>
    <row r="97" spans="1:28" ht="20.25">
      <c r="A97" s="44" t="s">
        <v>241</v>
      </c>
      <c r="B97" s="45"/>
      <c r="C97" s="46">
        <v>-8.4</v>
      </c>
      <c r="D97" s="46">
        <v>-8.4</v>
      </c>
      <c r="E97" s="46">
        <v>-8.5</v>
      </c>
      <c r="F97" s="46">
        <v>-8.5</v>
      </c>
      <c r="G97" s="46">
        <v>-8.4</v>
      </c>
      <c r="H97" s="46">
        <v>-8.4</v>
      </c>
      <c r="I97" s="46">
        <v>-8.6</v>
      </c>
      <c r="J97" s="46">
        <v>-8.6</v>
      </c>
      <c r="K97" s="46">
        <v>-8.6</v>
      </c>
      <c r="L97" s="46">
        <v>-8.6</v>
      </c>
      <c r="M97" s="46">
        <v>-8.6</v>
      </c>
      <c r="N97" s="46">
        <v>-8.6</v>
      </c>
      <c r="O97" s="46">
        <v>-8.1999999999999993</v>
      </c>
      <c r="P97" s="46">
        <v>-8.1999999999999993</v>
      </c>
      <c r="Q97" s="46">
        <v>-8.3000000000000007</v>
      </c>
      <c r="R97" s="46">
        <v>-8.3000000000000007</v>
      </c>
      <c r="S97" s="46">
        <v>-8.1</v>
      </c>
      <c r="T97" s="46">
        <v>-8.1999999999999993</v>
      </c>
      <c r="U97" s="46">
        <v>-8.1010000000000009</v>
      </c>
      <c r="V97" s="46">
        <v>-8.8059999999999992</v>
      </c>
      <c r="W97" s="46">
        <v>-8.3970000000000002</v>
      </c>
      <c r="X97" s="46">
        <v>-8.5250000000000004</v>
      </c>
      <c r="Y97" s="46">
        <v>-8.74</v>
      </c>
      <c r="Z97" s="46">
        <v>-8.7989999999999995</v>
      </c>
      <c r="AA97" s="46">
        <v>-8.8030000000000008</v>
      </c>
      <c r="AB97" s="277"/>
    </row>
    <row r="98" spans="1:28" ht="20.25">
      <c r="A98" s="44" t="s">
        <v>242</v>
      </c>
      <c r="B98" s="45"/>
      <c r="C98" s="46">
        <v>-17.899999999999999</v>
      </c>
      <c r="D98" s="46">
        <v>-107.3</v>
      </c>
      <c r="E98" s="46">
        <v>54.7</v>
      </c>
      <c r="F98" s="46">
        <v>-86.2</v>
      </c>
      <c r="G98" s="46">
        <v>-26.1</v>
      </c>
      <c r="H98" s="46">
        <v>14.5</v>
      </c>
      <c r="I98" s="46">
        <v>11.7</v>
      </c>
      <c r="J98" s="46">
        <v>134.19999999999999</v>
      </c>
      <c r="K98" s="46">
        <v>-36.700000000000003</v>
      </c>
      <c r="L98" s="46">
        <v>-59.4</v>
      </c>
      <c r="M98" s="46">
        <v>-76.8</v>
      </c>
      <c r="N98" s="46">
        <v>19.899999999999999</v>
      </c>
      <c r="O98" s="46">
        <v>-89</v>
      </c>
      <c r="P98" s="46">
        <v>-64.8</v>
      </c>
      <c r="Q98" s="46">
        <v>-239</v>
      </c>
      <c r="R98" s="46">
        <v>-762.9</v>
      </c>
      <c r="S98" s="46">
        <v>-456.4</v>
      </c>
      <c r="T98" s="46">
        <v>-569.70000000000005</v>
      </c>
      <c r="U98" s="46">
        <v>-462.46300000000002</v>
      </c>
      <c r="V98" s="46">
        <v>-327.18799999999999</v>
      </c>
      <c r="W98" s="46">
        <v>-283.58499999999998</v>
      </c>
      <c r="X98" s="46">
        <v>-186.40700000000001</v>
      </c>
      <c r="Y98" s="46">
        <v>-317.33499999999998</v>
      </c>
      <c r="Z98" s="46">
        <v>-390.54</v>
      </c>
      <c r="AA98" s="46">
        <v>-179.03</v>
      </c>
      <c r="AB98" s="277"/>
    </row>
    <row r="99" spans="1:28" ht="20.25">
      <c r="A99" s="49" t="s">
        <v>95</v>
      </c>
      <c r="B99" s="45"/>
      <c r="C99" s="51">
        <v>-76</v>
      </c>
      <c r="D99" s="51">
        <v>-161.69999999999999</v>
      </c>
      <c r="E99" s="51">
        <v>-9.1999999999999993</v>
      </c>
      <c r="F99" s="51">
        <v>-155.19999999999999</v>
      </c>
      <c r="G99" s="233">
        <v>-124.3</v>
      </c>
      <c r="H99" s="233">
        <v>-41.3</v>
      </c>
      <c r="I99" s="233">
        <v>-58.7</v>
      </c>
      <c r="J99" s="233">
        <v>22.5</v>
      </c>
      <c r="K99" s="233">
        <v>-69.599999999999994</v>
      </c>
      <c r="L99" s="233">
        <v>-158.69999999999999</v>
      </c>
      <c r="M99" s="233">
        <v>-109.2</v>
      </c>
      <c r="N99" s="233">
        <v>17.2</v>
      </c>
      <c r="O99" s="233">
        <v>-163.69999999999999</v>
      </c>
      <c r="P99" s="233">
        <v>-102.3</v>
      </c>
      <c r="Q99" s="233">
        <v>-262.3</v>
      </c>
      <c r="R99" s="51">
        <v>-882.4</v>
      </c>
      <c r="S99" s="51">
        <v>-668.2</v>
      </c>
      <c r="T99" s="51">
        <v>-901.8</v>
      </c>
      <c r="U99" s="51">
        <v>-632.40200000000004</v>
      </c>
      <c r="V99" s="51">
        <v>-148.291</v>
      </c>
      <c r="W99" s="51">
        <v>-186.75</v>
      </c>
      <c r="X99" s="51">
        <v>-412.18099999999998</v>
      </c>
      <c r="Y99" s="51">
        <v>-221.95699999999999</v>
      </c>
      <c r="Z99" s="51">
        <v>-327.73</v>
      </c>
      <c r="AA99" s="51">
        <v>-190.28700000000001</v>
      </c>
      <c r="AB99" s="277"/>
    </row>
    <row r="100" spans="1:28" ht="20.25">
      <c r="A100" s="49" t="s">
        <v>243</v>
      </c>
      <c r="B100" s="45"/>
      <c r="C100" s="52">
        <v>0.122</v>
      </c>
      <c r="D100" s="52">
        <v>0.25</v>
      </c>
      <c r="E100" s="52">
        <v>1.4E-2</v>
      </c>
      <c r="F100" s="52">
        <v>0.255</v>
      </c>
      <c r="G100" s="52">
        <v>0.15</v>
      </c>
      <c r="H100" s="52">
        <v>5.1999999999999998E-2</v>
      </c>
      <c r="I100" s="52">
        <v>6.5000000000000002E-2</v>
      </c>
      <c r="J100" s="52">
        <v>-2.3E-2</v>
      </c>
      <c r="K100" s="52">
        <v>7.5999999999999998E-2</v>
      </c>
      <c r="L100" s="52">
        <v>0.14399999999999999</v>
      </c>
      <c r="M100" s="52">
        <v>0.10299999999999999</v>
      </c>
      <c r="N100" s="275">
        <v>-2.1000000000000001E-2</v>
      </c>
      <c r="O100" s="275">
        <v>0.158</v>
      </c>
      <c r="P100" s="52">
        <v>0.13800000000000001</v>
      </c>
      <c r="Q100" s="52">
        <v>0.3</v>
      </c>
      <c r="R100" s="52">
        <v>0.56000000000000005</v>
      </c>
      <c r="S100" s="52">
        <v>0.34599999999999997</v>
      </c>
      <c r="T100" s="52">
        <v>0.34200000000000003</v>
      </c>
      <c r="U100" s="52">
        <v>0.2406614592014662</v>
      </c>
      <c r="V100" s="52">
        <v>8.271267175913144E-2</v>
      </c>
      <c r="W100" s="52">
        <v>9.1496261514198207E-2</v>
      </c>
      <c r="X100" s="52">
        <v>0.14811432998533522</v>
      </c>
      <c r="Y100" s="52">
        <v>8.9551112726750426E-2</v>
      </c>
      <c r="Z100" s="52">
        <v>0.17024086071551758</v>
      </c>
      <c r="AA100" s="52">
        <v>9.2712531078847096E-2</v>
      </c>
      <c r="AB100" s="319"/>
    </row>
    <row r="101" spans="1:28" ht="6.75" customHeight="1">
      <c r="A101" s="48"/>
      <c r="B101" s="45"/>
      <c r="C101" s="46"/>
      <c r="D101" s="46"/>
      <c r="E101" s="46"/>
      <c r="F101" s="46"/>
      <c r="G101" s="46"/>
      <c r="H101" s="46"/>
      <c r="I101" s="46"/>
      <c r="J101" s="46"/>
      <c r="K101" s="46"/>
      <c r="L101" s="46"/>
      <c r="M101" s="266"/>
      <c r="N101" s="276"/>
      <c r="O101" s="276"/>
      <c r="P101" s="266"/>
      <c r="Q101" s="266"/>
      <c r="R101" s="46"/>
      <c r="S101" s="46"/>
      <c r="T101" s="46"/>
      <c r="U101" s="46"/>
      <c r="V101" s="46"/>
      <c r="W101" s="46"/>
      <c r="X101" s="46"/>
      <c r="Y101" s="46"/>
      <c r="Z101" s="46"/>
      <c r="AA101" s="46"/>
    </row>
    <row r="102" spans="1:28" ht="20.25">
      <c r="A102" s="49" t="s">
        <v>61</v>
      </c>
      <c r="B102" s="50"/>
      <c r="C102" s="51">
        <v>-16.3</v>
      </c>
      <c r="D102" s="51">
        <v>0.21099999999999999</v>
      </c>
      <c r="E102" s="51">
        <v>-4.7</v>
      </c>
      <c r="F102" s="51">
        <v>-12.4</v>
      </c>
      <c r="G102" s="51">
        <v>-37.700000000000003</v>
      </c>
      <c r="H102" s="51">
        <v>-2.4</v>
      </c>
      <c r="I102" s="51">
        <v>21.5</v>
      </c>
      <c r="J102" s="51">
        <v>-8.6</v>
      </c>
      <c r="K102" s="233">
        <v>18.2</v>
      </c>
      <c r="L102" s="233">
        <v>-56.6</v>
      </c>
      <c r="M102" s="233">
        <v>14.1</v>
      </c>
      <c r="N102" s="233">
        <v>50.1</v>
      </c>
      <c r="O102" s="233">
        <v>-29.7</v>
      </c>
      <c r="P102" s="233">
        <v>-8.6</v>
      </c>
      <c r="Q102" s="233">
        <v>15.9</v>
      </c>
      <c r="R102" s="51">
        <v>-77.394999999999996</v>
      </c>
      <c r="S102" s="51">
        <v>-168.4</v>
      </c>
      <c r="T102" s="51">
        <v>-288.60000000000002</v>
      </c>
      <c r="U102" s="51">
        <v>-125.221</v>
      </c>
      <c r="V102" s="51">
        <v>217.31299999999999</v>
      </c>
      <c r="W102" s="51">
        <v>136.78</v>
      </c>
      <c r="X102" s="51">
        <v>-179.07</v>
      </c>
      <c r="Y102" s="51">
        <v>129.733</v>
      </c>
      <c r="Z102" s="51">
        <v>93.384</v>
      </c>
      <c r="AA102" s="51">
        <v>25.443999999999999</v>
      </c>
      <c r="AB102" s="277"/>
    </row>
    <row r="103" spans="1:28" ht="20.25">
      <c r="A103" s="49" t="s">
        <v>62</v>
      </c>
      <c r="B103" s="50"/>
      <c r="C103" s="52">
        <v>2.5999999999999999E-2</v>
      </c>
      <c r="D103" s="52">
        <v>0</v>
      </c>
      <c r="E103" s="52">
        <v>7.0000000000000001E-3</v>
      </c>
      <c r="F103" s="52">
        <v>0.02</v>
      </c>
      <c r="G103" s="52">
        <v>4.5999999999999999E-2</v>
      </c>
      <c r="H103" s="52">
        <v>3.0000000000000001E-3</v>
      </c>
      <c r="I103" s="52">
        <v>-2.4E-2</v>
      </c>
      <c r="J103" s="52">
        <v>8.9999999999999993E-3</v>
      </c>
      <c r="K103" s="52">
        <v>-0.02</v>
      </c>
      <c r="L103" s="52">
        <v>5.0999999999999997E-2</v>
      </c>
      <c r="M103" s="52">
        <v>-1.2999999999999999E-2</v>
      </c>
      <c r="N103" s="275">
        <v>-6.0999999999999999E-2</v>
      </c>
      <c r="O103" s="275">
        <v>2.9000000000000001E-2</v>
      </c>
      <c r="P103" s="52">
        <v>1.2E-2</v>
      </c>
      <c r="Q103" s="52">
        <v>-1.7999999999999999E-2</v>
      </c>
      <c r="R103" s="52">
        <v>4.9157410418487431E-2</v>
      </c>
      <c r="S103" s="52">
        <v>8.6999999999999994E-2</v>
      </c>
      <c r="T103" s="52">
        <v>0.109</v>
      </c>
      <c r="U103" s="52">
        <v>4.7653025421593859E-2</v>
      </c>
      <c r="V103" s="52">
        <v>-0.1212112591997635</v>
      </c>
      <c r="W103" s="52">
        <v>-6.701396867422775E-2</v>
      </c>
      <c r="X103" s="52">
        <v>6.4347539237553347E-2</v>
      </c>
      <c r="Y103" s="52">
        <v>-5.2342275789362416E-2</v>
      </c>
      <c r="Z103" s="52">
        <v>-4.8508749693521779E-2</v>
      </c>
      <c r="AA103" s="52">
        <v>-1.239694588053932E-2</v>
      </c>
      <c r="AB103" s="319"/>
    </row>
    <row r="104" spans="1:28" ht="15.75">
      <c r="A104" s="45"/>
      <c r="B104" s="45"/>
      <c r="C104" s="45"/>
      <c r="D104" s="45"/>
      <c r="E104" s="45"/>
      <c r="F104" s="45"/>
      <c r="G104" s="45"/>
      <c r="H104" s="45"/>
      <c r="I104" s="45"/>
      <c r="J104" s="45"/>
      <c r="K104" s="45"/>
      <c r="L104" s="45"/>
      <c r="M104" s="45"/>
      <c r="N104" s="45"/>
      <c r="O104" s="45"/>
      <c r="P104" s="45"/>
      <c r="Q104" s="45"/>
    </row>
    <row r="105" spans="1:28" ht="25.5" customHeight="1">
      <c r="A105" s="405" t="s">
        <v>67</v>
      </c>
      <c r="B105" s="405"/>
      <c r="C105" s="405"/>
      <c r="D105" s="405"/>
      <c r="E105" s="405"/>
      <c r="F105" s="405"/>
      <c r="G105" s="405"/>
      <c r="H105" s="405"/>
      <c r="I105" s="405"/>
      <c r="J105" s="405"/>
      <c r="K105" s="405"/>
      <c r="L105" s="405"/>
      <c r="M105" s="405"/>
      <c r="N105" s="405"/>
      <c r="O105" s="405"/>
      <c r="P105" s="405"/>
      <c r="Q105" s="405"/>
      <c r="R105" s="405"/>
      <c r="S105" s="270"/>
      <c r="T105" s="270"/>
      <c r="U105" s="270"/>
      <c r="V105" s="270"/>
      <c r="W105" s="270"/>
      <c r="X105" s="270"/>
      <c r="Y105" s="270"/>
      <c r="Z105" s="270"/>
      <c r="AA105" s="270"/>
    </row>
    <row r="106" spans="1:28" ht="20.25">
      <c r="A106" s="41" t="s">
        <v>50</v>
      </c>
      <c r="B106" s="42"/>
      <c r="C106" s="43" t="s">
        <v>37</v>
      </c>
      <c r="D106" s="43" t="s">
        <v>38</v>
      </c>
      <c r="E106" s="43" t="s">
        <v>39</v>
      </c>
      <c r="F106" s="43" t="s">
        <v>40</v>
      </c>
      <c r="G106" s="43" t="s">
        <v>41</v>
      </c>
      <c r="H106" s="43" t="s">
        <v>42</v>
      </c>
      <c r="I106" s="43" t="s">
        <v>43</v>
      </c>
      <c r="J106" s="43" t="s">
        <v>215</v>
      </c>
      <c r="K106" s="43" t="s">
        <v>240</v>
      </c>
      <c r="L106" s="43" t="s">
        <v>251</v>
      </c>
      <c r="M106" s="43" t="s">
        <v>263</v>
      </c>
      <c r="N106" s="43" t="s">
        <v>270</v>
      </c>
      <c r="O106" s="43" t="s">
        <v>283</v>
      </c>
      <c r="P106" s="43" t="s">
        <v>305</v>
      </c>
      <c r="Q106" s="43" t="s">
        <v>313</v>
      </c>
      <c r="R106" s="43" t="s">
        <v>323</v>
      </c>
      <c r="S106" s="43" t="s">
        <v>331</v>
      </c>
      <c r="T106" s="43" t="s">
        <v>334</v>
      </c>
      <c r="U106" s="43" t="s">
        <v>348</v>
      </c>
      <c r="V106" s="43" t="s">
        <v>361</v>
      </c>
      <c r="W106" s="43" t="s">
        <v>362</v>
      </c>
      <c r="X106" s="43" t="s">
        <v>411</v>
      </c>
      <c r="Y106" s="43" t="s">
        <v>413</v>
      </c>
      <c r="Z106" s="43" t="s">
        <v>419</v>
      </c>
      <c r="AA106" s="43" t="s">
        <v>421</v>
      </c>
    </row>
    <row r="107" spans="1:28" ht="20.25">
      <c r="A107" s="44" t="s">
        <v>51</v>
      </c>
      <c r="B107" s="45"/>
      <c r="C107" s="46">
        <v>2350.8000000000002</v>
      </c>
      <c r="D107" s="46">
        <v>2569.5</v>
      </c>
      <c r="E107" s="46">
        <v>2737</v>
      </c>
      <c r="F107" s="46">
        <v>3076.8</v>
      </c>
      <c r="G107" s="46">
        <v>3244.2</v>
      </c>
      <c r="H107" s="46">
        <v>3204.1</v>
      </c>
      <c r="I107" s="46">
        <v>3861.5</v>
      </c>
      <c r="J107" s="46">
        <v>3427</v>
      </c>
      <c r="K107" s="46">
        <v>3532</v>
      </c>
      <c r="L107" s="46">
        <v>3694</v>
      </c>
      <c r="M107" s="46">
        <v>3849.8</v>
      </c>
      <c r="N107" s="46">
        <v>3872.9</v>
      </c>
      <c r="O107" s="46">
        <v>3807.9</v>
      </c>
      <c r="P107" s="46">
        <v>2424.6999999999998</v>
      </c>
      <c r="Q107" s="46">
        <v>4381.2</v>
      </c>
      <c r="R107" s="46">
        <v>5474.3</v>
      </c>
      <c r="S107" s="46">
        <v>7065.8</v>
      </c>
      <c r="T107" s="46">
        <v>9596.2999999999993</v>
      </c>
      <c r="U107" s="46">
        <v>9025.6489999999994</v>
      </c>
      <c r="V107" s="46">
        <v>8049.2139999999999</v>
      </c>
      <c r="W107" s="46">
        <v>7844.6480000000001</v>
      </c>
      <c r="X107" s="46">
        <v>8531.4599999999991</v>
      </c>
      <c r="Y107" s="46">
        <v>8434.4259999999995</v>
      </c>
      <c r="Z107" s="46">
        <v>7659.9759999999997</v>
      </c>
      <c r="AA107" s="46">
        <v>7255.2489999999998</v>
      </c>
      <c r="AB107" s="277"/>
    </row>
    <row r="108" spans="1:28" ht="20.25">
      <c r="A108" s="44" t="s">
        <v>52</v>
      </c>
      <c r="B108" s="45"/>
      <c r="C108" s="47">
        <v>2109.6999999999998</v>
      </c>
      <c r="D108" s="47">
        <v>2211.6999999999998</v>
      </c>
      <c r="E108" s="47">
        <v>2385.8000000000002</v>
      </c>
      <c r="F108" s="47">
        <v>2499.5</v>
      </c>
      <c r="G108" s="47">
        <v>2646.2</v>
      </c>
      <c r="H108" s="47">
        <v>2656.3</v>
      </c>
      <c r="I108" s="47">
        <v>3260.9</v>
      </c>
      <c r="J108" s="47">
        <v>2838.4</v>
      </c>
      <c r="K108" s="46">
        <v>2887.3</v>
      </c>
      <c r="L108" s="46">
        <v>3108.8</v>
      </c>
      <c r="M108" s="46">
        <v>3216</v>
      </c>
      <c r="N108" s="46">
        <v>3077.5</v>
      </c>
      <c r="O108" s="46">
        <v>2964.9</v>
      </c>
      <c r="P108" s="46">
        <v>1535.1</v>
      </c>
      <c r="Q108" s="46">
        <v>3078.1</v>
      </c>
      <c r="R108" s="47">
        <v>4186.7</v>
      </c>
      <c r="S108" s="47">
        <v>5474.3</v>
      </c>
      <c r="T108" s="47">
        <v>7462.2</v>
      </c>
      <c r="U108" s="47">
        <v>7507.3860000000004</v>
      </c>
      <c r="V108" s="47">
        <v>5747.5379999999996</v>
      </c>
      <c r="W108" s="47">
        <v>5822.3540000000003</v>
      </c>
      <c r="X108" s="47">
        <v>6885.7730000000001</v>
      </c>
      <c r="Y108" s="47">
        <v>7003.201</v>
      </c>
      <c r="Z108" s="47">
        <v>6260.5020000000004</v>
      </c>
      <c r="AA108" s="47">
        <v>6063.1310000000003</v>
      </c>
      <c r="AB108" s="277"/>
    </row>
    <row r="109" spans="1:28" ht="20.25">
      <c r="A109" s="44" t="s">
        <v>53</v>
      </c>
      <c r="B109" s="45"/>
      <c r="C109" s="46">
        <v>241</v>
      </c>
      <c r="D109" s="46">
        <v>357.6</v>
      </c>
      <c r="E109" s="46">
        <v>350.9</v>
      </c>
      <c r="F109" s="46">
        <v>577.20000000000005</v>
      </c>
      <c r="G109" s="46">
        <v>598.1</v>
      </c>
      <c r="H109" s="46">
        <v>547.79999999999995</v>
      </c>
      <c r="I109" s="46">
        <v>600.6</v>
      </c>
      <c r="J109" s="46">
        <v>588.6</v>
      </c>
      <c r="K109" s="47">
        <v>644.70000000000005</v>
      </c>
      <c r="L109" s="47">
        <v>585.20000000000005</v>
      </c>
      <c r="M109" s="47">
        <v>633.70000000000005</v>
      </c>
      <c r="N109" s="47">
        <v>795.4</v>
      </c>
      <c r="O109" s="47">
        <v>842.9</v>
      </c>
      <c r="P109" s="47">
        <v>889.6</v>
      </c>
      <c r="Q109" s="47">
        <v>1303.0999999999999</v>
      </c>
      <c r="R109" s="47">
        <v>1287.5</v>
      </c>
      <c r="S109" s="47">
        <v>1591.5</v>
      </c>
      <c r="T109" s="47">
        <v>2134.1</v>
      </c>
      <c r="U109" s="47">
        <v>1518.2629999999999</v>
      </c>
      <c r="V109" s="47">
        <v>2301.6759999999999</v>
      </c>
      <c r="W109" s="47">
        <v>2022.2940000000001</v>
      </c>
      <c r="X109" s="47">
        <v>1645.6869999999999</v>
      </c>
      <c r="Y109" s="47">
        <v>1431.2249999999999</v>
      </c>
      <c r="Z109" s="47">
        <v>1399.4739999999999</v>
      </c>
      <c r="AA109" s="47">
        <v>1192.1179999999999</v>
      </c>
      <c r="AB109" s="277"/>
    </row>
    <row r="110" spans="1:28" ht="20.25">
      <c r="A110" s="44" t="s">
        <v>54</v>
      </c>
      <c r="B110" s="45"/>
      <c r="C110" s="46">
        <v>-1870.1</v>
      </c>
      <c r="D110" s="46">
        <v>-2187.3000000000002</v>
      </c>
      <c r="E110" s="46">
        <v>-2379.4</v>
      </c>
      <c r="F110" s="46">
        <v>-2662.3</v>
      </c>
      <c r="G110" s="46">
        <v>-2632.1</v>
      </c>
      <c r="H110" s="46">
        <v>-2621.3000000000002</v>
      </c>
      <c r="I110" s="46">
        <v>-3217.2</v>
      </c>
      <c r="J110" s="46">
        <v>-3051.1</v>
      </c>
      <c r="K110" s="46">
        <v>-3036</v>
      </c>
      <c r="L110" s="46">
        <v>-3087.6</v>
      </c>
      <c r="M110" s="46">
        <v>-3374</v>
      </c>
      <c r="N110" s="46">
        <v>-3576.6</v>
      </c>
      <c r="O110" s="46">
        <v>-3295</v>
      </c>
      <c r="P110" s="46">
        <v>-2145.6999999999998</v>
      </c>
      <c r="Q110" s="46">
        <v>-3489.3</v>
      </c>
      <c r="R110" s="46">
        <v>-3901.5</v>
      </c>
      <c r="S110" s="46">
        <v>-4602.5</v>
      </c>
      <c r="T110" s="46">
        <v>-5954</v>
      </c>
      <c r="U110" s="46">
        <v>-5890.2730000000001</v>
      </c>
      <c r="V110" s="46">
        <v>-6015.9319999999998</v>
      </c>
      <c r="W110" s="46">
        <v>-6129.3980000000001</v>
      </c>
      <c r="X110" s="46">
        <v>-6344.1530000000002</v>
      </c>
      <c r="Y110" s="46">
        <v>-7430.46</v>
      </c>
      <c r="Z110" s="46">
        <v>-6886.8239999999996</v>
      </c>
      <c r="AA110" s="46">
        <v>-6370.4610000000002</v>
      </c>
      <c r="AB110" s="277"/>
    </row>
    <row r="111" spans="1:28" ht="20.25">
      <c r="A111" s="44" t="s">
        <v>55</v>
      </c>
      <c r="B111" s="45"/>
      <c r="C111" s="46">
        <v>480.7</v>
      </c>
      <c r="D111" s="46">
        <v>382.2</v>
      </c>
      <c r="E111" s="46">
        <v>357.7</v>
      </c>
      <c r="F111" s="46">
        <v>414.5</v>
      </c>
      <c r="G111" s="46">
        <v>612.1</v>
      </c>
      <c r="H111" s="46">
        <v>582.79999999999995</v>
      </c>
      <c r="I111" s="46">
        <v>644.29999999999995</v>
      </c>
      <c r="J111" s="46">
        <v>375.9</v>
      </c>
      <c r="K111" s="46">
        <v>496</v>
      </c>
      <c r="L111" s="46">
        <v>606.5</v>
      </c>
      <c r="M111" s="46">
        <v>475.8</v>
      </c>
      <c r="N111" s="46">
        <v>296.3</v>
      </c>
      <c r="O111" s="46">
        <v>512.9</v>
      </c>
      <c r="P111" s="46">
        <v>279</v>
      </c>
      <c r="Q111" s="46">
        <v>891.9</v>
      </c>
      <c r="R111" s="46">
        <v>1572.8</v>
      </c>
      <c r="S111" s="46">
        <v>2463.4</v>
      </c>
      <c r="T111" s="46">
        <v>3642.3</v>
      </c>
      <c r="U111" s="46">
        <v>3135.3760000000002</v>
      </c>
      <c r="V111" s="46">
        <v>2033.2819999999999</v>
      </c>
      <c r="W111" s="46">
        <v>1715.25</v>
      </c>
      <c r="X111" s="46">
        <v>2187.3069999999998</v>
      </c>
      <c r="Y111" s="46">
        <v>1003.966</v>
      </c>
      <c r="Z111" s="46">
        <v>773.15200000000004</v>
      </c>
      <c r="AA111" s="46">
        <v>884.78800000000001</v>
      </c>
      <c r="AB111" s="277"/>
    </row>
    <row r="112" spans="1:28" ht="20.25">
      <c r="A112" s="44" t="s">
        <v>56</v>
      </c>
      <c r="B112" s="45"/>
      <c r="C112" s="46">
        <v>-296.10000000000002</v>
      </c>
      <c r="D112" s="46">
        <v>-15.6</v>
      </c>
      <c r="E112" s="46">
        <v>-250.6</v>
      </c>
      <c r="F112" s="46">
        <v>-343.8</v>
      </c>
      <c r="G112" s="46">
        <v>-288.5</v>
      </c>
      <c r="H112" s="46">
        <v>-373.7</v>
      </c>
      <c r="I112" s="46">
        <v>-291</v>
      </c>
      <c r="J112" s="46">
        <v>-380</v>
      </c>
      <c r="K112" s="46">
        <v>-300.5</v>
      </c>
      <c r="L112" s="46">
        <v>-314.2</v>
      </c>
      <c r="M112" s="46">
        <v>-334.9</v>
      </c>
      <c r="N112" s="46">
        <v>-153.19999999999999</v>
      </c>
      <c r="O112" s="46">
        <v>-237.7</v>
      </c>
      <c r="P112" s="46">
        <v>-366.5</v>
      </c>
      <c r="Q112" s="46">
        <v>-360.4</v>
      </c>
      <c r="R112" s="46">
        <v>476.8</v>
      </c>
      <c r="S112" s="46">
        <v>-337.8</v>
      </c>
      <c r="T112" s="46">
        <v>1127.4000000000001</v>
      </c>
      <c r="U112" s="46">
        <v>-936.62900000000002</v>
      </c>
      <c r="V112" s="46">
        <v>144.429</v>
      </c>
      <c r="W112" s="46">
        <v>-419.97699999999998</v>
      </c>
      <c r="X112" s="46">
        <v>-526.50199999999995</v>
      </c>
      <c r="Y112" s="46">
        <v>-426.55399999999997</v>
      </c>
      <c r="Z112" s="46">
        <v>-1861.146</v>
      </c>
      <c r="AA112" s="46">
        <v>-389.38799999999998</v>
      </c>
      <c r="AB112" s="277"/>
    </row>
    <row r="113" spans="1:28" ht="20.25">
      <c r="A113" s="44" t="s">
        <v>57</v>
      </c>
      <c r="B113" s="45"/>
      <c r="C113" s="46">
        <v>-52.2</v>
      </c>
      <c r="D113" s="46">
        <v>-65.599999999999994</v>
      </c>
      <c r="E113" s="46">
        <v>-63</v>
      </c>
      <c r="F113" s="46">
        <v>-70.2</v>
      </c>
      <c r="G113" s="46">
        <v>-76.099999999999994</v>
      </c>
      <c r="H113" s="46">
        <v>-73.7</v>
      </c>
      <c r="I113" s="46">
        <v>-74.3</v>
      </c>
      <c r="J113" s="46">
        <v>-113.3</v>
      </c>
      <c r="K113" s="46">
        <v>-67.400000000000006</v>
      </c>
      <c r="L113" s="46">
        <v>-71</v>
      </c>
      <c r="M113" s="46">
        <v>-73.8</v>
      </c>
      <c r="N113" s="46">
        <v>-76.400000000000006</v>
      </c>
      <c r="O113" s="46">
        <v>-99.8</v>
      </c>
      <c r="P113" s="46">
        <v>-105.9</v>
      </c>
      <c r="Q113" s="46">
        <v>-96.2</v>
      </c>
      <c r="R113" s="46">
        <v>-96.4</v>
      </c>
      <c r="S113" s="46">
        <v>-98.7</v>
      </c>
      <c r="T113" s="46">
        <v>-119.8</v>
      </c>
      <c r="U113" s="46">
        <v>-199.36600000000001</v>
      </c>
      <c r="V113" s="46">
        <v>-152.84299999999999</v>
      </c>
      <c r="W113" s="46">
        <v>-171.11699999999999</v>
      </c>
      <c r="X113" s="46">
        <v>-193.078</v>
      </c>
      <c r="Y113" s="46">
        <v>-139.20699999999999</v>
      </c>
      <c r="Z113" s="46">
        <v>-126.092</v>
      </c>
      <c r="AA113" s="46">
        <v>-108.63800000000001</v>
      </c>
      <c r="AB113" s="277"/>
    </row>
    <row r="114" spans="1:28" ht="20.25">
      <c r="A114" s="44" t="s">
        <v>58</v>
      </c>
      <c r="B114" s="45"/>
      <c r="C114" s="46">
        <v>-93.1</v>
      </c>
      <c r="D114" s="46">
        <v>-96.6</v>
      </c>
      <c r="E114" s="46">
        <v>-106.1</v>
      </c>
      <c r="F114" s="46">
        <v>-108.5</v>
      </c>
      <c r="G114" s="46">
        <v>-102.8</v>
      </c>
      <c r="H114" s="46">
        <v>-112.9</v>
      </c>
      <c r="I114" s="46">
        <v>-101</v>
      </c>
      <c r="J114" s="46">
        <v>-123.3</v>
      </c>
      <c r="K114" s="46">
        <v>-100.8</v>
      </c>
      <c r="L114" s="46">
        <v>-109.8</v>
      </c>
      <c r="M114" s="46">
        <v>-97.9</v>
      </c>
      <c r="N114" s="46">
        <v>-118.4</v>
      </c>
      <c r="O114" s="46">
        <v>-109.4</v>
      </c>
      <c r="P114" s="46">
        <v>-96.8</v>
      </c>
      <c r="Q114" s="46">
        <v>-98.2</v>
      </c>
      <c r="R114" s="46">
        <v>-122.3</v>
      </c>
      <c r="S114" s="46">
        <v>-115.4</v>
      </c>
      <c r="T114" s="46">
        <v>-109.4</v>
      </c>
      <c r="U114" s="46">
        <v>-115.16800000000001</v>
      </c>
      <c r="V114" s="46">
        <v>-163.09200000000001</v>
      </c>
      <c r="W114" s="46">
        <v>-130.47999999999999</v>
      </c>
      <c r="X114" s="46">
        <v>-147.12899999999999</v>
      </c>
      <c r="Y114" s="46">
        <v>-140.38399999999999</v>
      </c>
      <c r="Z114" s="46">
        <v>-170.81399999999999</v>
      </c>
      <c r="AA114" s="46">
        <v>-139.66399999999999</v>
      </c>
      <c r="AB114" s="277"/>
    </row>
    <row r="115" spans="1:28" ht="20.25">
      <c r="A115" s="44" t="s">
        <v>59</v>
      </c>
      <c r="B115" s="45"/>
      <c r="C115" s="46">
        <v>-150.69999999999999</v>
      </c>
      <c r="D115" s="46">
        <v>146.69999999999999</v>
      </c>
      <c r="E115" s="46">
        <v>-81.599999999999994</v>
      </c>
      <c r="F115" s="46">
        <v>-165.1</v>
      </c>
      <c r="G115" s="46">
        <v>-109.6</v>
      </c>
      <c r="H115" s="46">
        <v>-187.2</v>
      </c>
      <c r="I115" s="46">
        <v>-115.6</v>
      </c>
      <c r="J115" s="46">
        <v>-143.4</v>
      </c>
      <c r="K115" s="46">
        <v>-132.4</v>
      </c>
      <c r="L115" s="46">
        <v>-133.5</v>
      </c>
      <c r="M115" s="46">
        <v>-163.1</v>
      </c>
      <c r="N115" s="46">
        <v>41.6</v>
      </c>
      <c r="O115" s="46">
        <v>-28.5</v>
      </c>
      <c r="P115" s="46">
        <v>-163.69999999999999</v>
      </c>
      <c r="Q115" s="46">
        <v>-166</v>
      </c>
      <c r="R115" s="46">
        <v>695.5</v>
      </c>
      <c r="S115" s="46">
        <v>-123.7</v>
      </c>
      <c r="T115" s="46">
        <v>1356.6</v>
      </c>
      <c r="U115" s="46">
        <v>-622.09500000000003</v>
      </c>
      <c r="V115" s="46">
        <v>460.36399999999998</v>
      </c>
      <c r="W115" s="46">
        <v>-118.38</v>
      </c>
      <c r="X115" s="46">
        <v>-186.29499999999999</v>
      </c>
      <c r="Y115" s="46">
        <v>-146.96299999999999</v>
      </c>
      <c r="Z115" s="46">
        <v>-1564.24</v>
      </c>
      <c r="AA115" s="46">
        <v>-141.08600000000001</v>
      </c>
      <c r="AB115" s="277"/>
    </row>
    <row r="116" spans="1:28" ht="30.75">
      <c r="A116" s="48" t="s">
        <v>60</v>
      </c>
      <c r="B116" s="45"/>
      <c r="C116" s="46">
        <v>184.7</v>
      </c>
      <c r="D116" s="46">
        <v>366.6</v>
      </c>
      <c r="E116" s="46">
        <v>107</v>
      </c>
      <c r="F116" s="46">
        <v>70.599999999999994</v>
      </c>
      <c r="G116" s="46">
        <v>323.60000000000002</v>
      </c>
      <c r="H116" s="46">
        <v>209.1</v>
      </c>
      <c r="I116" s="46">
        <v>353.4</v>
      </c>
      <c r="J116" s="46">
        <v>-4.0999999999999996</v>
      </c>
      <c r="K116" s="46">
        <v>195.5</v>
      </c>
      <c r="L116" s="46">
        <v>292.2</v>
      </c>
      <c r="M116" s="46">
        <v>141</v>
      </c>
      <c r="N116" s="46">
        <v>143</v>
      </c>
      <c r="O116" s="46">
        <v>275.2</v>
      </c>
      <c r="P116" s="46">
        <v>-87.5</v>
      </c>
      <c r="Q116" s="46">
        <v>531.5</v>
      </c>
      <c r="R116" s="46">
        <v>2049.6</v>
      </c>
      <c r="S116" s="46">
        <v>2125.6</v>
      </c>
      <c r="T116" s="46">
        <v>4769.7</v>
      </c>
      <c r="U116" s="46">
        <v>2198.7469999999998</v>
      </c>
      <c r="V116" s="46">
        <v>2177.7109999999998</v>
      </c>
      <c r="W116" s="46">
        <v>1295.2729999999999</v>
      </c>
      <c r="X116" s="46">
        <v>1660.8050000000001</v>
      </c>
      <c r="Y116" s="46">
        <v>577.41200000000003</v>
      </c>
      <c r="Z116" s="46">
        <v>-1087.9939999999999</v>
      </c>
      <c r="AA116" s="46">
        <v>495.4</v>
      </c>
      <c r="AB116" s="277"/>
    </row>
    <row r="117" spans="1:28" ht="20.25">
      <c r="A117" s="44" t="s">
        <v>241</v>
      </c>
      <c r="B117" s="45"/>
      <c r="C117" s="46">
        <v>306.3</v>
      </c>
      <c r="D117" s="46">
        <v>328.6</v>
      </c>
      <c r="E117" s="46">
        <v>286.60000000000002</v>
      </c>
      <c r="F117" s="46">
        <v>250.3</v>
      </c>
      <c r="G117" s="46">
        <v>257.10000000000002</v>
      </c>
      <c r="H117" s="46">
        <v>256.3</v>
      </c>
      <c r="I117" s="46">
        <v>257.5</v>
      </c>
      <c r="J117" s="46">
        <v>258.60000000000002</v>
      </c>
      <c r="K117" s="46">
        <v>241</v>
      </c>
      <c r="L117" s="46">
        <v>240.9</v>
      </c>
      <c r="M117" s="46">
        <v>253.7</v>
      </c>
      <c r="N117" s="46">
        <v>256.2</v>
      </c>
      <c r="O117" s="46">
        <v>248.7</v>
      </c>
      <c r="P117" s="46">
        <v>250.2</v>
      </c>
      <c r="Q117" s="46">
        <v>248.5</v>
      </c>
      <c r="R117" s="46">
        <v>252.8</v>
      </c>
      <c r="S117" s="46">
        <v>248.6</v>
      </c>
      <c r="T117" s="46">
        <v>250.7</v>
      </c>
      <c r="U117" s="46">
        <v>243.46199999999999</v>
      </c>
      <c r="V117" s="46">
        <v>239.983</v>
      </c>
      <c r="W117" s="46">
        <v>222.75</v>
      </c>
      <c r="X117" s="46">
        <v>220.482</v>
      </c>
      <c r="Y117" s="46">
        <v>224.953</v>
      </c>
      <c r="Z117" s="46">
        <v>234.49600000000001</v>
      </c>
      <c r="AA117" s="46">
        <v>248.67</v>
      </c>
      <c r="AB117" s="277"/>
    </row>
    <row r="118" spans="1:28" ht="20.25">
      <c r="A118" s="44" t="s">
        <v>242</v>
      </c>
      <c r="B118" s="45"/>
      <c r="C118" s="46">
        <v>37.1</v>
      </c>
      <c r="D118" s="46">
        <v>15.3</v>
      </c>
      <c r="E118" s="46">
        <v>50.6</v>
      </c>
      <c r="F118" s="46">
        <v>52</v>
      </c>
      <c r="G118" s="46">
        <v>41.2</v>
      </c>
      <c r="H118" s="46">
        <v>31.3</v>
      </c>
      <c r="I118" s="46">
        <v>74.7</v>
      </c>
      <c r="J118" s="46">
        <v>113.1</v>
      </c>
      <c r="K118" s="46">
        <v>37.493000000000002</v>
      </c>
      <c r="L118" s="46">
        <v>36.9</v>
      </c>
      <c r="M118" s="46">
        <v>58.3</v>
      </c>
      <c r="N118" s="46">
        <v>48.1</v>
      </c>
      <c r="O118" s="46">
        <v>15.3</v>
      </c>
      <c r="P118" s="46">
        <v>45.5</v>
      </c>
      <c r="Q118" s="46">
        <v>40</v>
      </c>
      <c r="R118" s="46">
        <v>58.9</v>
      </c>
      <c r="S118" s="46">
        <v>36.700000000000003</v>
      </c>
      <c r="T118" s="46">
        <v>55.5</v>
      </c>
      <c r="U118" s="46">
        <v>72.524000000000001</v>
      </c>
      <c r="V118" s="46">
        <v>54.101999999999997</v>
      </c>
      <c r="W118" s="46">
        <v>35.008000000000003</v>
      </c>
      <c r="X118" s="46">
        <v>56.033000000000001</v>
      </c>
      <c r="Y118" s="46">
        <v>64.552999999999997</v>
      </c>
      <c r="Z118" s="46">
        <v>65.331000000000003</v>
      </c>
      <c r="AA118" s="46">
        <v>45.046999999999997</v>
      </c>
      <c r="AB118" s="277"/>
    </row>
    <row r="119" spans="1:28" ht="20.25">
      <c r="A119" s="49" t="s">
        <v>95</v>
      </c>
      <c r="B119" s="45"/>
      <c r="C119" s="51">
        <v>528.1</v>
      </c>
      <c r="D119" s="51">
        <v>710.5</v>
      </c>
      <c r="E119" s="51">
        <v>444.1</v>
      </c>
      <c r="F119" s="51">
        <v>373</v>
      </c>
      <c r="G119" s="233">
        <v>621.9</v>
      </c>
      <c r="H119" s="233">
        <v>496.7</v>
      </c>
      <c r="I119" s="233">
        <v>685.6</v>
      </c>
      <c r="J119" s="233">
        <v>367.6</v>
      </c>
      <c r="K119" s="233">
        <v>474</v>
      </c>
      <c r="L119" s="233">
        <v>570</v>
      </c>
      <c r="M119" s="233">
        <v>452.9</v>
      </c>
      <c r="N119" s="233">
        <v>447.3</v>
      </c>
      <c r="O119" s="233">
        <v>539.20000000000005</v>
      </c>
      <c r="P119" s="233">
        <v>208.2</v>
      </c>
      <c r="Q119" s="233">
        <v>820</v>
      </c>
      <c r="R119" s="51">
        <v>2361.3000000000002</v>
      </c>
      <c r="S119" s="51">
        <v>2410.9</v>
      </c>
      <c r="T119" s="51">
        <v>5075.8</v>
      </c>
      <c r="U119" s="51">
        <v>2514.7330000000002</v>
      </c>
      <c r="V119" s="51">
        <v>2471.7959999999998</v>
      </c>
      <c r="W119" s="51">
        <v>1553.0309999999999</v>
      </c>
      <c r="X119" s="51">
        <v>1937.32</v>
      </c>
      <c r="Y119" s="51">
        <v>866.91800000000001</v>
      </c>
      <c r="Z119" s="51">
        <v>-788.16700000000003</v>
      </c>
      <c r="AA119" s="51">
        <v>789.11699999999996</v>
      </c>
      <c r="AB119" s="277"/>
    </row>
    <row r="120" spans="1:28" ht="20.25">
      <c r="A120" s="49" t="s">
        <v>243</v>
      </c>
      <c r="B120" s="45"/>
      <c r="C120" s="52">
        <v>0.22500000000000001</v>
      </c>
      <c r="D120" s="52">
        <v>0.27700000000000002</v>
      </c>
      <c r="E120" s="52">
        <v>0.16200000000000001</v>
      </c>
      <c r="F120" s="52">
        <v>0.121</v>
      </c>
      <c r="G120" s="52">
        <v>0.192</v>
      </c>
      <c r="H120" s="52">
        <v>0.155</v>
      </c>
      <c r="I120" s="52">
        <v>0.17799999999999999</v>
      </c>
      <c r="J120" s="52">
        <v>0.107</v>
      </c>
      <c r="K120" s="52">
        <v>0.13400000000000001</v>
      </c>
      <c r="L120" s="52">
        <v>0.154</v>
      </c>
      <c r="M120" s="52">
        <v>0.11799999999999999</v>
      </c>
      <c r="N120" s="275">
        <v>0.11600000000000001</v>
      </c>
      <c r="O120" s="275">
        <v>0.14199999999999999</v>
      </c>
      <c r="P120" s="52">
        <v>8.5999999999999993E-2</v>
      </c>
      <c r="Q120" s="52">
        <v>0.187</v>
      </c>
      <c r="R120" s="52">
        <v>0.43099999999999999</v>
      </c>
      <c r="S120" s="52">
        <v>0.34100000000000003</v>
      </c>
      <c r="T120" s="52">
        <v>0.52900000000000003</v>
      </c>
      <c r="U120" s="52">
        <v>0.27862073962769879</v>
      </c>
      <c r="V120" s="52">
        <v>0.30708538746764591</v>
      </c>
      <c r="W120" s="52">
        <v>0.19797331887931746</v>
      </c>
      <c r="X120" s="52">
        <v>0.22707953855494842</v>
      </c>
      <c r="Y120" s="52">
        <v>0.10278328365202327</v>
      </c>
      <c r="Z120" s="52">
        <v>-0.10289418661363953</v>
      </c>
      <c r="AA120" s="52">
        <v>0.10876497829364644</v>
      </c>
      <c r="AB120" s="319"/>
    </row>
    <row r="121" spans="1:28" ht="6.75" customHeight="1">
      <c r="A121" s="48"/>
      <c r="B121" s="45"/>
      <c r="C121" s="46"/>
      <c r="D121" s="46"/>
      <c r="E121" s="46"/>
      <c r="F121" s="46"/>
      <c r="G121" s="46"/>
      <c r="H121" s="46"/>
      <c r="I121" s="46"/>
      <c r="J121" s="46"/>
      <c r="K121" s="46"/>
      <c r="L121" s="46"/>
      <c r="M121" s="46"/>
      <c r="N121" s="276"/>
      <c r="O121" s="276"/>
      <c r="P121" s="266"/>
      <c r="Q121" s="266"/>
      <c r="R121" s="46"/>
      <c r="S121" s="46"/>
      <c r="T121" s="46"/>
      <c r="U121" s="46"/>
      <c r="V121" s="46"/>
      <c r="W121" s="46"/>
      <c r="X121" s="46"/>
      <c r="Y121" s="46"/>
      <c r="Z121" s="46"/>
      <c r="AA121" s="46"/>
    </row>
    <row r="122" spans="1:28" ht="20.25">
      <c r="A122" s="49" t="s">
        <v>61</v>
      </c>
      <c r="B122" s="50"/>
      <c r="C122" s="51">
        <v>532.79999999999995</v>
      </c>
      <c r="D122" s="51">
        <v>749.76899999999989</v>
      </c>
      <c r="E122" s="51">
        <v>452.8</v>
      </c>
      <c r="F122" s="51">
        <v>450.4</v>
      </c>
      <c r="G122" s="51">
        <v>641.20000000000005</v>
      </c>
      <c r="H122" s="51">
        <v>518.79999999999995</v>
      </c>
      <c r="I122" s="51">
        <v>702.8</v>
      </c>
      <c r="J122" s="51">
        <v>830.3</v>
      </c>
      <c r="K122" s="233">
        <v>487.5</v>
      </c>
      <c r="L122" s="233">
        <v>575.9</v>
      </c>
      <c r="M122" s="233">
        <v>441.2</v>
      </c>
      <c r="N122" s="233">
        <v>468.4</v>
      </c>
      <c r="O122" s="233">
        <v>568.9</v>
      </c>
      <c r="P122" s="233">
        <v>191.6</v>
      </c>
      <c r="Q122" s="233">
        <v>826</v>
      </c>
      <c r="R122" s="51">
        <v>1607.1</v>
      </c>
      <c r="S122" s="51">
        <v>2419.8000000000002</v>
      </c>
      <c r="T122" s="51">
        <v>5065.6000000000004</v>
      </c>
      <c r="U122" s="51">
        <v>2886.3139999999999</v>
      </c>
      <c r="V122" s="51">
        <v>2458.1190000000001</v>
      </c>
      <c r="W122" s="51">
        <v>1559.92</v>
      </c>
      <c r="X122" s="51">
        <v>1929.894</v>
      </c>
      <c r="Y122" s="51">
        <v>835.62599999999998</v>
      </c>
      <c r="Z122" s="51">
        <v>579.14099999999996</v>
      </c>
      <c r="AA122" s="51">
        <v>782.76099999999997</v>
      </c>
      <c r="AB122" s="277"/>
    </row>
    <row r="123" spans="1:28" ht="20.25">
      <c r="A123" s="49" t="s">
        <v>62</v>
      </c>
      <c r="B123" s="50"/>
      <c r="C123" s="52">
        <v>0.22700000000000001</v>
      </c>
      <c r="D123" s="52">
        <v>0.29199999999999998</v>
      </c>
      <c r="E123" s="52">
        <v>0.16500000000000001</v>
      </c>
      <c r="F123" s="52">
        <v>0.14599999999999999</v>
      </c>
      <c r="G123" s="52">
        <v>0.19800000000000001</v>
      </c>
      <c r="H123" s="52">
        <v>0.16200000000000001</v>
      </c>
      <c r="I123" s="52">
        <v>0.182</v>
      </c>
      <c r="J123" s="52">
        <v>0.24199999999999999</v>
      </c>
      <c r="K123" s="52">
        <v>0.13800000000000001</v>
      </c>
      <c r="L123" s="52">
        <v>0.156</v>
      </c>
      <c r="M123" s="52">
        <v>0.115</v>
      </c>
      <c r="N123" s="275">
        <v>0.121</v>
      </c>
      <c r="O123" s="275">
        <v>0.14899999999999999</v>
      </c>
      <c r="P123" s="52">
        <v>7.9000000000000001E-2</v>
      </c>
      <c r="Q123" s="52">
        <v>0.189</v>
      </c>
      <c r="R123" s="52">
        <v>0.29399999999999998</v>
      </c>
      <c r="S123" s="52">
        <v>0.34200000000000003</v>
      </c>
      <c r="T123" s="52">
        <v>0.52800000000000002</v>
      </c>
      <c r="U123" s="52">
        <v>0.31979018904900913</v>
      </c>
      <c r="V123" s="52">
        <v>0.30538621534972232</v>
      </c>
      <c r="W123" s="52">
        <v>0.1988514972246046</v>
      </c>
      <c r="X123" s="52">
        <v>0.22620911309435901</v>
      </c>
      <c r="Y123" s="52">
        <v>9.9073250509281841E-2</v>
      </c>
      <c r="Z123" s="52">
        <v>7.5606111559618466E-2</v>
      </c>
      <c r="AA123" s="52">
        <v>0.10788892290257715</v>
      </c>
      <c r="AB123" s="319"/>
    </row>
  </sheetData>
  <mergeCells count="6">
    <mergeCell ref="A2:R2"/>
    <mergeCell ref="A105:R105"/>
    <mergeCell ref="A85:R85"/>
    <mergeCell ref="A65:R65"/>
    <mergeCell ref="A44:R44"/>
    <mergeCell ref="A23:R23"/>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rgb="FF92D050"/>
  </sheetPr>
  <dimension ref="A1:M93"/>
  <sheetViews>
    <sheetView showGridLines="0" topLeftCell="A49" zoomScale="50" zoomScaleNormal="50" workbookViewId="0">
      <pane xSplit="1" topLeftCell="B1" activePane="topRight" state="frozen"/>
      <selection activeCell="AH23" sqref="AH23"/>
      <selection pane="topRight" activeCell="AH23" sqref="AH23"/>
    </sheetView>
  </sheetViews>
  <sheetFormatPr defaultRowHeight="15"/>
  <cols>
    <col min="1" max="1" width="69.140625" bestFit="1" customWidth="1"/>
    <col min="2" max="2" width="1" customWidth="1"/>
    <col min="3" max="5" width="20.5703125" bestFit="1" customWidth="1"/>
    <col min="6" max="6" width="18.5703125" bestFit="1" customWidth="1"/>
    <col min="7" max="7" width="19.140625" bestFit="1" customWidth="1"/>
    <col min="8" max="8" width="20.42578125" bestFit="1" customWidth="1"/>
    <col min="9" max="12" width="20.42578125" customWidth="1"/>
    <col min="13" max="13" width="10.5703125" bestFit="1" customWidth="1"/>
  </cols>
  <sheetData>
    <row r="1" spans="1:13" ht="57" customHeight="1"/>
    <row r="2" spans="1:13" ht="24.75">
      <c r="A2" s="405" t="s">
        <v>23</v>
      </c>
      <c r="B2" s="405"/>
      <c r="C2" s="405"/>
      <c r="D2" s="405"/>
      <c r="E2" s="405"/>
      <c r="F2" s="405"/>
      <c r="G2" s="405"/>
      <c r="H2" s="405"/>
      <c r="I2" s="270"/>
      <c r="J2" s="270"/>
      <c r="K2" s="270"/>
      <c r="L2" s="270"/>
    </row>
    <row r="3" spans="1:13" ht="20.25">
      <c r="A3" s="54" t="s">
        <v>50</v>
      </c>
      <c r="B3" s="42"/>
      <c r="C3" s="55">
        <v>2013</v>
      </c>
      <c r="D3" s="55">
        <v>2014</v>
      </c>
      <c r="E3" s="55">
        <v>2015</v>
      </c>
      <c r="F3" s="55">
        <v>2016</v>
      </c>
      <c r="G3" s="55">
        <v>2017</v>
      </c>
      <c r="H3" s="55">
        <v>2018</v>
      </c>
      <c r="I3" s="55">
        <v>2019</v>
      </c>
      <c r="J3" s="55">
        <v>2020</v>
      </c>
      <c r="K3" s="55">
        <v>2021</v>
      </c>
      <c r="L3" s="55">
        <v>2022</v>
      </c>
    </row>
    <row r="4" spans="1:13" ht="20.25">
      <c r="A4" s="44" t="s">
        <v>51</v>
      </c>
      <c r="C4" s="46">
        <v>1136</v>
      </c>
      <c r="D4" s="46">
        <v>743</v>
      </c>
      <c r="E4" s="46">
        <v>401.5</v>
      </c>
      <c r="F4" s="46">
        <v>366.1</v>
      </c>
      <c r="G4" s="46">
        <v>524.79999999999995</v>
      </c>
      <c r="H4" s="46">
        <v>1085</v>
      </c>
      <c r="I4" s="46">
        <v>1989.2</v>
      </c>
      <c r="J4" s="46">
        <v>3858.2</v>
      </c>
      <c r="K4" s="46">
        <v>5855.0460000000003</v>
      </c>
      <c r="L4" s="46">
        <v>3617.7080000000001</v>
      </c>
      <c r="M4" s="277"/>
    </row>
    <row r="5" spans="1:13" ht="20.25">
      <c r="A5" s="44" t="s">
        <v>52</v>
      </c>
      <c r="C5" s="47">
        <v>1024</v>
      </c>
      <c r="D5" s="47">
        <v>617.29999999999995</v>
      </c>
      <c r="E5" s="47">
        <v>401.5</v>
      </c>
      <c r="F5" s="47">
        <v>292.3</v>
      </c>
      <c r="G5" s="47">
        <v>344.4</v>
      </c>
      <c r="H5" s="47">
        <v>385.8</v>
      </c>
      <c r="I5" s="47">
        <v>606.79999999999995</v>
      </c>
      <c r="J5" s="47">
        <v>796.4</v>
      </c>
      <c r="K5" s="47">
        <v>1139.3435527599995</v>
      </c>
      <c r="L5" s="47">
        <v>960.76400000000001</v>
      </c>
      <c r="M5" s="277"/>
    </row>
    <row r="6" spans="1:13" ht="20.25">
      <c r="A6" s="44" t="s">
        <v>53</v>
      </c>
      <c r="C6" s="46">
        <v>112</v>
      </c>
      <c r="D6" s="46">
        <v>125.7</v>
      </c>
      <c r="E6" s="46">
        <v>0</v>
      </c>
      <c r="F6" s="46">
        <v>73.8</v>
      </c>
      <c r="G6" s="46">
        <v>180.3</v>
      </c>
      <c r="H6" s="46">
        <v>699.2</v>
      </c>
      <c r="I6" s="46">
        <v>1382.4</v>
      </c>
      <c r="J6" s="46">
        <v>3061.8</v>
      </c>
      <c r="K6" s="46">
        <v>4715.7024472400008</v>
      </c>
      <c r="L6" s="46">
        <v>2656.944</v>
      </c>
      <c r="M6" s="277"/>
    </row>
    <row r="7" spans="1:13" ht="20.25">
      <c r="A7" s="44" t="s">
        <v>54</v>
      </c>
      <c r="C7" s="46">
        <v>-503</v>
      </c>
      <c r="D7" s="46">
        <v>-502.9</v>
      </c>
      <c r="E7" s="46">
        <v>-354.1</v>
      </c>
      <c r="F7" s="46">
        <v>-295.5</v>
      </c>
      <c r="G7" s="46">
        <v>-342.9</v>
      </c>
      <c r="H7" s="46">
        <v>-748.8</v>
      </c>
      <c r="I7" s="46">
        <v>-1144.3</v>
      </c>
      <c r="J7" s="46">
        <v>-1481.9</v>
      </c>
      <c r="K7" s="46">
        <v>-2072.1410000000001</v>
      </c>
      <c r="L7" s="46">
        <v>-2265.31</v>
      </c>
      <c r="M7" s="277"/>
    </row>
    <row r="8" spans="1:13" ht="20.25">
      <c r="A8" s="44" t="s">
        <v>55</v>
      </c>
      <c r="C8" s="46">
        <v>633</v>
      </c>
      <c r="D8" s="46">
        <v>240.1</v>
      </c>
      <c r="E8" s="46">
        <v>47.4</v>
      </c>
      <c r="F8" s="46">
        <v>70.599999999999994</v>
      </c>
      <c r="G8" s="46">
        <v>181.8</v>
      </c>
      <c r="H8" s="46">
        <v>336.3</v>
      </c>
      <c r="I8" s="46">
        <v>844.9</v>
      </c>
      <c r="J8" s="46">
        <v>2376.3000000000002</v>
      </c>
      <c r="K8" s="46">
        <v>3782.9050000000002</v>
      </c>
      <c r="L8" s="46">
        <v>1352.3979999999999</v>
      </c>
      <c r="M8" s="277"/>
    </row>
    <row r="9" spans="1:13" ht="20.25">
      <c r="A9" s="44" t="s">
        <v>56</v>
      </c>
      <c r="C9" s="46">
        <v>-124</v>
      </c>
      <c r="D9" s="46">
        <v>-92.3</v>
      </c>
      <c r="E9" s="46">
        <v>-2464</v>
      </c>
      <c r="F9" s="46">
        <v>182.5</v>
      </c>
      <c r="G9" s="46">
        <v>9.6999999999999993</v>
      </c>
      <c r="H9" s="46">
        <v>-58.9</v>
      </c>
      <c r="I9" s="46">
        <v>-240.9</v>
      </c>
      <c r="J9" s="46">
        <v>309.8</v>
      </c>
      <c r="K9" s="46">
        <v>-448.11200000000002</v>
      </c>
      <c r="L9" s="46">
        <v>-212.34200000000001</v>
      </c>
      <c r="M9" s="277"/>
    </row>
    <row r="10" spans="1:13" ht="20.25">
      <c r="A10" s="44" t="s">
        <v>57</v>
      </c>
      <c r="C10" s="46">
        <v>-71</v>
      </c>
      <c r="D10" s="46">
        <v>-82.6</v>
      </c>
      <c r="E10" s="46">
        <v>-38.1</v>
      </c>
      <c r="F10" s="46">
        <v>-35.6</v>
      </c>
      <c r="G10" s="46">
        <v>-31.4</v>
      </c>
      <c r="H10" s="46">
        <v>-87.8</v>
      </c>
      <c r="I10" s="46">
        <v>-116.2</v>
      </c>
      <c r="J10" s="46">
        <v>-189.7</v>
      </c>
      <c r="K10" s="46">
        <v>-313.69</v>
      </c>
      <c r="L10" s="46">
        <v>-353.68700000000001</v>
      </c>
      <c r="M10" s="277"/>
    </row>
    <row r="11" spans="1:13" ht="20.25">
      <c r="A11" s="44" t="s">
        <v>58</v>
      </c>
      <c r="C11" s="46">
        <v>-49</v>
      </c>
      <c r="D11" s="46">
        <v>-44.9</v>
      </c>
      <c r="E11" s="46">
        <v>-30.5</v>
      </c>
      <c r="F11" s="46">
        <v>-19.600000000000001</v>
      </c>
      <c r="G11" s="46">
        <v>-20</v>
      </c>
      <c r="H11" s="46">
        <v>-26.1</v>
      </c>
      <c r="I11" s="46">
        <v>-24.4</v>
      </c>
      <c r="J11" s="46">
        <v>-26.7</v>
      </c>
      <c r="K11" s="46">
        <v>-38.130000000000003</v>
      </c>
      <c r="L11" s="46">
        <v>-42.014000000000003</v>
      </c>
      <c r="M11" s="277"/>
    </row>
    <row r="12" spans="1:13" ht="20.25">
      <c r="A12" s="44" t="s">
        <v>59</v>
      </c>
      <c r="C12" s="46">
        <v>-4</v>
      </c>
      <c r="D12" s="46">
        <v>35.200000000000003</v>
      </c>
      <c r="E12" s="46">
        <v>-2395.3000000000002</v>
      </c>
      <c r="F12" s="46">
        <v>237.7</v>
      </c>
      <c r="G12" s="46">
        <v>61.2</v>
      </c>
      <c r="H12" s="46">
        <v>55</v>
      </c>
      <c r="I12" s="46">
        <v>-100.3</v>
      </c>
      <c r="J12" s="46">
        <v>526.20000000000005</v>
      </c>
      <c r="K12" s="46">
        <v>-96.292000000000002</v>
      </c>
      <c r="L12" s="46">
        <v>183.35900000000001</v>
      </c>
      <c r="M12" s="277"/>
    </row>
    <row r="13" spans="1:13" ht="30.75">
      <c r="A13" s="48" t="s">
        <v>60</v>
      </c>
      <c r="C13" s="46">
        <v>509</v>
      </c>
      <c r="D13" s="46">
        <v>147.9</v>
      </c>
      <c r="E13" s="46">
        <v>-2416.5</v>
      </c>
      <c r="F13" s="46">
        <v>253.1</v>
      </c>
      <c r="G13" s="46">
        <v>191.6</v>
      </c>
      <c r="H13" s="46">
        <v>277.3</v>
      </c>
      <c r="I13" s="46">
        <v>604</v>
      </c>
      <c r="J13" s="46">
        <v>2686.1</v>
      </c>
      <c r="K13" s="46">
        <v>3334.7930000000001</v>
      </c>
      <c r="L13" s="46">
        <v>1140.056</v>
      </c>
      <c r="M13" s="277"/>
    </row>
    <row r="14" spans="1:13" ht="20.25">
      <c r="A14" s="49" t="s">
        <v>61</v>
      </c>
      <c r="C14" s="51">
        <v>582</v>
      </c>
      <c r="D14" s="51">
        <v>277.10000000000002</v>
      </c>
      <c r="E14" s="51">
        <v>-88.8</v>
      </c>
      <c r="F14" s="51">
        <v>45.5</v>
      </c>
      <c r="G14" s="51">
        <v>345.4</v>
      </c>
      <c r="H14" s="51">
        <v>203.2</v>
      </c>
      <c r="I14" s="51">
        <v>740.5</v>
      </c>
      <c r="J14" s="51">
        <v>2197.3000000000002</v>
      </c>
      <c r="K14" s="51">
        <v>3509.94</v>
      </c>
      <c r="L14" s="51">
        <v>1058.6010000000001</v>
      </c>
      <c r="M14" s="277"/>
    </row>
    <row r="15" spans="1:13" ht="20.25">
      <c r="A15" s="49" t="s">
        <v>62</v>
      </c>
      <c r="C15" s="52">
        <v>0.51200000000000001</v>
      </c>
      <c r="D15" s="52">
        <v>0.373</v>
      </c>
      <c r="E15" s="52">
        <v>-0.221</v>
      </c>
      <c r="F15" s="52">
        <v>0.124</v>
      </c>
      <c r="G15" s="52">
        <v>0.65800000000000003</v>
      </c>
      <c r="H15" s="52">
        <v>0.187</v>
      </c>
      <c r="I15" s="52">
        <v>0.372</v>
      </c>
      <c r="J15" s="52">
        <v>0.56999999999999995</v>
      </c>
      <c r="K15" s="52">
        <v>0.59947265999276522</v>
      </c>
      <c r="L15" s="52">
        <v>0.29261648535481583</v>
      </c>
      <c r="M15" s="282"/>
    </row>
    <row r="16" spans="1:13" ht="15.75">
      <c r="A16" s="45"/>
      <c r="M16" s="277"/>
    </row>
    <row r="17" spans="1:13" ht="15.75">
      <c r="A17" s="45"/>
      <c r="M17" s="319"/>
    </row>
    <row r="18" spans="1:13" ht="24.75">
      <c r="A18" s="405" t="s">
        <v>216</v>
      </c>
      <c r="B18" s="405"/>
      <c r="C18" s="405"/>
      <c r="D18" s="405"/>
      <c r="E18" s="405"/>
      <c r="F18" s="405"/>
      <c r="G18" s="405"/>
      <c r="H18" s="405"/>
      <c r="I18" s="270"/>
      <c r="J18" s="270"/>
      <c r="K18" s="270"/>
      <c r="L18" s="270"/>
    </row>
    <row r="19" spans="1:13" ht="20.25">
      <c r="A19" s="54" t="s">
        <v>50</v>
      </c>
      <c r="B19" s="42"/>
      <c r="C19" s="55">
        <v>2013</v>
      </c>
      <c r="D19" s="55">
        <v>2014</v>
      </c>
      <c r="E19" s="55">
        <v>2015</v>
      </c>
      <c r="F19" s="55">
        <v>2016</v>
      </c>
      <c r="G19" s="55">
        <v>2017</v>
      </c>
      <c r="H19" s="55">
        <v>2018</v>
      </c>
      <c r="I19" s="55">
        <v>2019</v>
      </c>
      <c r="J19" s="55">
        <v>2020</v>
      </c>
      <c r="K19" s="55">
        <v>2021</v>
      </c>
      <c r="L19" s="55">
        <v>2022</v>
      </c>
      <c r="M19" s="277"/>
    </row>
    <row r="20" spans="1:13" ht="20.25">
      <c r="A20" s="44" t="s">
        <v>51</v>
      </c>
      <c r="C20" s="46">
        <v>11336</v>
      </c>
      <c r="D20" s="46">
        <v>10928.7</v>
      </c>
      <c r="E20" s="46">
        <v>9174.4</v>
      </c>
      <c r="F20" s="46">
        <v>7518.4</v>
      </c>
      <c r="G20" s="46">
        <v>9980.2999999999993</v>
      </c>
      <c r="H20" s="46">
        <v>12570.4</v>
      </c>
      <c r="I20" s="46">
        <v>12719.2</v>
      </c>
      <c r="J20" s="46">
        <v>12370.7</v>
      </c>
      <c r="K20" s="46">
        <v>28357.101999999999</v>
      </c>
      <c r="L20" s="46">
        <v>28695.877</v>
      </c>
      <c r="M20" s="277"/>
    </row>
    <row r="21" spans="1:13" ht="20.25">
      <c r="A21" s="44" t="s">
        <v>52</v>
      </c>
      <c r="C21" s="47">
        <v>10185</v>
      </c>
      <c r="D21" s="47">
        <v>9326.9</v>
      </c>
      <c r="E21" s="47">
        <v>7088.5</v>
      </c>
      <c r="F21" s="47">
        <v>6608.9</v>
      </c>
      <c r="G21" s="47">
        <v>8634.7000000000007</v>
      </c>
      <c r="H21" s="47">
        <v>10935.1</v>
      </c>
      <c r="I21" s="47">
        <v>11443</v>
      </c>
      <c r="J21" s="47">
        <v>11111.7</v>
      </c>
      <c r="K21" s="47">
        <v>25533.281999999999</v>
      </c>
      <c r="L21" s="47">
        <v>24870.01</v>
      </c>
      <c r="M21" s="277"/>
    </row>
    <row r="22" spans="1:13" ht="20.25">
      <c r="A22" s="44" t="s">
        <v>53</v>
      </c>
      <c r="C22" s="46">
        <v>1151</v>
      </c>
      <c r="D22" s="46">
        <v>1601.7</v>
      </c>
      <c r="E22" s="46">
        <v>2085.9</v>
      </c>
      <c r="F22" s="46">
        <v>909.4</v>
      </c>
      <c r="G22" s="46">
        <v>1345.5</v>
      </c>
      <c r="H22" s="46">
        <v>1635.3</v>
      </c>
      <c r="I22" s="46">
        <v>1276.2</v>
      </c>
      <c r="J22" s="46">
        <v>1259</v>
      </c>
      <c r="K22" s="46">
        <v>2823.82</v>
      </c>
      <c r="L22" s="46">
        <v>3825.8670000000002</v>
      </c>
      <c r="M22" s="277"/>
    </row>
    <row r="23" spans="1:13" ht="20.25">
      <c r="A23" s="44" t="s">
        <v>54</v>
      </c>
      <c r="C23" s="46">
        <v>-10570</v>
      </c>
      <c r="D23" s="46">
        <v>-10076.5</v>
      </c>
      <c r="E23" s="46">
        <v>-9135.9</v>
      </c>
      <c r="F23" s="46">
        <v>-7080.1</v>
      </c>
      <c r="G23" s="46">
        <v>-8488.7000000000007</v>
      </c>
      <c r="H23" s="46">
        <v>-10605.5</v>
      </c>
      <c r="I23" s="46">
        <v>-11774.3</v>
      </c>
      <c r="J23" s="46">
        <v>-11481.4</v>
      </c>
      <c r="K23" s="46">
        <v>-21356.821</v>
      </c>
      <c r="L23" s="46">
        <v>-25095.88</v>
      </c>
      <c r="M23" s="277"/>
    </row>
    <row r="24" spans="1:13" ht="20.25">
      <c r="A24" s="44" t="s">
        <v>55</v>
      </c>
      <c r="C24" s="46">
        <v>767</v>
      </c>
      <c r="D24" s="46">
        <v>852.2</v>
      </c>
      <c r="E24" s="46">
        <v>38.5</v>
      </c>
      <c r="F24" s="46">
        <v>438.3</v>
      </c>
      <c r="G24" s="46">
        <v>1491.6</v>
      </c>
      <c r="H24" s="46">
        <v>1964.9</v>
      </c>
      <c r="I24" s="46">
        <v>944.9</v>
      </c>
      <c r="J24" s="46">
        <v>889.3</v>
      </c>
      <c r="K24" s="46">
        <v>7000.2809999999999</v>
      </c>
      <c r="L24" s="46">
        <v>3599.9969999999998</v>
      </c>
      <c r="M24" s="277"/>
    </row>
    <row r="25" spans="1:13" ht="20.25">
      <c r="A25" s="44" t="s">
        <v>56</v>
      </c>
      <c r="C25" s="46">
        <v>-567</v>
      </c>
      <c r="D25" s="46">
        <v>-259.89999999999998</v>
      </c>
      <c r="E25" s="46">
        <v>-1219.4000000000001</v>
      </c>
      <c r="F25" s="46">
        <v>-877.1</v>
      </c>
      <c r="G25" s="46">
        <v>-758.8</v>
      </c>
      <c r="H25" s="46">
        <v>-961.7</v>
      </c>
      <c r="I25" s="46">
        <v>-718.1</v>
      </c>
      <c r="J25" s="46">
        <v>-615.20000000000005</v>
      </c>
      <c r="K25" s="46">
        <v>511.17899999999997</v>
      </c>
      <c r="L25" s="46">
        <v>-2860.2159999999999</v>
      </c>
      <c r="M25" s="277"/>
    </row>
    <row r="26" spans="1:13" ht="20.25">
      <c r="A26" s="44" t="s">
        <v>57</v>
      </c>
      <c r="C26" s="46">
        <v>-147</v>
      </c>
      <c r="D26" s="46">
        <v>-146.4</v>
      </c>
      <c r="E26" s="46">
        <v>-165.2</v>
      </c>
      <c r="F26" s="46">
        <v>-178.3</v>
      </c>
      <c r="G26" s="46">
        <v>-155.9</v>
      </c>
      <c r="H26" s="46">
        <v>-186.9</v>
      </c>
      <c r="I26" s="46">
        <v>-109.3</v>
      </c>
      <c r="J26" s="333">
        <v>-140.661</v>
      </c>
      <c r="K26" s="46">
        <v>-183.22800000000001</v>
      </c>
      <c r="L26" s="46">
        <v>-218.46600000000001</v>
      </c>
      <c r="M26" s="277"/>
    </row>
    <row r="27" spans="1:13" ht="20.25">
      <c r="A27" s="44" t="s">
        <v>58</v>
      </c>
      <c r="C27" s="46">
        <v>-397</v>
      </c>
      <c r="D27" s="46">
        <v>-359.5</v>
      </c>
      <c r="E27" s="46">
        <v>-322.8</v>
      </c>
      <c r="F27" s="46">
        <v>-261.7</v>
      </c>
      <c r="G27" s="46">
        <v>-311.39999999999998</v>
      </c>
      <c r="H27" s="46">
        <v>-334.8</v>
      </c>
      <c r="I27" s="46">
        <v>-333.1</v>
      </c>
      <c r="J27" s="333">
        <v>-337.23</v>
      </c>
      <c r="K27" s="46">
        <v>-420.233</v>
      </c>
      <c r="L27" s="46">
        <v>-490.01400000000001</v>
      </c>
      <c r="M27" s="277"/>
    </row>
    <row r="28" spans="1:13" ht="20.25">
      <c r="A28" s="44" t="s">
        <v>59</v>
      </c>
      <c r="C28" s="46">
        <v>-23</v>
      </c>
      <c r="D28" s="46">
        <v>246.1</v>
      </c>
      <c r="E28" s="46">
        <v>-731.3</v>
      </c>
      <c r="F28" s="46">
        <v>-437.1</v>
      </c>
      <c r="G28" s="46">
        <v>-291.5</v>
      </c>
      <c r="H28" s="46">
        <v>-440.1</v>
      </c>
      <c r="I28" s="46">
        <v>-275.8</v>
      </c>
      <c r="J28" s="46">
        <v>-137.30000000000001</v>
      </c>
      <c r="K28" s="46">
        <v>1114.6400000000001</v>
      </c>
      <c r="L28" s="46">
        <v>-2151.7359999999999</v>
      </c>
      <c r="M28" s="277"/>
    </row>
    <row r="29" spans="1:13" ht="30.75">
      <c r="A29" s="48" t="s">
        <v>60</v>
      </c>
      <c r="C29" s="46">
        <v>200</v>
      </c>
      <c r="D29" s="46">
        <v>592.29999999999995</v>
      </c>
      <c r="E29" s="46">
        <v>-1180.9000000000001</v>
      </c>
      <c r="F29" s="46">
        <v>-438.8</v>
      </c>
      <c r="G29" s="46">
        <v>732.7</v>
      </c>
      <c r="H29" s="46">
        <v>1003.1</v>
      </c>
      <c r="I29" s="46">
        <v>226.8</v>
      </c>
      <c r="J29" s="46">
        <v>274.10000000000002</v>
      </c>
      <c r="K29" s="46">
        <v>7511.46</v>
      </c>
      <c r="L29" s="46">
        <v>739.78099999999995</v>
      </c>
      <c r="M29" s="277"/>
    </row>
    <row r="30" spans="1:13" ht="20.25">
      <c r="A30" s="49" t="s">
        <v>61</v>
      </c>
      <c r="C30" s="51">
        <v>1151</v>
      </c>
      <c r="D30" s="51">
        <v>1545.6</v>
      </c>
      <c r="E30" s="51">
        <v>282.3</v>
      </c>
      <c r="F30" s="51">
        <v>614.6</v>
      </c>
      <c r="G30" s="51">
        <v>1805.9</v>
      </c>
      <c r="H30" s="51">
        <v>2420.5</v>
      </c>
      <c r="I30" s="51">
        <v>1102.3</v>
      </c>
      <c r="J30" s="51">
        <v>1029.8</v>
      </c>
      <c r="K30" s="51">
        <v>8731.7479999999996</v>
      </c>
      <c r="L30" s="51">
        <v>3131.096</v>
      </c>
      <c r="M30" s="277"/>
    </row>
    <row r="31" spans="1:13" ht="20.25">
      <c r="A31" s="49" t="s">
        <v>62</v>
      </c>
      <c r="C31" s="52">
        <v>0.10199999999999999</v>
      </c>
      <c r="D31" s="52">
        <v>0.14099999999999999</v>
      </c>
      <c r="E31" s="52">
        <v>3.1E-2</v>
      </c>
      <c r="F31" s="52">
        <v>8.2000000000000003E-2</v>
      </c>
      <c r="G31" s="52">
        <v>0.18099999999999999</v>
      </c>
      <c r="H31" s="52">
        <v>0.193</v>
      </c>
      <c r="I31" s="52">
        <v>8.6999999999999994E-2</v>
      </c>
      <c r="J31" s="52">
        <v>8.3000000000000004E-2</v>
      </c>
      <c r="K31" s="52">
        <v>0.30792102803735022</v>
      </c>
      <c r="L31" s="52">
        <v>0.1091130966305717</v>
      </c>
      <c r="M31" s="277"/>
    </row>
    <row r="32" spans="1:13" ht="15.75">
      <c r="A32" s="45" t="s">
        <v>63</v>
      </c>
    </row>
    <row r="33" spans="1:13" ht="15.75">
      <c r="A33" s="45"/>
    </row>
    <row r="34" spans="1:13" ht="24.75">
      <c r="A34" s="405" t="s">
        <v>64</v>
      </c>
      <c r="B34" s="405"/>
      <c r="C34" s="405"/>
      <c r="D34" s="405"/>
      <c r="E34" s="405"/>
      <c r="F34" s="405"/>
      <c r="G34" s="405"/>
      <c r="H34" s="405"/>
      <c r="I34" s="270"/>
      <c r="J34" s="270"/>
      <c r="K34" s="270"/>
      <c r="L34" s="270"/>
    </row>
    <row r="35" spans="1:13" ht="20.25" customHeight="1">
      <c r="A35" s="54" t="s">
        <v>50</v>
      </c>
      <c r="B35" s="42"/>
      <c r="C35" s="55">
        <v>2013</v>
      </c>
      <c r="D35" s="55">
        <v>2014</v>
      </c>
      <c r="E35" s="55">
        <v>2015</v>
      </c>
      <c r="F35" s="55">
        <v>2016</v>
      </c>
      <c r="G35" s="55">
        <v>2017</v>
      </c>
      <c r="H35" s="55">
        <v>2018</v>
      </c>
      <c r="I35" s="55">
        <v>2019</v>
      </c>
      <c r="J35" s="55">
        <v>2020</v>
      </c>
      <c r="K35" s="55">
        <v>2021</v>
      </c>
      <c r="L35" s="55">
        <v>2022</v>
      </c>
    </row>
    <row r="36" spans="1:13" ht="20.25">
      <c r="A36" s="44" t="s">
        <v>51</v>
      </c>
      <c r="C36" s="46">
        <v>2464</v>
      </c>
      <c r="D36" s="46">
        <v>2341</v>
      </c>
      <c r="E36" s="46">
        <v>1924.8</v>
      </c>
      <c r="F36" s="46">
        <v>1853.5</v>
      </c>
      <c r="G36" s="46">
        <v>2497</v>
      </c>
      <c r="H36" s="46">
        <v>3237.9</v>
      </c>
      <c r="I36" s="46">
        <v>3730.3</v>
      </c>
      <c r="J36" s="46">
        <v>3843.6</v>
      </c>
      <c r="K36" s="46">
        <v>8516.393</v>
      </c>
      <c r="L36" s="46">
        <v>9384.4959999999992</v>
      </c>
      <c r="M36" s="277"/>
    </row>
    <row r="37" spans="1:13" ht="20.25">
      <c r="A37" s="44" t="s">
        <v>52</v>
      </c>
      <c r="C37" s="47">
        <v>2443</v>
      </c>
      <c r="D37" s="47">
        <v>2332.9</v>
      </c>
      <c r="E37" s="47">
        <v>1918.9</v>
      </c>
      <c r="F37" s="47">
        <v>1852.9</v>
      </c>
      <c r="G37" s="47">
        <v>2496.1</v>
      </c>
      <c r="H37" s="47">
        <v>3237.5</v>
      </c>
      <c r="I37" s="47">
        <v>3729.8</v>
      </c>
      <c r="J37" s="47">
        <v>3841.2</v>
      </c>
      <c r="K37" s="47">
        <v>8510.366</v>
      </c>
      <c r="L37" s="47">
        <v>9368.6270000000004</v>
      </c>
      <c r="M37" s="277"/>
    </row>
    <row r="38" spans="1:13" ht="20.25">
      <c r="A38" s="44" t="s">
        <v>53</v>
      </c>
      <c r="C38" s="46">
        <v>21</v>
      </c>
      <c r="D38" s="46">
        <v>8</v>
      </c>
      <c r="E38" s="46">
        <v>5.8</v>
      </c>
      <c r="F38" s="46">
        <v>0.6</v>
      </c>
      <c r="G38" s="46">
        <v>0</v>
      </c>
      <c r="H38" s="46">
        <v>0.4</v>
      </c>
      <c r="I38" s="46">
        <v>0.5</v>
      </c>
      <c r="J38" s="46">
        <v>2.4</v>
      </c>
      <c r="K38" s="46">
        <v>6.0270000000000001</v>
      </c>
      <c r="L38" s="46">
        <v>15.869</v>
      </c>
      <c r="M38" s="277"/>
    </row>
    <row r="39" spans="1:13" ht="20.25">
      <c r="A39" s="44" t="s">
        <v>54</v>
      </c>
      <c r="C39" s="46">
        <v>-2229</v>
      </c>
      <c r="D39" s="46">
        <v>-2271.1</v>
      </c>
      <c r="E39" s="46">
        <v>-1872.9</v>
      </c>
      <c r="F39" s="46">
        <v>-1730.6</v>
      </c>
      <c r="G39" s="46">
        <v>-2328.1</v>
      </c>
      <c r="H39" s="46">
        <v>-3044.5</v>
      </c>
      <c r="I39" s="46">
        <v>-3540.1</v>
      </c>
      <c r="J39" s="46">
        <v>-3537.3</v>
      </c>
      <c r="K39" s="46">
        <v>-7511.1639999999998</v>
      </c>
      <c r="L39" s="46">
        <v>-8731.6970000000001</v>
      </c>
      <c r="M39" s="277"/>
    </row>
    <row r="40" spans="1:13" ht="20.25">
      <c r="A40" s="44" t="s">
        <v>55</v>
      </c>
      <c r="C40" s="46">
        <v>235</v>
      </c>
      <c r="D40" s="46">
        <v>69.8</v>
      </c>
      <c r="E40" s="46">
        <v>51.9</v>
      </c>
      <c r="F40" s="46">
        <v>122.9</v>
      </c>
      <c r="G40" s="46">
        <v>168.9</v>
      </c>
      <c r="H40" s="46">
        <v>193.4</v>
      </c>
      <c r="I40" s="46">
        <v>190.2</v>
      </c>
      <c r="J40" s="46">
        <v>306.3</v>
      </c>
      <c r="K40" s="46">
        <v>1005.229</v>
      </c>
      <c r="L40" s="46">
        <v>652.79899999999998</v>
      </c>
      <c r="M40" s="277"/>
    </row>
    <row r="41" spans="1:13" ht="20.25">
      <c r="A41" s="44" t="s">
        <v>56</v>
      </c>
      <c r="C41" s="46">
        <v>-198</v>
      </c>
      <c r="D41" s="46">
        <v>-112.8</v>
      </c>
      <c r="E41" s="46">
        <v>-154.1</v>
      </c>
      <c r="F41" s="46">
        <v>-103.2</v>
      </c>
      <c r="G41" s="46">
        <v>-99.5</v>
      </c>
      <c r="H41" s="46">
        <v>-106.3</v>
      </c>
      <c r="I41" s="46">
        <v>-100.2</v>
      </c>
      <c r="J41" s="46">
        <v>-122.8</v>
      </c>
      <c r="K41" s="46">
        <v>-77.974999999999994</v>
      </c>
      <c r="L41" s="46">
        <v>-150.85</v>
      </c>
      <c r="M41" s="277"/>
    </row>
    <row r="42" spans="1:13" ht="20.25">
      <c r="A42" s="44" t="s">
        <v>57</v>
      </c>
      <c r="C42" s="46">
        <v>-99</v>
      </c>
      <c r="D42" s="46">
        <v>-44.8</v>
      </c>
      <c r="E42" s="46">
        <v>-36.6</v>
      </c>
      <c r="F42" s="46">
        <v>-41.8</v>
      </c>
      <c r="G42" s="46">
        <v>-46.3</v>
      </c>
      <c r="H42" s="46">
        <v>-46.3</v>
      </c>
      <c r="I42" s="46">
        <v>-45.4</v>
      </c>
      <c r="J42" s="46">
        <v>-52.4</v>
      </c>
      <c r="K42" s="46">
        <v>-73.757000000000005</v>
      </c>
      <c r="L42" s="46">
        <v>-57.341000000000001</v>
      </c>
      <c r="M42" s="277"/>
    </row>
    <row r="43" spans="1:13" ht="20.25">
      <c r="A43" s="44" t="s">
        <v>58</v>
      </c>
      <c r="C43" s="46">
        <v>-82</v>
      </c>
      <c r="D43" s="46">
        <v>-65.2</v>
      </c>
      <c r="E43" s="46">
        <v>-58.1</v>
      </c>
      <c r="F43" s="46">
        <v>-55.5</v>
      </c>
      <c r="G43" s="46">
        <v>-54</v>
      </c>
      <c r="H43" s="46">
        <v>-57.9</v>
      </c>
      <c r="I43" s="46">
        <v>-57.3</v>
      </c>
      <c r="J43" s="46">
        <v>-52.9</v>
      </c>
      <c r="K43" s="46">
        <v>-61.65</v>
      </c>
      <c r="L43" s="46">
        <v>-75.843999999999994</v>
      </c>
      <c r="M43" s="277"/>
    </row>
    <row r="44" spans="1:13" ht="20.25">
      <c r="A44" s="44" t="s">
        <v>59</v>
      </c>
      <c r="C44" s="46">
        <v>-17</v>
      </c>
      <c r="D44" s="46">
        <v>-2.7</v>
      </c>
      <c r="E44" s="46">
        <v>-59.3</v>
      </c>
      <c r="F44" s="46">
        <v>-5.9</v>
      </c>
      <c r="G44" s="46">
        <v>0.8</v>
      </c>
      <c r="H44" s="46">
        <v>-2.2000000000000002</v>
      </c>
      <c r="I44" s="46">
        <v>2.5</v>
      </c>
      <c r="J44" s="46">
        <v>-17.5</v>
      </c>
      <c r="K44" s="46">
        <v>57.432000000000002</v>
      </c>
      <c r="L44" s="46">
        <v>-17.664999999999999</v>
      </c>
      <c r="M44" s="277"/>
    </row>
    <row r="45" spans="1:13" ht="30.75">
      <c r="A45" s="48" t="s">
        <v>60</v>
      </c>
      <c r="C45" s="46">
        <v>37</v>
      </c>
      <c r="D45" s="46">
        <v>-42.9</v>
      </c>
      <c r="E45" s="46">
        <v>-102.2</v>
      </c>
      <c r="F45" s="46">
        <v>19.600000000000001</v>
      </c>
      <c r="G45" s="46">
        <v>69.5</v>
      </c>
      <c r="H45" s="46">
        <v>87.1</v>
      </c>
      <c r="I45" s="46">
        <v>90</v>
      </c>
      <c r="J45" s="46">
        <v>183.4</v>
      </c>
      <c r="K45" s="46">
        <v>927.25400000000002</v>
      </c>
      <c r="L45" s="46">
        <v>501.94900000000001</v>
      </c>
      <c r="M45" s="277"/>
    </row>
    <row r="46" spans="1:13" ht="20.25">
      <c r="A46" s="49" t="s">
        <v>61</v>
      </c>
      <c r="C46" s="51">
        <v>90</v>
      </c>
      <c r="D46" s="51">
        <v>-3.7</v>
      </c>
      <c r="E46" s="51">
        <v>-17</v>
      </c>
      <c r="F46" s="51">
        <v>48.8</v>
      </c>
      <c r="G46" s="51">
        <v>101.1</v>
      </c>
      <c r="H46" s="51">
        <v>118</v>
      </c>
      <c r="I46" s="51">
        <v>120.4</v>
      </c>
      <c r="J46" s="51">
        <v>211.6</v>
      </c>
      <c r="K46" s="51">
        <v>952.99599999999998</v>
      </c>
      <c r="L46" s="51">
        <v>534.05700000000002</v>
      </c>
      <c r="M46" s="277"/>
    </row>
    <row r="47" spans="1:13" ht="20.25">
      <c r="A47" s="49" t="s">
        <v>62</v>
      </c>
      <c r="B47" t="e">
        <f>B46/B36</f>
        <v>#DIV/0!</v>
      </c>
      <c r="C47" s="52">
        <v>3.6999999999999998E-2</v>
      </c>
      <c r="D47" s="52">
        <v>-2E-3</v>
      </c>
      <c r="E47" s="52">
        <v>-8.9999999999999993E-3</v>
      </c>
      <c r="F47" s="52">
        <v>2.5999999999999999E-2</v>
      </c>
      <c r="G47" s="52">
        <v>0.04</v>
      </c>
      <c r="H47" s="52">
        <v>3.5999999999999997E-2</v>
      </c>
      <c r="I47" s="52">
        <v>3.2000000000000001E-2</v>
      </c>
      <c r="J47" s="52">
        <v>5.5E-2</v>
      </c>
      <c r="K47" s="52">
        <v>0.11190136481489288</v>
      </c>
      <c r="L47" s="52">
        <v>5.6908437064707586E-2</v>
      </c>
      <c r="M47" s="277"/>
    </row>
    <row r="48" spans="1:13" ht="15.75">
      <c r="A48" s="45"/>
    </row>
    <row r="49" spans="1:13" ht="15.75">
      <c r="A49" s="45"/>
    </row>
    <row r="50" spans="1:13" ht="24.75">
      <c r="A50" s="405" t="s">
        <v>65</v>
      </c>
      <c r="B50" s="405"/>
      <c r="C50" s="405"/>
      <c r="D50" s="405"/>
      <c r="E50" s="405"/>
      <c r="F50" s="405"/>
      <c r="G50" s="405"/>
      <c r="H50" s="405"/>
      <c r="I50" s="270"/>
      <c r="J50" s="270"/>
      <c r="K50" s="270"/>
      <c r="L50" s="270"/>
    </row>
    <row r="51" spans="1:13" ht="20.25" customHeight="1">
      <c r="A51" s="54" t="s">
        <v>50</v>
      </c>
      <c r="B51" s="42"/>
      <c r="C51" s="55">
        <v>2013</v>
      </c>
      <c r="D51" s="55">
        <v>2014</v>
      </c>
      <c r="E51" s="55">
        <v>2015</v>
      </c>
      <c r="F51" s="55">
        <v>2016</v>
      </c>
      <c r="G51" s="55">
        <v>2017</v>
      </c>
      <c r="H51" s="55">
        <v>2018</v>
      </c>
      <c r="I51" s="55">
        <v>2019</v>
      </c>
      <c r="J51" s="55">
        <v>2020</v>
      </c>
      <c r="K51" s="55">
        <v>2021</v>
      </c>
      <c r="L51" s="55">
        <v>2022</v>
      </c>
    </row>
    <row r="52" spans="1:13" ht="20.25">
      <c r="A52" s="44" t="s">
        <v>51</v>
      </c>
      <c r="C52" s="46">
        <v>972</v>
      </c>
      <c r="D52" s="46">
        <v>794.3</v>
      </c>
      <c r="E52" s="46">
        <v>868.6</v>
      </c>
      <c r="F52" s="46">
        <v>568.29999999999995</v>
      </c>
      <c r="G52" s="46">
        <v>287.60000000000002</v>
      </c>
      <c r="H52" s="46">
        <v>352.7</v>
      </c>
      <c r="I52" s="46">
        <v>411.9</v>
      </c>
      <c r="J52" s="46">
        <v>248.2</v>
      </c>
      <c r="K52" s="46"/>
      <c r="L52" s="46"/>
      <c r="M52" s="277"/>
    </row>
    <row r="53" spans="1:13" ht="20.25">
      <c r="A53" s="44" t="s">
        <v>52</v>
      </c>
      <c r="C53" s="47">
        <v>960</v>
      </c>
      <c r="D53" s="47">
        <v>786.2</v>
      </c>
      <c r="E53" s="47">
        <v>840.1</v>
      </c>
      <c r="F53" s="47">
        <v>567.29999999999995</v>
      </c>
      <c r="G53" s="47">
        <v>286.89999999999998</v>
      </c>
      <c r="H53" s="47">
        <v>352.6</v>
      </c>
      <c r="I53" s="47">
        <v>411.9</v>
      </c>
      <c r="J53" s="47">
        <v>248.2</v>
      </c>
      <c r="K53" s="47"/>
      <c r="L53" s="47"/>
      <c r="M53" s="277"/>
    </row>
    <row r="54" spans="1:13" ht="20.25">
      <c r="A54" s="44" t="s">
        <v>53</v>
      </c>
      <c r="C54" s="46">
        <v>12</v>
      </c>
      <c r="D54" s="46">
        <v>8.1</v>
      </c>
      <c r="E54" s="46">
        <v>28.5</v>
      </c>
      <c r="F54" s="46">
        <v>1</v>
      </c>
      <c r="G54" s="46">
        <v>0.7</v>
      </c>
      <c r="H54" s="46">
        <v>0.1</v>
      </c>
      <c r="I54" s="46">
        <v>0</v>
      </c>
      <c r="J54" s="46">
        <v>0</v>
      </c>
      <c r="K54" s="46"/>
      <c r="L54" s="46"/>
      <c r="M54" s="277"/>
    </row>
    <row r="55" spans="1:13" ht="20.25">
      <c r="A55" s="44" t="s">
        <v>54</v>
      </c>
      <c r="C55" s="46">
        <v>-922</v>
      </c>
      <c r="D55" s="46">
        <v>-715.9</v>
      </c>
      <c r="E55" s="46">
        <v>-742.2</v>
      </c>
      <c r="F55" s="46">
        <v>-529.20000000000005</v>
      </c>
      <c r="G55" s="46">
        <v>-278.2</v>
      </c>
      <c r="H55" s="46">
        <v>-349.8</v>
      </c>
      <c r="I55" s="46">
        <v>-388.4</v>
      </c>
      <c r="J55" s="46">
        <v>-336.8</v>
      </c>
      <c r="K55" s="46"/>
      <c r="L55" s="46"/>
      <c r="M55" s="277"/>
    </row>
    <row r="56" spans="1:13" ht="20.25">
      <c r="A56" s="44" t="s">
        <v>55</v>
      </c>
      <c r="C56" s="46">
        <v>51</v>
      </c>
      <c r="D56" s="46">
        <v>78.400000000000006</v>
      </c>
      <c r="E56" s="46">
        <v>126.4</v>
      </c>
      <c r="F56" s="46">
        <v>39.1</v>
      </c>
      <c r="G56" s="46">
        <v>9.4</v>
      </c>
      <c r="H56" s="46">
        <v>2.9</v>
      </c>
      <c r="I56" s="46">
        <v>23.5</v>
      </c>
      <c r="J56" s="46">
        <v>-88.6</v>
      </c>
      <c r="K56" s="46"/>
      <c r="L56" s="46"/>
      <c r="M56" s="277"/>
    </row>
    <row r="57" spans="1:13" ht="20.25">
      <c r="A57" s="44" t="s">
        <v>56</v>
      </c>
      <c r="C57" s="46">
        <v>-72</v>
      </c>
      <c r="D57" s="46">
        <v>-53.6</v>
      </c>
      <c r="E57" s="46">
        <v>-64.400000000000006</v>
      </c>
      <c r="F57" s="46">
        <v>-59.2</v>
      </c>
      <c r="G57" s="46">
        <v>-62.5</v>
      </c>
      <c r="H57" s="46">
        <v>-186.3</v>
      </c>
      <c r="I57" s="46">
        <v>-39.4</v>
      </c>
      <c r="J57" s="46">
        <v>-64.2</v>
      </c>
      <c r="K57" s="46"/>
      <c r="L57" s="46"/>
      <c r="M57" s="277"/>
    </row>
    <row r="58" spans="1:13" ht="20.25">
      <c r="A58" s="44" t="s">
        <v>57</v>
      </c>
      <c r="C58" s="46">
        <v>-17</v>
      </c>
      <c r="D58" s="46">
        <v>-13.8</v>
      </c>
      <c r="E58" s="46">
        <v>-14.7</v>
      </c>
      <c r="F58" s="46">
        <v>-12.3</v>
      </c>
      <c r="G58" s="46">
        <v>-12.5</v>
      </c>
      <c r="H58" s="46">
        <v>-11.7</v>
      </c>
      <c r="I58" s="46">
        <v>-13.1</v>
      </c>
      <c r="J58" s="46">
        <v>-10.4</v>
      </c>
      <c r="K58" s="46"/>
      <c r="L58" s="46"/>
      <c r="M58" s="277"/>
    </row>
    <row r="59" spans="1:13" ht="20.25">
      <c r="A59" s="44" t="s">
        <v>58</v>
      </c>
      <c r="C59" s="46">
        <v>-54</v>
      </c>
      <c r="D59" s="46">
        <v>-46.3</v>
      </c>
      <c r="E59" s="46">
        <v>-42.1</v>
      </c>
      <c r="F59" s="46">
        <v>-31.8</v>
      </c>
      <c r="G59" s="46">
        <v>-32</v>
      </c>
      <c r="H59" s="46">
        <v>-35.200000000000003</v>
      </c>
      <c r="I59" s="46">
        <v>-26.9</v>
      </c>
      <c r="J59" s="46">
        <v>-25</v>
      </c>
      <c r="K59" s="46"/>
      <c r="L59" s="46"/>
      <c r="M59" s="277"/>
    </row>
    <row r="60" spans="1:13" ht="20.25">
      <c r="A60" s="44" t="s">
        <v>59</v>
      </c>
      <c r="C60" s="46">
        <v>-1</v>
      </c>
      <c r="D60" s="46">
        <v>6.5</v>
      </c>
      <c r="E60" s="46">
        <v>-7.6</v>
      </c>
      <c r="F60" s="46">
        <v>-15.1</v>
      </c>
      <c r="G60" s="46">
        <v>-18</v>
      </c>
      <c r="H60" s="46">
        <v>-139.4</v>
      </c>
      <c r="I60" s="46">
        <v>0.7</v>
      </c>
      <c r="J60" s="46">
        <v>-28.7</v>
      </c>
      <c r="K60" s="46"/>
      <c r="L60" s="46"/>
      <c r="M60" s="277"/>
    </row>
    <row r="61" spans="1:13" ht="30.75">
      <c r="A61" s="48" t="s">
        <v>60</v>
      </c>
      <c r="C61" s="46">
        <v>-21</v>
      </c>
      <c r="D61" s="46">
        <v>24.7</v>
      </c>
      <c r="E61" s="46">
        <v>62</v>
      </c>
      <c r="F61" s="46">
        <v>-20.100000000000001</v>
      </c>
      <c r="G61" s="46">
        <v>-53.1</v>
      </c>
      <c r="H61" s="46">
        <v>-183.5</v>
      </c>
      <c r="I61" s="46">
        <v>-15.9</v>
      </c>
      <c r="J61" s="46">
        <v>-152.80000000000001</v>
      </c>
      <c r="K61" s="46"/>
      <c r="L61" s="46"/>
      <c r="M61" s="277"/>
    </row>
    <row r="62" spans="1:13" ht="20.25">
      <c r="A62" s="49" t="s">
        <v>61</v>
      </c>
      <c r="C62" s="51">
        <v>6</v>
      </c>
      <c r="D62" s="51">
        <v>50</v>
      </c>
      <c r="E62" s="51">
        <v>86.9</v>
      </c>
      <c r="F62" s="51">
        <v>11.8</v>
      </c>
      <c r="G62" s="51">
        <v>-33.4</v>
      </c>
      <c r="H62" s="51">
        <v>-21.4</v>
      </c>
      <c r="I62" s="51">
        <v>-15.9</v>
      </c>
      <c r="J62" s="51">
        <v>-145.19999999999999</v>
      </c>
      <c r="K62" s="51"/>
      <c r="L62" s="51"/>
      <c r="M62" s="277"/>
    </row>
    <row r="63" spans="1:13" ht="20.25">
      <c r="A63" s="49" t="s">
        <v>62</v>
      </c>
      <c r="C63" s="52">
        <v>6.0000000000000001E-3</v>
      </c>
      <c r="D63" s="52">
        <v>6.3E-2</v>
      </c>
      <c r="E63" s="52">
        <v>0.1</v>
      </c>
      <c r="F63" s="52">
        <v>2.1000000000000001E-2</v>
      </c>
      <c r="G63" s="52">
        <v>-0.11600000000000001</v>
      </c>
      <c r="H63" s="52">
        <v>-6.0999999999999999E-2</v>
      </c>
      <c r="I63" s="52">
        <v>-3.9E-2</v>
      </c>
      <c r="J63" s="52">
        <v>-0.58499999999999996</v>
      </c>
      <c r="K63" s="52"/>
      <c r="L63" s="52"/>
      <c r="M63" s="277"/>
    </row>
    <row r="64" spans="1:13" ht="15.75">
      <c r="A64" s="45"/>
    </row>
    <row r="65" spans="1:13" ht="24.75">
      <c r="A65" s="405" t="s">
        <v>66</v>
      </c>
      <c r="B65" s="405"/>
      <c r="C65" s="405"/>
      <c r="D65" s="405"/>
      <c r="E65" s="405"/>
      <c r="F65" s="405"/>
      <c r="G65" s="405"/>
      <c r="H65" s="405"/>
      <c r="I65" s="270"/>
      <c r="J65" s="270"/>
      <c r="K65" s="270"/>
      <c r="L65" s="270"/>
    </row>
    <row r="66" spans="1:13" ht="20.25" customHeight="1">
      <c r="A66" s="54" t="s">
        <v>50</v>
      </c>
      <c r="B66" s="42"/>
      <c r="C66" s="55">
        <v>2013</v>
      </c>
      <c r="D66" s="55">
        <v>2014</v>
      </c>
      <c r="E66" s="55">
        <v>2015</v>
      </c>
      <c r="F66" s="55">
        <v>2016</v>
      </c>
      <c r="G66" s="55">
        <v>2017</v>
      </c>
      <c r="H66" s="55">
        <v>2018</v>
      </c>
      <c r="I66" s="55">
        <v>2019</v>
      </c>
      <c r="J66" s="55">
        <v>2020</v>
      </c>
      <c r="K66" s="55">
        <v>2021</v>
      </c>
      <c r="L66" s="55">
        <v>2022</v>
      </c>
    </row>
    <row r="67" spans="1:13" ht="20.25">
      <c r="A67" s="44" t="s">
        <v>51</v>
      </c>
      <c r="C67" s="46">
        <v>-3079</v>
      </c>
      <c r="D67" s="46">
        <v>-3065.2</v>
      </c>
      <c r="E67" s="46">
        <v>-2184</v>
      </c>
      <c r="F67" s="46">
        <v>-1852.1</v>
      </c>
      <c r="G67" s="46">
        <v>-2555.5</v>
      </c>
      <c r="H67" s="46">
        <v>-3509.2</v>
      </c>
      <c r="I67" s="46">
        <v>-3901.9</v>
      </c>
      <c r="J67" s="46">
        <v>-4232.6000000000004</v>
      </c>
      <c r="K67" s="46">
        <v>-8991.5769999999993</v>
      </c>
      <c r="L67" s="46">
        <v>-9227.5709999999999</v>
      </c>
      <c r="M67" s="277"/>
    </row>
    <row r="68" spans="1:13" ht="20.25">
      <c r="A68" s="44" t="s">
        <v>52</v>
      </c>
      <c r="C68" s="47">
        <v>-3079</v>
      </c>
      <c r="D68" s="47">
        <v>-3065.2</v>
      </c>
      <c r="E68" s="47">
        <v>-2184</v>
      </c>
      <c r="F68" s="47">
        <v>-1852.1</v>
      </c>
      <c r="G68" s="47">
        <v>-2555.5</v>
      </c>
      <c r="H68" s="47">
        <v>-3509.2</v>
      </c>
      <c r="I68" s="47">
        <v>-3901.9</v>
      </c>
      <c r="J68" s="47">
        <v>-4232.6000000000004</v>
      </c>
      <c r="K68" s="47">
        <v>-8991.5769999999993</v>
      </c>
      <c r="L68" s="47">
        <v>-9227.5709999999999</v>
      </c>
      <c r="M68" s="277"/>
    </row>
    <row r="69" spans="1:13" ht="20.25">
      <c r="A69" s="44" t="s">
        <v>53</v>
      </c>
      <c r="C69" s="46">
        <v>0</v>
      </c>
      <c r="D69" s="46">
        <v>0</v>
      </c>
      <c r="E69" s="46">
        <v>0</v>
      </c>
      <c r="F69" s="46">
        <v>0</v>
      </c>
      <c r="G69" s="46">
        <v>0</v>
      </c>
      <c r="H69" s="46">
        <v>0</v>
      </c>
      <c r="I69" s="46">
        <v>0</v>
      </c>
      <c r="J69" s="46">
        <v>0</v>
      </c>
      <c r="K69" s="46">
        <v>0</v>
      </c>
      <c r="L69" s="46">
        <v>0</v>
      </c>
      <c r="M69" s="277"/>
    </row>
    <row r="70" spans="1:13" ht="20.25">
      <c r="A70" s="44" t="s">
        <v>54</v>
      </c>
      <c r="C70" s="46">
        <v>2869</v>
      </c>
      <c r="D70" s="46">
        <v>2861.5</v>
      </c>
      <c r="E70" s="46">
        <v>2092</v>
      </c>
      <c r="F70" s="46">
        <v>1668.6</v>
      </c>
      <c r="G70" s="46">
        <v>2338.9</v>
      </c>
      <c r="H70" s="46">
        <v>3226.9</v>
      </c>
      <c r="I70" s="46">
        <v>3773</v>
      </c>
      <c r="J70" s="46">
        <v>4005.9</v>
      </c>
      <c r="K70" s="46">
        <v>8477.49</v>
      </c>
      <c r="L70" s="46">
        <v>9302.0519999999997</v>
      </c>
      <c r="M70" s="277"/>
    </row>
    <row r="71" spans="1:13" ht="20.25">
      <c r="A71" s="44" t="s">
        <v>55</v>
      </c>
      <c r="C71" s="46">
        <v>-210</v>
      </c>
      <c r="D71" s="46">
        <v>-203.8</v>
      </c>
      <c r="E71" s="46">
        <v>-91.7</v>
      </c>
      <c r="F71" s="46">
        <v>-183.5</v>
      </c>
      <c r="G71" s="46">
        <v>-216.6</v>
      </c>
      <c r="H71" s="46">
        <v>-282.3</v>
      </c>
      <c r="I71" s="46">
        <v>-128.9</v>
      </c>
      <c r="J71" s="46">
        <v>-226.8</v>
      </c>
      <c r="K71" s="46">
        <v>-514.08699999999999</v>
      </c>
      <c r="L71" s="46">
        <v>74.480999999999995</v>
      </c>
      <c r="M71" s="277"/>
    </row>
    <row r="72" spans="1:13" ht="20.25">
      <c r="A72" s="44" t="s">
        <v>56</v>
      </c>
      <c r="C72" s="46">
        <v>5</v>
      </c>
      <c r="D72" s="46">
        <v>5</v>
      </c>
      <c r="E72" s="46">
        <v>4.5</v>
      </c>
      <c r="F72" s="46">
        <v>5.3</v>
      </c>
      <c r="G72" s="46">
        <v>4.9000000000000004</v>
      </c>
      <c r="H72" s="46">
        <v>-19.8</v>
      </c>
      <c r="I72" s="46">
        <v>-4.2</v>
      </c>
      <c r="J72" s="46">
        <v>4.5999999999999996</v>
      </c>
      <c r="K72" s="46">
        <v>12.254</v>
      </c>
      <c r="L72" s="46">
        <v>-10.771000000000001</v>
      </c>
      <c r="M72" s="277"/>
    </row>
    <row r="73" spans="1:13" ht="20.25">
      <c r="A73" s="44" t="s">
        <v>57</v>
      </c>
      <c r="C73" s="46">
        <v>-2</v>
      </c>
      <c r="D73" s="46">
        <v>-3</v>
      </c>
      <c r="E73" s="46">
        <v>-3.4</v>
      </c>
      <c r="F73" s="46">
        <v>-4.7</v>
      </c>
      <c r="G73" s="46">
        <v>-4.8</v>
      </c>
      <c r="H73" s="46">
        <v>-4.8</v>
      </c>
      <c r="I73" s="46">
        <v>-4.5</v>
      </c>
      <c r="J73" s="46">
        <v>-5.2</v>
      </c>
      <c r="K73" s="46">
        <v>0</v>
      </c>
      <c r="L73" s="46">
        <v>0</v>
      </c>
      <c r="M73" s="277"/>
    </row>
    <row r="74" spans="1:13" ht="20.25">
      <c r="A74" s="44" t="s">
        <v>58</v>
      </c>
      <c r="C74" s="46">
        <v>5</v>
      </c>
      <c r="D74" s="46">
        <v>14</v>
      </c>
      <c r="E74" s="46">
        <v>13.5</v>
      </c>
      <c r="F74" s="46">
        <v>14.3</v>
      </c>
      <c r="G74" s="46">
        <v>13</v>
      </c>
      <c r="H74" s="46">
        <v>14</v>
      </c>
      <c r="I74" s="46">
        <v>14.8</v>
      </c>
      <c r="J74" s="46">
        <v>15.2</v>
      </c>
      <c r="K74" s="46">
        <v>16.899000000000001</v>
      </c>
      <c r="L74" s="46">
        <v>19.065000000000001</v>
      </c>
      <c r="M74" s="277"/>
    </row>
    <row r="75" spans="1:13" ht="20.25">
      <c r="A75" s="44" t="s">
        <v>59</v>
      </c>
      <c r="C75" s="46">
        <v>2</v>
      </c>
      <c r="D75" s="46">
        <v>-6</v>
      </c>
      <c r="E75" s="46">
        <v>-5.6</v>
      </c>
      <c r="F75" s="46">
        <v>-4.4000000000000004</v>
      </c>
      <c r="G75" s="46">
        <v>-3.3</v>
      </c>
      <c r="H75" s="46">
        <v>-29</v>
      </c>
      <c r="I75" s="46">
        <v>-14.5</v>
      </c>
      <c r="J75" s="46">
        <v>-5.4</v>
      </c>
      <c r="K75" s="46">
        <v>-4.6449999999999996</v>
      </c>
      <c r="L75" s="46">
        <v>-29.835999999999999</v>
      </c>
      <c r="M75" s="277"/>
    </row>
    <row r="76" spans="1:13" ht="30.75">
      <c r="A76" s="48" t="s">
        <v>60</v>
      </c>
      <c r="C76" s="46">
        <v>-205</v>
      </c>
      <c r="D76" s="46">
        <v>-199</v>
      </c>
      <c r="E76" s="46">
        <v>-87.2</v>
      </c>
      <c r="F76" s="46">
        <v>-178.2</v>
      </c>
      <c r="G76" s="46">
        <v>-211.7</v>
      </c>
      <c r="H76" s="46">
        <v>-302.10000000000002</v>
      </c>
      <c r="I76" s="46">
        <v>-133.1</v>
      </c>
      <c r="J76" s="46">
        <v>-222.1</v>
      </c>
      <c r="K76" s="46">
        <v>-501.83300000000003</v>
      </c>
      <c r="L76" s="46">
        <v>63.71</v>
      </c>
      <c r="M76" s="277"/>
    </row>
    <row r="77" spans="1:13" ht="20.25">
      <c r="A77" s="49" t="s">
        <v>61</v>
      </c>
      <c r="C77" s="51">
        <v>-23</v>
      </c>
      <c r="D77" s="51">
        <v>-5.8</v>
      </c>
      <c r="E77" s="51">
        <v>28.2</v>
      </c>
      <c r="F77" s="51">
        <v>-60.2</v>
      </c>
      <c r="G77" s="51">
        <v>-33.189</v>
      </c>
      <c r="H77" s="51">
        <v>-27.3</v>
      </c>
      <c r="I77" s="51">
        <v>25.7</v>
      </c>
      <c r="J77" s="51">
        <v>-99.783000000000001</v>
      </c>
      <c r="K77" s="51">
        <v>-364.846</v>
      </c>
      <c r="L77" s="51">
        <v>180.827</v>
      </c>
      <c r="M77" s="277"/>
    </row>
    <row r="78" spans="1:13" ht="20.25">
      <c r="A78" s="49" t="s">
        <v>62</v>
      </c>
      <c r="C78" s="52">
        <v>7.0000000000000001E-3</v>
      </c>
      <c r="D78" s="52">
        <v>2E-3</v>
      </c>
      <c r="E78" s="52">
        <v>-1.2999999999999999E-2</v>
      </c>
      <c r="F78" s="52">
        <v>3.3000000000000002E-2</v>
      </c>
      <c r="G78" s="52">
        <v>-6.9000000000000006E-2</v>
      </c>
      <c r="H78" s="52">
        <v>8.0000000000000002E-3</v>
      </c>
      <c r="I78" s="52">
        <v>-7.0000000000000001E-3</v>
      </c>
      <c r="J78" s="52">
        <v>2.3574826678964836E-2</v>
      </c>
      <c r="K78" s="52">
        <v>4.057641946457223E-2</v>
      </c>
      <c r="L78" s="52">
        <v>-1.9596381322885513E-2</v>
      </c>
      <c r="M78" s="277"/>
    </row>
    <row r="79" spans="1:13" ht="15.75">
      <c r="A79" s="45"/>
    </row>
    <row r="80" spans="1:13" ht="24.75">
      <c r="A80" s="405" t="s">
        <v>67</v>
      </c>
      <c r="B80" s="405"/>
      <c r="C80" s="405"/>
      <c r="D80" s="405"/>
      <c r="E80" s="405"/>
      <c r="F80" s="405"/>
      <c r="G80" s="405"/>
      <c r="H80" s="405"/>
      <c r="I80" s="270"/>
      <c r="J80" s="270"/>
      <c r="K80" s="270"/>
      <c r="L80" s="270"/>
    </row>
    <row r="81" spans="1:13" ht="20.25" customHeight="1">
      <c r="A81" s="54" t="s">
        <v>50</v>
      </c>
      <c r="B81" s="42"/>
      <c r="C81" s="55">
        <v>2013</v>
      </c>
      <c r="D81" s="55">
        <v>2014</v>
      </c>
      <c r="E81" s="55">
        <v>2015</v>
      </c>
      <c r="F81" s="55">
        <v>2016</v>
      </c>
      <c r="G81" s="55">
        <v>2017</v>
      </c>
      <c r="H81" s="55">
        <v>2018</v>
      </c>
      <c r="I81" s="55">
        <v>2019</v>
      </c>
      <c r="J81" s="55">
        <v>2020</v>
      </c>
      <c r="K81" s="55">
        <v>2021</v>
      </c>
      <c r="L81" s="55">
        <v>2022</v>
      </c>
    </row>
    <row r="82" spans="1:13" ht="20.25">
      <c r="A82" s="44" t="s">
        <v>51</v>
      </c>
      <c r="C82" s="46">
        <v>12829</v>
      </c>
      <c r="D82" s="46">
        <v>11741.6</v>
      </c>
      <c r="E82" s="46">
        <v>10185.299999999999</v>
      </c>
      <c r="F82" s="46">
        <v>8454.2000000000007</v>
      </c>
      <c r="G82" s="46">
        <v>10734.1</v>
      </c>
      <c r="H82" s="46">
        <v>13736.8</v>
      </c>
      <c r="I82" s="46">
        <v>14948.7</v>
      </c>
      <c r="J82" s="46">
        <v>16088.1</v>
      </c>
      <c r="K82" s="46">
        <v>33736.964</v>
      </c>
      <c r="L82" s="46">
        <v>32470.51</v>
      </c>
      <c r="M82" s="277"/>
    </row>
    <row r="83" spans="1:13" ht="20.25">
      <c r="A83" s="44" t="s">
        <v>52</v>
      </c>
      <c r="C83" s="47">
        <v>11533</v>
      </c>
      <c r="D83" s="47">
        <v>9998</v>
      </c>
      <c r="E83" s="47">
        <v>8065</v>
      </c>
      <c r="F83" s="47">
        <v>7469.3</v>
      </c>
      <c r="G83" s="47">
        <v>9206.7000000000007</v>
      </c>
      <c r="H83" s="47">
        <v>11401.7</v>
      </c>
      <c r="I83" s="47">
        <v>12289.7</v>
      </c>
      <c r="J83" s="47">
        <v>11764.8</v>
      </c>
      <c r="K83" s="47">
        <v>26191.415000000001</v>
      </c>
      <c r="L83" s="47">
        <v>25971.83</v>
      </c>
      <c r="M83" s="277"/>
    </row>
    <row r="84" spans="1:13" ht="20.25">
      <c r="A84" s="44" t="s">
        <v>53</v>
      </c>
      <c r="C84" s="46">
        <v>1296</v>
      </c>
      <c r="D84" s="46">
        <v>1743.6</v>
      </c>
      <c r="E84" s="46">
        <v>2120.3000000000002</v>
      </c>
      <c r="F84" s="46">
        <v>984.9</v>
      </c>
      <c r="G84" s="46">
        <v>1526.6</v>
      </c>
      <c r="H84" s="46">
        <v>2335.1</v>
      </c>
      <c r="I84" s="46">
        <v>2659.1</v>
      </c>
      <c r="J84" s="46">
        <v>4323.2</v>
      </c>
      <c r="K84" s="46">
        <v>7545.549</v>
      </c>
      <c r="L84" s="46">
        <v>6498.68</v>
      </c>
      <c r="M84" s="277"/>
    </row>
    <row r="85" spans="1:13" ht="20.25">
      <c r="A85" s="44" t="s">
        <v>54</v>
      </c>
      <c r="C85" s="46">
        <v>-11355</v>
      </c>
      <c r="D85" s="46">
        <v>-10704.9</v>
      </c>
      <c r="E85" s="46">
        <v>-10013</v>
      </c>
      <c r="F85" s="46">
        <v>-7966.9</v>
      </c>
      <c r="G85" s="46">
        <v>-9099</v>
      </c>
      <c r="H85" s="46">
        <v>-11521.7</v>
      </c>
      <c r="I85" s="46">
        <v>-13074.1</v>
      </c>
      <c r="J85" s="46">
        <v>-12831.5</v>
      </c>
      <c r="K85" s="46">
        <v>-22462.635999999999</v>
      </c>
      <c r="L85" s="46">
        <v>-26790.834999999999</v>
      </c>
      <c r="M85" s="277"/>
    </row>
    <row r="86" spans="1:13" ht="20.25">
      <c r="A86" s="44" t="s">
        <v>55</v>
      </c>
      <c r="C86" s="46">
        <v>1476</v>
      </c>
      <c r="D86" s="46">
        <v>1036.8</v>
      </c>
      <c r="E86" s="46">
        <v>172.6</v>
      </c>
      <c r="F86" s="46">
        <v>487.3</v>
      </c>
      <c r="G86" s="46">
        <v>1635.1</v>
      </c>
      <c r="H86" s="46">
        <v>2215.1</v>
      </c>
      <c r="I86" s="46">
        <v>1874.6</v>
      </c>
      <c r="J86" s="46">
        <v>3256.5</v>
      </c>
      <c r="K86" s="46">
        <v>11274.328</v>
      </c>
      <c r="L86" s="46">
        <v>5679.6750000000002</v>
      </c>
      <c r="M86" s="277"/>
    </row>
    <row r="87" spans="1:13" ht="20.25">
      <c r="A87" s="44" t="s">
        <v>56</v>
      </c>
      <c r="C87" s="46">
        <v>-956</v>
      </c>
      <c r="D87" s="46">
        <v>-513.5</v>
      </c>
      <c r="E87" s="46">
        <v>-3897.3</v>
      </c>
      <c r="F87" s="46">
        <v>-851.8</v>
      </c>
      <c r="G87" s="46">
        <v>-906.1</v>
      </c>
      <c r="H87" s="46">
        <v>-1333.2</v>
      </c>
      <c r="I87" s="46">
        <v>-1102.8</v>
      </c>
      <c r="J87" s="46">
        <v>-487.8</v>
      </c>
      <c r="K87" s="46">
        <v>-2.6539999999999999</v>
      </c>
      <c r="L87" s="46">
        <v>-3234.1790000000001</v>
      </c>
      <c r="M87" s="277"/>
    </row>
    <row r="88" spans="1:13" ht="20.25">
      <c r="A88" s="44" t="s">
        <v>57</v>
      </c>
      <c r="C88" s="46">
        <v>-336</v>
      </c>
      <c r="D88" s="46">
        <v>-290.60000000000002</v>
      </c>
      <c r="E88" s="46">
        <v>-258.10000000000002</v>
      </c>
      <c r="F88" s="46">
        <v>-272.7</v>
      </c>
      <c r="G88" s="46">
        <v>-251</v>
      </c>
      <c r="H88" s="46">
        <v>-337.4</v>
      </c>
      <c r="I88" s="46">
        <v>-288.5</v>
      </c>
      <c r="J88" s="46">
        <v>-398.4</v>
      </c>
      <c r="K88" s="46">
        <v>-570.67499999999995</v>
      </c>
      <c r="L88" s="46">
        <v>-629.49400000000003</v>
      </c>
      <c r="M88" s="277"/>
    </row>
    <row r="89" spans="1:13" ht="20.25">
      <c r="A89" s="44" t="s">
        <v>58</v>
      </c>
      <c r="C89" s="46">
        <v>-577</v>
      </c>
      <c r="D89" s="46">
        <v>-501.9</v>
      </c>
      <c r="E89" s="46">
        <v>-440.1</v>
      </c>
      <c r="F89" s="46">
        <v>-354.2</v>
      </c>
      <c r="G89" s="46">
        <v>-404.4</v>
      </c>
      <c r="H89" s="46">
        <v>-440</v>
      </c>
      <c r="I89" s="46">
        <v>-426.9</v>
      </c>
      <c r="J89" s="46">
        <v>-426.8</v>
      </c>
      <c r="K89" s="46">
        <v>-503.11399999999998</v>
      </c>
      <c r="L89" s="46">
        <v>-588.80700000000002</v>
      </c>
      <c r="M89" s="277"/>
    </row>
    <row r="90" spans="1:13" ht="20.25">
      <c r="A90" s="44" t="s">
        <v>59</v>
      </c>
      <c r="C90" s="46">
        <v>-43</v>
      </c>
      <c r="D90" s="46">
        <v>279</v>
      </c>
      <c r="E90" s="46">
        <v>-3199.1</v>
      </c>
      <c r="F90" s="46">
        <v>-224.8</v>
      </c>
      <c r="G90" s="46">
        <v>-250.8</v>
      </c>
      <c r="H90" s="46">
        <v>-555.70000000000005</v>
      </c>
      <c r="I90" s="46">
        <v>-387.4</v>
      </c>
      <c r="J90" s="46">
        <v>337.3</v>
      </c>
      <c r="K90" s="46">
        <v>1071.135</v>
      </c>
      <c r="L90" s="46">
        <v>-2015.8779999999999</v>
      </c>
      <c r="M90" s="277"/>
    </row>
    <row r="91" spans="1:13" ht="30.75">
      <c r="A91" s="48" t="s">
        <v>60</v>
      </c>
      <c r="C91" s="46">
        <v>520</v>
      </c>
      <c r="D91" s="46">
        <v>523</v>
      </c>
      <c r="E91" s="46">
        <v>-3724.8</v>
      </c>
      <c r="F91" s="46">
        <v>-364.5</v>
      </c>
      <c r="G91" s="46">
        <v>729</v>
      </c>
      <c r="H91" s="46">
        <v>881.9</v>
      </c>
      <c r="I91" s="46">
        <v>771.8</v>
      </c>
      <c r="J91" s="46">
        <v>2768.7</v>
      </c>
      <c r="K91" s="46">
        <v>11271.674000000001</v>
      </c>
      <c r="L91" s="46">
        <v>2445.4960000000001</v>
      </c>
      <c r="M91" s="277"/>
    </row>
    <row r="92" spans="1:13" ht="20.25">
      <c r="A92" s="49" t="s">
        <v>61</v>
      </c>
      <c r="C92" s="51">
        <v>1806</v>
      </c>
      <c r="D92" s="51">
        <v>1863.1</v>
      </c>
      <c r="E92" s="51">
        <v>291.5</v>
      </c>
      <c r="F92" s="51">
        <v>660.4</v>
      </c>
      <c r="G92" s="51">
        <v>2185.7689999999998</v>
      </c>
      <c r="H92" s="51">
        <v>2693.1</v>
      </c>
      <c r="I92" s="51">
        <v>1973</v>
      </c>
      <c r="J92" s="51">
        <v>3193.6</v>
      </c>
      <c r="K92" s="51">
        <v>12829.838</v>
      </c>
      <c r="L92" s="51">
        <v>4904.5810000000001</v>
      </c>
      <c r="M92" s="277"/>
    </row>
    <row r="93" spans="1:13" ht="20.25">
      <c r="A93" s="49" t="s">
        <v>62</v>
      </c>
      <c r="C93" s="52">
        <v>0.14099999999999999</v>
      </c>
      <c r="D93" s="52">
        <v>0.159</v>
      </c>
      <c r="E93" s="52">
        <v>2.9000000000000001E-2</v>
      </c>
      <c r="F93" s="52">
        <v>7.8E-2</v>
      </c>
      <c r="G93" s="52">
        <v>0.20399999999999999</v>
      </c>
      <c r="H93" s="52">
        <v>0.19600000000000001</v>
      </c>
      <c r="I93" s="52">
        <v>0.13200000000000001</v>
      </c>
      <c r="J93" s="52">
        <v>0.19900000000000001</v>
      </c>
      <c r="K93" s="52">
        <v>0.38029023595602734</v>
      </c>
      <c r="L93" s="52">
        <v>0.15104724255947938</v>
      </c>
      <c r="M93" s="277"/>
    </row>
  </sheetData>
  <mergeCells count="6">
    <mergeCell ref="A80:H80"/>
    <mergeCell ref="A2:H2"/>
    <mergeCell ref="A18:H18"/>
    <mergeCell ref="A34:H34"/>
    <mergeCell ref="A50:H50"/>
    <mergeCell ref="A65:H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rgb="FF92D050"/>
  </sheetPr>
  <dimension ref="B1:AE53"/>
  <sheetViews>
    <sheetView showGridLines="0" zoomScale="50" zoomScaleNormal="50" workbookViewId="0">
      <pane xSplit="4" ySplit="2" topLeftCell="Q21" activePane="bottomRight" state="frozen"/>
      <selection activeCell="AH23" sqref="AH23"/>
      <selection pane="topRight" activeCell="AH23" sqref="AH23"/>
      <selection pane="bottomLeft" activeCell="AH23" sqref="AH23"/>
      <selection pane="bottomRight" activeCell="AC46" sqref="AC46"/>
    </sheetView>
  </sheetViews>
  <sheetFormatPr defaultRowHeight="15"/>
  <cols>
    <col min="1" max="3" width="5.28515625" customWidth="1"/>
    <col min="4" max="4" width="72.140625" customWidth="1"/>
    <col min="5" max="20" width="17.85546875" customWidth="1"/>
    <col min="21" max="21" width="20.42578125" bestFit="1" customWidth="1"/>
    <col min="22" max="29" width="20.42578125" customWidth="1"/>
    <col min="30" max="30" width="20" customWidth="1"/>
  </cols>
  <sheetData>
    <row r="1" spans="2:31" ht="57" customHeight="1"/>
    <row r="2" spans="2:31" ht="21" customHeight="1">
      <c r="B2" s="408" t="s">
        <v>68</v>
      </c>
      <c r="C2" s="409"/>
      <c r="D2" s="410"/>
      <c r="E2" s="56" t="s">
        <v>37</v>
      </c>
      <c r="F2" s="56" t="s">
        <v>38</v>
      </c>
      <c r="G2" s="56" t="s">
        <v>39</v>
      </c>
      <c r="H2" s="56" t="s">
        <v>40</v>
      </c>
      <c r="I2" s="56" t="s">
        <v>41</v>
      </c>
      <c r="J2" s="56" t="s">
        <v>42</v>
      </c>
      <c r="K2" s="56" t="s">
        <v>43</v>
      </c>
      <c r="L2" s="161" t="s">
        <v>215</v>
      </c>
      <c r="M2" s="161" t="s">
        <v>240</v>
      </c>
      <c r="N2" s="161" t="s">
        <v>251</v>
      </c>
      <c r="O2" s="161" t="s">
        <v>263</v>
      </c>
      <c r="P2" s="161" t="s">
        <v>270</v>
      </c>
      <c r="Q2" s="161" t="s">
        <v>283</v>
      </c>
      <c r="R2" s="161" t="s">
        <v>305</v>
      </c>
      <c r="S2" s="161" t="s">
        <v>313</v>
      </c>
      <c r="T2" s="161" t="s">
        <v>323</v>
      </c>
      <c r="U2" s="161" t="s">
        <v>331</v>
      </c>
      <c r="V2" s="161" t="s">
        <v>334</v>
      </c>
      <c r="W2" s="161" t="s">
        <v>348</v>
      </c>
      <c r="X2" s="161" t="s">
        <v>361</v>
      </c>
      <c r="Y2" s="161" t="s">
        <v>362</v>
      </c>
      <c r="Z2" s="161" t="s">
        <v>411</v>
      </c>
      <c r="AA2" s="161" t="s">
        <v>413</v>
      </c>
      <c r="AB2" s="161" t="s">
        <v>419</v>
      </c>
      <c r="AC2" s="161" t="s">
        <v>421</v>
      </c>
    </row>
    <row r="3" spans="2:31" ht="21" customHeight="1">
      <c r="B3" s="260" t="s">
        <v>51</v>
      </c>
      <c r="C3" s="260"/>
      <c r="D3" s="260"/>
      <c r="E3" s="57">
        <v>2350838</v>
      </c>
      <c r="F3" s="57">
        <v>2569485</v>
      </c>
      <c r="G3" s="57">
        <v>2737025</v>
      </c>
      <c r="H3" s="57">
        <v>3076770</v>
      </c>
      <c r="I3" s="57">
        <v>3244207</v>
      </c>
      <c r="J3" s="57">
        <v>3204060</v>
      </c>
      <c r="K3" s="57">
        <v>3861513</v>
      </c>
      <c r="L3" s="57">
        <v>3427000</v>
      </c>
      <c r="M3" s="57">
        <v>3531985</v>
      </c>
      <c r="N3" s="57">
        <v>3694049</v>
      </c>
      <c r="O3" s="57">
        <v>3849794</v>
      </c>
      <c r="P3" s="57">
        <v>3872891</v>
      </c>
      <c r="Q3" s="57">
        <v>3807855</v>
      </c>
      <c r="R3" s="57">
        <v>2424715</v>
      </c>
      <c r="S3" s="57">
        <v>4381212</v>
      </c>
      <c r="T3" s="57">
        <v>5474270</v>
      </c>
      <c r="U3" s="57">
        <v>7065832</v>
      </c>
      <c r="V3" s="57">
        <v>9596269</v>
      </c>
      <c r="W3" s="57">
        <v>9025649</v>
      </c>
      <c r="X3" s="57">
        <v>8049214</v>
      </c>
      <c r="Y3" s="57">
        <v>7844648</v>
      </c>
      <c r="Z3" s="57">
        <v>8531460</v>
      </c>
      <c r="AA3" s="57">
        <v>8434426</v>
      </c>
      <c r="AB3" s="57">
        <v>7659976</v>
      </c>
      <c r="AC3" s="57">
        <v>7255249</v>
      </c>
      <c r="AD3" s="321"/>
    </row>
    <row r="4" spans="2:31" ht="21" customHeight="1">
      <c r="B4" s="261"/>
      <c r="C4" s="261" t="s">
        <v>246</v>
      </c>
      <c r="D4" s="261"/>
      <c r="E4" s="58">
        <v>2109663</v>
      </c>
      <c r="F4" s="58">
        <v>2211682</v>
      </c>
      <c r="G4" s="58">
        <v>2385844</v>
      </c>
      <c r="H4" s="58">
        <v>2499518</v>
      </c>
      <c r="I4" s="58">
        <v>2646153</v>
      </c>
      <c r="J4" s="58">
        <v>2656268</v>
      </c>
      <c r="K4" s="58">
        <v>3260915</v>
      </c>
      <c r="L4" s="58">
        <v>2838388</v>
      </c>
      <c r="M4" s="58">
        <v>2887309</v>
      </c>
      <c r="N4" s="58">
        <v>3108842</v>
      </c>
      <c r="O4" s="58">
        <v>3216047</v>
      </c>
      <c r="P4" s="58">
        <v>3077462</v>
      </c>
      <c r="Q4" s="58">
        <v>2964909</v>
      </c>
      <c r="R4" s="58">
        <v>1535098</v>
      </c>
      <c r="S4" s="58">
        <v>3078104</v>
      </c>
      <c r="T4" s="58">
        <v>4186725</v>
      </c>
      <c r="U4" s="58">
        <v>5474316</v>
      </c>
      <c r="V4" s="58">
        <v>7462175</v>
      </c>
      <c r="W4" s="58">
        <v>7507386</v>
      </c>
      <c r="X4" s="58">
        <v>5747538</v>
      </c>
      <c r="Y4" s="58">
        <v>5822354</v>
      </c>
      <c r="Z4" s="58">
        <v>6885773</v>
      </c>
      <c r="AA4" s="58">
        <v>7003201</v>
      </c>
      <c r="AB4" s="58">
        <v>6260502</v>
      </c>
      <c r="AC4" s="58">
        <v>6063131</v>
      </c>
      <c r="AD4" s="321"/>
    </row>
    <row r="5" spans="2:31" ht="21" customHeight="1">
      <c r="B5" s="261"/>
      <c r="C5" s="261" t="s">
        <v>247</v>
      </c>
      <c r="D5" s="261"/>
      <c r="E5" s="58">
        <v>241175</v>
      </c>
      <c r="F5" s="58">
        <v>357803</v>
      </c>
      <c r="G5" s="58">
        <v>351181</v>
      </c>
      <c r="H5" s="58">
        <v>577252</v>
      </c>
      <c r="I5" s="58">
        <v>598054</v>
      </c>
      <c r="J5" s="58">
        <v>547792</v>
      </c>
      <c r="K5" s="58">
        <v>600598</v>
      </c>
      <c r="L5" s="58">
        <v>588612</v>
      </c>
      <c r="M5" s="58">
        <v>644676</v>
      </c>
      <c r="N5" s="58">
        <v>585207</v>
      </c>
      <c r="O5" s="58">
        <v>633747</v>
      </c>
      <c r="P5" s="58">
        <v>795429</v>
      </c>
      <c r="Q5" s="58">
        <v>842946</v>
      </c>
      <c r="R5" s="58">
        <v>889617</v>
      </c>
      <c r="S5" s="58">
        <v>1303108</v>
      </c>
      <c r="T5" s="58">
        <v>1287545</v>
      </c>
      <c r="U5" s="58">
        <v>1591516</v>
      </c>
      <c r="V5" s="58">
        <v>2134094</v>
      </c>
      <c r="W5" s="58">
        <v>1518263</v>
      </c>
      <c r="X5" s="58">
        <v>2301676</v>
      </c>
      <c r="Y5" s="58">
        <v>2022294</v>
      </c>
      <c r="Z5" s="58">
        <v>1645687</v>
      </c>
      <c r="AA5" s="58">
        <v>1431225</v>
      </c>
      <c r="AB5" s="58">
        <v>1399474</v>
      </c>
      <c r="AC5" s="58">
        <v>1192118</v>
      </c>
      <c r="AD5" s="321"/>
    </row>
    <row r="6" spans="2:31" ht="21" customHeight="1">
      <c r="B6" s="261" t="s">
        <v>256</v>
      </c>
      <c r="C6" s="261"/>
      <c r="D6" s="261"/>
      <c r="E6" s="58">
        <v>-1870099</v>
      </c>
      <c r="F6" s="58">
        <v>-2187259</v>
      </c>
      <c r="G6" s="58">
        <v>-2379358</v>
      </c>
      <c r="H6" s="58">
        <v>-2662308</v>
      </c>
      <c r="I6" s="58">
        <v>-2632109</v>
      </c>
      <c r="J6" s="58">
        <v>-2621270</v>
      </c>
      <c r="K6" s="58">
        <v>-3217184</v>
      </c>
      <c r="L6" s="58">
        <v>-3051131</v>
      </c>
      <c r="M6" s="58">
        <v>-3035995</v>
      </c>
      <c r="N6" s="58">
        <v>-3087584</v>
      </c>
      <c r="O6" s="58">
        <v>-3373955</v>
      </c>
      <c r="P6" s="58">
        <v>-3576595</v>
      </c>
      <c r="Q6" s="58">
        <v>-3295002</v>
      </c>
      <c r="R6" s="58">
        <v>-2145734</v>
      </c>
      <c r="S6" s="58">
        <v>-3489321</v>
      </c>
      <c r="T6" s="58">
        <v>-3901465</v>
      </c>
      <c r="U6" s="58">
        <v>-4602450</v>
      </c>
      <c r="V6" s="58">
        <v>-5953981</v>
      </c>
      <c r="W6" s="58">
        <v>-5890273</v>
      </c>
      <c r="X6" s="58">
        <v>-6015932</v>
      </c>
      <c r="Y6" s="58">
        <v>-6129398</v>
      </c>
      <c r="Z6" s="58">
        <v>-6344153</v>
      </c>
      <c r="AA6" s="58">
        <v>-7430460</v>
      </c>
      <c r="AB6" s="58">
        <v>-6886824</v>
      </c>
      <c r="AC6" s="58">
        <v>-6370461</v>
      </c>
      <c r="AD6" s="321"/>
    </row>
    <row r="7" spans="2:31" ht="21" customHeight="1">
      <c r="B7" s="322" t="s">
        <v>332</v>
      </c>
      <c r="C7" s="260"/>
      <c r="D7" s="260"/>
      <c r="E7" s="59">
        <v>480739</v>
      </c>
      <c r="F7" s="59">
        <v>382226</v>
      </c>
      <c r="G7" s="59">
        <v>357667</v>
      </c>
      <c r="H7" s="59">
        <v>414462</v>
      </c>
      <c r="I7" s="59">
        <v>612098</v>
      </c>
      <c r="J7" s="59">
        <v>582790</v>
      </c>
      <c r="K7" s="59">
        <v>644329</v>
      </c>
      <c r="L7" s="59">
        <v>375869</v>
      </c>
      <c r="M7" s="59">
        <v>495990</v>
      </c>
      <c r="N7" s="59">
        <v>606465</v>
      </c>
      <c r="O7" s="59">
        <v>475839</v>
      </c>
      <c r="P7" s="59">
        <v>296296</v>
      </c>
      <c r="Q7" s="59">
        <v>512853</v>
      </c>
      <c r="R7" s="59">
        <v>278981</v>
      </c>
      <c r="S7" s="59">
        <v>891891</v>
      </c>
      <c r="T7" s="59">
        <v>1572805</v>
      </c>
      <c r="U7" s="59">
        <v>2463382</v>
      </c>
      <c r="V7" s="59">
        <v>3642288</v>
      </c>
      <c r="W7" s="59">
        <v>3135376</v>
      </c>
      <c r="X7" s="59">
        <v>2033282</v>
      </c>
      <c r="Y7" s="59">
        <v>1715250</v>
      </c>
      <c r="Z7" s="59">
        <v>2187307</v>
      </c>
      <c r="AA7" s="59">
        <v>1003966</v>
      </c>
      <c r="AB7" s="59">
        <v>773152</v>
      </c>
      <c r="AC7" s="59">
        <v>884788</v>
      </c>
      <c r="AD7" s="321"/>
    </row>
    <row r="8" spans="2:31" ht="21" customHeight="1">
      <c r="B8" s="407" t="s">
        <v>70</v>
      </c>
      <c r="C8" s="407"/>
      <c r="D8" s="407"/>
      <c r="E8" s="60">
        <v>0.20399999999999999</v>
      </c>
      <c r="F8" s="60">
        <v>0.14899999999999999</v>
      </c>
      <c r="G8" s="60">
        <v>0.13100000000000001</v>
      </c>
      <c r="H8" s="60">
        <v>0.13500000000000001</v>
      </c>
      <c r="I8" s="60">
        <v>0.189</v>
      </c>
      <c r="J8" s="60">
        <v>0.182</v>
      </c>
      <c r="K8" s="60">
        <v>0.16700000000000001</v>
      </c>
      <c r="L8" s="60">
        <v>0.11</v>
      </c>
      <c r="M8" s="60">
        <v>0.14000000000000001</v>
      </c>
      <c r="N8" s="60">
        <v>0.16400000000000001</v>
      </c>
      <c r="O8" s="60">
        <v>0.124</v>
      </c>
      <c r="P8" s="60">
        <v>7.6505122400811171E-2</v>
      </c>
      <c r="Q8" s="60">
        <v>0.13500000000000001</v>
      </c>
      <c r="R8" s="60">
        <v>0.11505723353053864</v>
      </c>
      <c r="S8" s="60">
        <v>0.20357175137838571</v>
      </c>
      <c r="T8" s="60">
        <v>0.28699999999999998</v>
      </c>
      <c r="U8" s="60">
        <v>0.34899999999999998</v>
      </c>
      <c r="V8" s="60">
        <v>0.38</v>
      </c>
      <c r="W8" s="60">
        <v>0.34738510216827623</v>
      </c>
      <c r="X8" s="60">
        <v>0.2526062793211859</v>
      </c>
      <c r="Y8" s="60">
        <v>0.21865225820202513</v>
      </c>
      <c r="Z8" s="60">
        <v>0.25638132277476539</v>
      </c>
      <c r="AA8" s="60">
        <v>0.11903192938084939</v>
      </c>
      <c r="AB8" s="60">
        <v>0.10093399770443146</v>
      </c>
      <c r="AC8" s="60">
        <v>0.12195143130166862</v>
      </c>
      <c r="AD8" s="321"/>
    </row>
    <row r="9" spans="2:31" ht="21" customHeight="1">
      <c r="B9" s="322" t="s">
        <v>333</v>
      </c>
      <c r="C9" s="260"/>
      <c r="D9" s="260"/>
      <c r="E9" s="61">
        <v>-296065</v>
      </c>
      <c r="F9" s="61">
        <v>-15578</v>
      </c>
      <c r="G9" s="61">
        <v>-250646</v>
      </c>
      <c r="H9" s="61">
        <v>-343831</v>
      </c>
      <c r="I9" s="61">
        <v>-288490</v>
      </c>
      <c r="J9" s="61">
        <v>-373735</v>
      </c>
      <c r="K9" s="61">
        <v>-290954</v>
      </c>
      <c r="L9" s="61">
        <v>-379986</v>
      </c>
      <c r="M9" s="61">
        <v>-300469</v>
      </c>
      <c r="N9" s="61">
        <v>-314241</v>
      </c>
      <c r="O9" s="61">
        <v>-334857</v>
      </c>
      <c r="P9" s="61">
        <v>-153247</v>
      </c>
      <c r="Q9" s="61">
        <v>-237677</v>
      </c>
      <c r="R9" s="61">
        <v>-366513</v>
      </c>
      <c r="S9" s="61">
        <v>-360426</v>
      </c>
      <c r="T9" s="61">
        <v>476791</v>
      </c>
      <c r="U9" s="61">
        <v>-337822</v>
      </c>
      <c r="V9" s="61">
        <v>1127368</v>
      </c>
      <c r="W9" s="61">
        <v>-936629</v>
      </c>
      <c r="X9" s="61">
        <v>144429</v>
      </c>
      <c r="Y9" s="61">
        <v>-419977</v>
      </c>
      <c r="Z9" s="61">
        <v>-526502</v>
      </c>
      <c r="AA9" s="61">
        <v>-426554</v>
      </c>
      <c r="AB9" s="61">
        <v>-1861146</v>
      </c>
      <c r="AC9" s="61">
        <v>-389388</v>
      </c>
      <c r="AD9" s="321"/>
    </row>
    <row r="10" spans="2:31" ht="21" customHeight="1">
      <c r="B10" s="261"/>
      <c r="C10" s="261" t="s">
        <v>253</v>
      </c>
      <c r="D10" s="261"/>
      <c r="E10" s="58">
        <v>-52193</v>
      </c>
      <c r="F10" s="58">
        <v>-65602</v>
      </c>
      <c r="G10" s="58">
        <v>-62992</v>
      </c>
      <c r="H10" s="58">
        <v>-70163</v>
      </c>
      <c r="I10" s="58">
        <v>-76138</v>
      </c>
      <c r="J10" s="58">
        <v>-73674</v>
      </c>
      <c r="K10" s="58">
        <v>-74339</v>
      </c>
      <c r="L10" s="58">
        <v>-113253</v>
      </c>
      <c r="M10" s="58">
        <v>-67358</v>
      </c>
      <c r="N10" s="58">
        <v>-71002</v>
      </c>
      <c r="O10" s="58">
        <v>-73789</v>
      </c>
      <c r="P10" s="58">
        <v>-76366</v>
      </c>
      <c r="Q10" s="58">
        <v>-99807</v>
      </c>
      <c r="R10" s="58">
        <v>-105947</v>
      </c>
      <c r="S10" s="58">
        <v>-96196</v>
      </c>
      <c r="T10" s="58">
        <v>-96435</v>
      </c>
      <c r="U10" s="58">
        <v>-98709</v>
      </c>
      <c r="V10" s="58">
        <v>-119757</v>
      </c>
      <c r="W10" s="58">
        <v>-199366</v>
      </c>
      <c r="X10" s="58">
        <v>-152843</v>
      </c>
      <c r="Y10" s="58">
        <v>-171117</v>
      </c>
      <c r="Z10" s="58">
        <v>-193078</v>
      </c>
      <c r="AA10" s="58">
        <v>-139207</v>
      </c>
      <c r="AB10" s="58">
        <v>-126092</v>
      </c>
      <c r="AC10" s="58">
        <v>-108638</v>
      </c>
      <c r="AD10" s="321"/>
    </row>
    <row r="11" spans="2:31" ht="21" customHeight="1">
      <c r="B11" s="261"/>
      <c r="C11" s="261"/>
      <c r="D11" s="261" t="s">
        <v>335</v>
      </c>
      <c r="E11" s="58">
        <v>-3923</v>
      </c>
      <c r="F11" s="58">
        <v>-16330</v>
      </c>
      <c r="G11" s="58">
        <v>-7321</v>
      </c>
      <c r="H11" s="58">
        <v>3261</v>
      </c>
      <c r="I11" s="58">
        <v>-1668</v>
      </c>
      <c r="J11" s="58">
        <v>-1436</v>
      </c>
      <c r="K11" s="58">
        <v>-342</v>
      </c>
      <c r="L11" s="58">
        <v>-38472</v>
      </c>
      <c r="M11" s="58">
        <v>-795</v>
      </c>
      <c r="N11" s="58">
        <v>-2012</v>
      </c>
      <c r="O11" s="58">
        <v>9328</v>
      </c>
      <c r="P11" s="58">
        <v>11599</v>
      </c>
      <c r="Q11" s="58">
        <v>-1826</v>
      </c>
      <c r="R11" s="58">
        <v>-21461</v>
      </c>
      <c r="S11" s="58">
        <v>-4656</v>
      </c>
      <c r="T11" s="58">
        <v>-3544</v>
      </c>
      <c r="U11" s="58">
        <v>-2902</v>
      </c>
      <c r="V11" s="58">
        <v>-1038</v>
      </c>
      <c r="W11" s="58">
        <v>-2300</v>
      </c>
      <c r="X11" s="58">
        <v>3000</v>
      </c>
      <c r="Y11" s="58">
        <v>3577</v>
      </c>
      <c r="Z11" s="58">
        <v>-4491</v>
      </c>
      <c r="AA11" s="58">
        <v>-1696</v>
      </c>
      <c r="AB11" s="58">
        <v>5225</v>
      </c>
      <c r="AC11" s="58">
        <f>'[5]NOT RES CONSOL'!$AO$13</f>
        <v>3577</v>
      </c>
    </row>
    <row r="12" spans="2:31" ht="21" customHeight="1">
      <c r="B12" s="261"/>
      <c r="C12" s="261"/>
      <c r="D12" s="261" t="s">
        <v>74</v>
      </c>
      <c r="E12" s="58">
        <v>-48270</v>
      </c>
      <c r="F12" s="58">
        <v>-49272</v>
      </c>
      <c r="G12" s="58">
        <v>-55671</v>
      </c>
      <c r="H12" s="58">
        <v>-73424</v>
      </c>
      <c r="I12" s="58">
        <v>-74470</v>
      </c>
      <c r="J12" s="58">
        <v>-72238</v>
      </c>
      <c r="K12" s="58">
        <v>-73997</v>
      </c>
      <c r="L12" s="58">
        <v>-74781</v>
      </c>
      <c r="M12" s="58">
        <v>-66563</v>
      </c>
      <c r="N12" s="58">
        <v>-68990</v>
      </c>
      <c r="O12" s="58">
        <v>-83117</v>
      </c>
      <c r="P12" s="58">
        <v>-87965</v>
      </c>
      <c r="Q12" s="58">
        <v>-97981</v>
      </c>
      <c r="R12" s="58">
        <v>-84486</v>
      </c>
      <c r="S12" s="58">
        <v>-91540</v>
      </c>
      <c r="T12" s="58">
        <v>-92891</v>
      </c>
      <c r="U12" s="58">
        <v>-95807</v>
      </c>
      <c r="V12" s="58">
        <v>-118719</v>
      </c>
      <c r="W12" s="58">
        <v>-197066</v>
      </c>
      <c r="X12" s="58">
        <v>-155843</v>
      </c>
      <c r="Y12" s="58">
        <v>-174694</v>
      </c>
      <c r="Z12" s="58">
        <v>-188587</v>
      </c>
      <c r="AA12" s="58">
        <v>-137511</v>
      </c>
      <c r="AB12" s="58">
        <v>-131317</v>
      </c>
      <c r="AC12" s="58">
        <v>-112215</v>
      </c>
    </row>
    <row r="13" spans="2:31" ht="21" customHeight="1">
      <c r="B13" s="261"/>
      <c r="C13" s="261" t="s">
        <v>254</v>
      </c>
      <c r="D13" s="261"/>
      <c r="E13" s="58">
        <v>-93141</v>
      </c>
      <c r="F13" s="58">
        <v>-96644</v>
      </c>
      <c r="G13" s="58">
        <v>-106088</v>
      </c>
      <c r="H13" s="58">
        <v>-108520</v>
      </c>
      <c r="I13" s="58">
        <v>-102782</v>
      </c>
      <c r="J13" s="58">
        <v>-112907</v>
      </c>
      <c r="K13" s="58">
        <v>-101012</v>
      </c>
      <c r="L13" s="58">
        <v>-123321</v>
      </c>
      <c r="M13" s="58">
        <v>-100758</v>
      </c>
      <c r="N13" s="58">
        <v>-109782</v>
      </c>
      <c r="O13" s="58">
        <v>-97924</v>
      </c>
      <c r="P13" s="58">
        <v>-118441</v>
      </c>
      <c r="Q13" s="58">
        <v>-109377</v>
      </c>
      <c r="R13" s="58">
        <v>-96837</v>
      </c>
      <c r="S13" s="58">
        <v>-98233</v>
      </c>
      <c r="T13" s="58">
        <v>-122317</v>
      </c>
      <c r="U13" s="58">
        <v>-115412</v>
      </c>
      <c r="V13" s="58">
        <v>-109442</v>
      </c>
      <c r="W13" s="58">
        <v>-115168</v>
      </c>
      <c r="X13" s="58">
        <v>-163092</v>
      </c>
      <c r="Y13" s="58">
        <v>-130480</v>
      </c>
      <c r="Z13" s="58">
        <v>-147129</v>
      </c>
      <c r="AA13" s="58">
        <v>-140384</v>
      </c>
      <c r="AB13" s="58">
        <v>-170814</v>
      </c>
      <c r="AC13" s="58">
        <v>-139664</v>
      </c>
      <c r="AD13" s="321"/>
      <c r="AE13" s="65"/>
    </row>
    <row r="14" spans="2:31" ht="21" customHeight="1">
      <c r="B14" s="261"/>
      <c r="C14" s="261" t="s">
        <v>336</v>
      </c>
      <c r="D14" s="261"/>
      <c r="E14" s="58">
        <v>-150731</v>
      </c>
      <c r="F14" s="58">
        <v>146668</v>
      </c>
      <c r="G14" s="58">
        <v>-81566</v>
      </c>
      <c r="H14" s="58">
        <v>-165148</v>
      </c>
      <c r="I14" s="58">
        <v>-109570</v>
      </c>
      <c r="J14" s="62">
        <v>-187154</v>
      </c>
      <c r="K14" s="62">
        <v>-115603</v>
      </c>
      <c r="L14" s="62">
        <v>-143412</v>
      </c>
      <c r="M14" s="62">
        <v>-132353</v>
      </c>
      <c r="N14" s="62">
        <v>-133457</v>
      </c>
      <c r="O14" s="62">
        <v>-163144</v>
      </c>
      <c r="P14" s="62">
        <v>41560</v>
      </c>
      <c r="Q14" s="62">
        <v>-28493</v>
      </c>
      <c r="R14" s="62">
        <v>-163729</v>
      </c>
      <c r="S14" s="62">
        <v>-165997</v>
      </c>
      <c r="T14" s="62">
        <v>695543</v>
      </c>
      <c r="U14" s="62">
        <v>-123701</v>
      </c>
      <c r="V14" s="62">
        <v>1356567</v>
      </c>
      <c r="W14" s="62">
        <v>-622095</v>
      </c>
      <c r="X14" s="62">
        <v>460364</v>
      </c>
      <c r="Y14" s="62">
        <v>-118380</v>
      </c>
      <c r="Z14" s="58">
        <v>-186295</v>
      </c>
      <c r="AA14" s="58">
        <v>-146963</v>
      </c>
      <c r="AB14" s="58">
        <v>-1564240</v>
      </c>
      <c r="AC14" s="58">
        <v>-141086</v>
      </c>
      <c r="AD14" s="321"/>
    </row>
    <row r="15" spans="2:31" ht="21" customHeight="1">
      <c r="B15" s="261"/>
      <c r="C15" s="261"/>
      <c r="D15" s="261" t="s">
        <v>345</v>
      </c>
      <c r="E15" s="58">
        <v>0</v>
      </c>
      <c r="F15" s="58">
        <v>0</v>
      </c>
      <c r="G15" s="58">
        <v>0</v>
      </c>
      <c r="H15" s="58">
        <v>0</v>
      </c>
      <c r="I15" s="58">
        <v>0</v>
      </c>
      <c r="J15" s="62">
        <v>0</v>
      </c>
      <c r="K15" s="62">
        <v>0</v>
      </c>
      <c r="L15" s="62">
        <v>0</v>
      </c>
      <c r="M15" s="62">
        <v>0</v>
      </c>
      <c r="N15" s="62">
        <v>0</v>
      </c>
      <c r="O15" s="62">
        <v>0</v>
      </c>
      <c r="P15" s="62">
        <v>0</v>
      </c>
      <c r="Q15" s="62">
        <v>0</v>
      </c>
      <c r="R15" s="62">
        <v>-1231</v>
      </c>
      <c r="S15" s="62">
        <v>0</v>
      </c>
      <c r="T15" s="62">
        <v>0</v>
      </c>
      <c r="U15" s="62">
        <v>-55001</v>
      </c>
      <c r="V15" s="62">
        <v>-32249</v>
      </c>
      <c r="W15" s="62">
        <v>-25338</v>
      </c>
      <c r="X15" s="62">
        <v>-1486</v>
      </c>
      <c r="Y15" s="62">
        <v>-4535</v>
      </c>
      <c r="Z15" s="58">
        <v>-73080</v>
      </c>
      <c r="AA15" s="58">
        <v>3531</v>
      </c>
      <c r="AB15" s="58">
        <v>17901</v>
      </c>
      <c r="AC15" s="58">
        <v>2088</v>
      </c>
    </row>
    <row r="16" spans="2:31" ht="21" customHeight="1">
      <c r="B16" s="261"/>
      <c r="C16" s="261"/>
      <c r="D16" s="261" t="s">
        <v>81</v>
      </c>
      <c r="E16" s="64" t="s">
        <v>25</v>
      </c>
      <c r="F16" s="64">
        <v>201106</v>
      </c>
      <c r="G16" s="64" t="s">
        <v>25</v>
      </c>
      <c r="H16" s="290" t="s">
        <v>25</v>
      </c>
      <c r="I16" s="64">
        <v>0</v>
      </c>
      <c r="J16" s="62">
        <v>0</v>
      </c>
      <c r="K16" s="66" t="s">
        <v>25</v>
      </c>
      <c r="L16" s="66">
        <v>0</v>
      </c>
      <c r="M16" s="66" t="s">
        <v>25</v>
      </c>
      <c r="N16" s="66" t="s">
        <v>25</v>
      </c>
      <c r="O16" s="66">
        <v>0</v>
      </c>
      <c r="P16" s="66">
        <v>0</v>
      </c>
      <c r="Q16" s="66">
        <v>0</v>
      </c>
      <c r="R16" s="66">
        <v>0</v>
      </c>
      <c r="S16" s="66">
        <v>0</v>
      </c>
      <c r="T16" s="66" t="s">
        <v>25</v>
      </c>
      <c r="U16" s="66" t="s">
        <v>25</v>
      </c>
      <c r="V16" s="66" t="s">
        <v>25</v>
      </c>
      <c r="W16" s="66" t="s">
        <v>25</v>
      </c>
      <c r="X16" s="66" t="s">
        <v>25</v>
      </c>
      <c r="Y16" s="66">
        <v>0</v>
      </c>
      <c r="Z16" s="66">
        <v>0</v>
      </c>
      <c r="AA16" s="66">
        <v>0</v>
      </c>
      <c r="AB16" s="66">
        <v>0</v>
      </c>
      <c r="AC16" s="66">
        <v>0</v>
      </c>
    </row>
    <row r="17" spans="2:30" ht="20.45" customHeight="1">
      <c r="B17" s="261"/>
      <c r="C17" s="261"/>
      <c r="D17" s="261" t="s">
        <v>217</v>
      </c>
      <c r="E17" s="58">
        <v>0</v>
      </c>
      <c r="F17" s="66">
        <v>0</v>
      </c>
      <c r="G17" s="66">
        <v>0</v>
      </c>
      <c r="H17" s="66">
        <v>0</v>
      </c>
      <c r="I17" s="66">
        <v>0</v>
      </c>
      <c r="J17" s="66">
        <v>0</v>
      </c>
      <c r="K17" s="66">
        <v>0</v>
      </c>
      <c r="L17" s="66">
        <v>418744</v>
      </c>
      <c r="M17" s="66" t="s">
        <v>25</v>
      </c>
      <c r="N17" s="66" t="s">
        <v>25</v>
      </c>
      <c r="O17" s="66">
        <v>78335</v>
      </c>
      <c r="P17" s="66">
        <v>8525</v>
      </c>
      <c r="Q17" s="66">
        <v>4113</v>
      </c>
      <c r="R17" s="66">
        <v>3064</v>
      </c>
      <c r="S17" s="66">
        <v>2392</v>
      </c>
      <c r="T17" s="66">
        <v>36479</v>
      </c>
      <c r="U17" s="66">
        <v>42639</v>
      </c>
      <c r="V17" s="66">
        <v>1609163</v>
      </c>
      <c r="W17" s="66">
        <v>13221</v>
      </c>
      <c r="X17" s="66">
        <v>38</v>
      </c>
      <c r="Y17" s="66">
        <v>0</v>
      </c>
      <c r="Z17" s="66">
        <v>996</v>
      </c>
      <c r="AA17" s="66">
        <v>1</v>
      </c>
      <c r="AB17" s="66">
        <v>-1</v>
      </c>
      <c r="AC17" s="290">
        <v>8</v>
      </c>
    </row>
    <row r="18" spans="2:30" ht="21" customHeight="1">
      <c r="B18" s="261"/>
      <c r="C18" s="261"/>
      <c r="D18" s="261" t="s">
        <v>82</v>
      </c>
      <c r="E18" s="64">
        <v>48396</v>
      </c>
      <c r="F18" s="290">
        <v>71517</v>
      </c>
      <c r="G18" s="290">
        <v>70112</v>
      </c>
      <c r="H18" s="290">
        <v>47467</v>
      </c>
      <c r="I18" s="290">
        <v>19321</v>
      </c>
      <c r="J18" s="66">
        <v>9645</v>
      </c>
      <c r="K18" s="66">
        <v>7097</v>
      </c>
      <c r="L18" s="66">
        <v>0</v>
      </c>
      <c r="M18" s="66">
        <v>0</v>
      </c>
      <c r="N18" s="66">
        <v>0</v>
      </c>
      <c r="O18" s="66">
        <v>0</v>
      </c>
      <c r="P18" s="66">
        <v>0</v>
      </c>
      <c r="Q18" s="66">
        <v>0</v>
      </c>
      <c r="R18" s="66">
        <v>0</v>
      </c>
      <c r="S18" s="66">
        <v>0</v>
      </c>
      <c r="T18" s="66" t="s">
        <v>25</v>
      </c>
      <c r="U18" s="66" t="s">
        <v>25</v>
      </c>
      <c r="V18" s="66" t="s">
        <v>25</v>
      </c>
      <c r="W18" s="66" t="s">
        <v>25</v>
      </c>
      <c r="X18" s="66">
        <v>0</v>
      </c>
      <c r="Y18" s="66">
        <v>0</v>
      </c>
      <c r="Z18" s="66">
        <v>0</v>
      </c>
      <c r="AA18" s="66">
        <v>0</v>
      </c>
      <c r="AB18" s="66">
        <v>0</v>
      </c>
      <c r="AC18" s="66">
        <v>0</v>
      </c>
    </row>
    <row r="19" spans="2:30" ht="21" customHeight="1">
      <c r="B19" s="261"/>
      <c r="C19" s="261"/>
      <c r="D19" s="261" t="s">
        <v>273</v>
      </c>
      <c r="E19" s="62">
        <v>-105241</v>
      </c>
      <c r="F19" s="66">
        <v>-103307</v>
      </c>
      <c r="G19" s="66">
        <v>-104046</v>
      </c>
      <c r="H19" s="66">
        <v>-91250</v>
      </c>
      <c r="I19" s="66">
        <v>-91405</v>
      </c>
      <c r="J19" s="66">
        <v>-93469</v>
      </c>
      <c r="K19" s="66">
        <v>-89590</v>
      </c>
      <c r="L19" s="66">
        <v>-89576</v>
      </c>
      <c r="M19" s="66">
        <v>-83805</v>
      </c>
      <c r="N19" s="66">
        <v>-86293</v>
      </c>
      <c r="O19" s="66">
        <v>-80651</v>
      </c>
      <c r="P19" s="66">
        <v>-26113</v>
      </c>
      <c r="Q19" s="66">
        <v>-58565</v>
      </c>
      <c r="R19" s="66">
        <v>-91518</v>
      </c>
      <c r="S19" s="66">
        <v>-116679</v>
      </c>
      <c r="T19" s="66">
        <v>-65786</v>
      </c>
      <c r="U19" s="66">
        <v>-70444</v>
      </c>
      <c r="V19" s="66">
        <v>-76326</v>
      </c>
      <c r="W19" s="66">
        <v>-43424</v>
      </c>
      <c r="X19" s="66">
        <v>-39359</v>
      </c>
      <c r="Y19" s="66">
        <v>-46752</v>
      </c>
      <c r="Z19" s="66">
        <v>-56914</v>
      </c>
      <c r="AA19" s="66">
        <v>-67793</v>
      </c>
      <c r="AB19" s="66">
        <v>-63893</v>
      </c>
      <c r="AC19" s="66">
        <v>-18432</v>
      </c>
    </row>
    <row r="20" spans="2:30" ht="21" customHeight="1">
      <c r="B20" s="261"/>
      <c r="C20" s="261"/>
      <c r="D20" s="261" t="s">
        <v>218</v>
      </c>
      <c r="E20" s="58">
        <v>0</v>
      </c>
      <c r="F20" s="62">
        <v>0</v>
      </c>
      <c r="G20" s="62">
        <v>0</v>
      </c>
      <c r="H20" s="62">
        <v>0</v>
      </c>
      <c r="I20" s="62">
        <v>0</v>
      </c>
      <c r="J20" s="62">
        <v>0</v>
      </c>
      <c r="K20" s="62">
        <v>0</v>
      </c>
      <c r="L20" s="66">
        <v>186010</v>
      </c>
      <c r="M20" s="62" t="s">
        <v>25</v>
      </c>
      <c r="N20" s="62" t="s">
        <v>25</v>
      </c>
      <c r="O20" s="66">
        <v>0</v>
      </c>
      <c r="P20" s="66">
        <v>117337</v>
      </c>
      <c r="Q20" s="66">
        <v>0</v>
      </c>
      <c r="R20" s="66">
        <v>0</v>
      </c>
      <c r="S20" s="66">
        <v>0</v>
      </c>
      <c r="T20" s="66" t="s">
        <v>25</v>
      </c>
      <c r="U20" s="66" t="s">
        <v>25</v>
      </c>
      <c r="V20" s="66" t="s">
        <v>25</v>
      </c>
      <c r="W20" s="66" t="s">
        <v>25</v>
      </c>
      <c r="X20" s="66" t="s">
        <v>25</v>
      </c>
      <c r="Y20" s="66">
        <v>0</v>
      </c>
      <c r="Z20" s="66">
        <v>0</v>
      </c>
      <c r="AA20" s="66">
        <v>0</v>
      </c>
      <c r="AB20" s="66">
        <v>0</v>
      </c>
      <c r="AC20" s="66">
        <v>0</v>
      </c>
    </row>
    <row r="21" spans="2:30" ht="21" customHeight="1">
      <c r="B21" s="261"/>
      <c r="C21" s="261"/>
      <c r="D21" s="261" t="s">
        <v>337</v>
      </c>
      <c r="E21" s="62">
        <v>-4597</v>
      </c>
      <c r="F21" s="62">
        <v>-1998</v>
      </c>
      <c r="G21" s="62">
        <v>-5456</v>
      </c>
      <c r="H21" s="62">
        <v>-3229</v>
      </c>
      <c r="I21" s="62">
        <v>-4179</v>
      </c>
      <c r="J21" s="63">
        <v>-6136</v>
      </c>
      <c r="K21" s="63">
        <v>-2661</v>
      </c>
      <c r="L21" s="66">
        <v>-8313</v>
      </c>
      <c r="M21" s="63">
        <v>-3235</v>
      </c>
      <c r="N21" s="63">
        <v>-3905</v>
      </c>
      <c r="O21" s="66">
        <v>-2873</v>
      </c>
      <c r="P21" s="66">
        <v>-29545</v>
      </c>
      <c r="Q21" s="66">
        <v>-3932</v>
      </c>
      <c r="R21" s="66">
        <v>-5603</v>
      </c>
      <c r="S21" s="66">
        <v>-6556</v>
      </c>
      <c r="T21" s="66">
        <v>-11345</v>
      </c>
      <c r="U21" s="66">
        <v>-11006</v>
      </c>
      <c r="V21" s="66">
        <v>-5410</v>
      </c>
      <c r="W21" s="66">
        <v>-3051</v>
      </c>
      <c r="X21" s="66">
        <v>-6890</v>
      </c>
      <c r="Y21" s="66">
        <v>-5362</v>
      </c>
      <c r="Z21" s="66">
        <v>-6792</v>
      </c>
      <c r="AA21" s="66">
        <v>-3658</v>
      </c>
      <c r="AB21" s="66">
        <v>-6838</v>
      </c>
      <c r="AC21" s="66">
        <v>-16293</v>
      </c>
    </row>
    <row r="22" spans="2:30" ht="21" customHeight="1">
      <c r="B22" s="261"/>
      <c r="C22" s="261"/>
      <c r="D22" s="261" t="s">
        <v>221</v>
      </c>
      <c r="E22" s="58">
        <v>0</v>
      </c>
      <c r="F22" s="58">
        <v>0</v>
      </c>
      <c r="G22" s="58">
        <v>0</v>
      </c>
      <c r="H22" s="62">
        <v>-74892</v>
      </c>
      <c r="I22" s="58">
        <v>0</v>
      </c>
      <c r="J22" s="63">
        <v>0</v>
      </c>
      <c r="K22" s="63">
        <v>0</v>
      </c>
      <c r="L22" s="66">
        <v>-472787</v>
      </c>
      <c r="M22" s="63" t="s">
        <v>25</v>
      </c>
      <c r="N22" s="63" t="s">
        <v>25</v>
      </c>
      <c r="O22" s="66">
        <v>0</v>
      </c>
      <c r="P22" s="66">
        <v>-16426</v>
      </c>
      <c r="Q22" s="66">
        <v>0</v>
      </c>
      <c r="R22" s="66">
        <v>0</v>
      </c>
      <c r="S22" s="66">
        <v>-6752</v>
      </c>
      <c r="T22" s="66">
        <v>737406</v>
      </c>
      <c r="U22" s="66" t="s">
        <v>25</v>
      </c>
      <c r="V22" s="66" t="s">
        <v>25</v>
      </c>
      <c r="W22" s="66">
        <v>-397257</v>
      </c>
      <c r="X22" s="66" t="s">
        <v>25</v>
      </c>
      <c r="Y22" s="66">
        <v>0</v>
      </c>
      <c r="Z22" s="66">
        <v>0</v>
      </c>
      <c r="AA22" s="66">
        <v>3160</v>
      </c>
      <c r="AB22" s="66">
        <v>-1399944</v>
      </c>
      <c r="AC22" s="66">
        <v>0</v>
      </c>
      <c r="AD22" s="321"/>
    </row>
    <row r="23" spans="2:30" ht="21" customHeight="1">
      <c r="B23" s="261"/>
      <c r="C23" s="261"/>
      <c r="D23" s="261" t="s">
        <v>77</v>
      </c>
      <c r="E23" s="58">
        <v>4525</v>
      </c>
      <c r="F23" s="58">
        <v>6596</v>
      </c>
      <c r="G23" s="58">
        <v>5863</v>
      </c>
      <c r="H23" s="58">
        <v>8436</v>
      </c>
      <c r="I23" s="58">
        <v>7185</v>
      </c>
      <c r="J23" s="62">
        <v>5142</v>
      </c>
      <c r="K23" s="62">
        <v>379</v>
      </c>
      <c r="L23" s="66">
        <v>449</v>
      </c>
      <c r="M23" s="62" t="s">
        <v>25</v>
      </c>
      <c r="N23" s="62">
        <v>301</v>
      </c>
      <c r="O23" s="66">
        <v>239</v>
      </c>
      <c r="P23" s="66">
        <v>314</v>
      </c>
      <c r="Q23" s="66">
        <v>313</v>
      </c>
      <c r="R23" s="66">
        <v>262</v>
      </c>
      <c r="S23" s="66">
        <v>13128</v>
      </c>
      <c r="T23" s="66">
        <v>252</v>
      </c>
      <c r="U23" s="66" t="s">
        <v>25</v>
      </c>
      <c r="V23" s="66" t="s">
        <v>25</v>
      </c>
      <c r="W23" s="66" t="s">
        <v>25</v>
      </c>
      <c r="X23" s="66" t="s">
        <v>25</v>
      </c>
      <c r="Y23" s="66">
        <v>0</v>
      </c>
      <c r="Z23" s="66">
        <v>0</v>
      </c>
      <c r="AA23" s="66">
        <v>0</v>
      </c>
      <c r="AB23" s="66">
        <v>0</v>
      </c>
      <c r="AC23" s="66">
        <v>0</v>
      </c>
      <c r="AD23" s="321"/>
    </row>
    <row r="24" spans="2:30" ht="21" customHeight="1">
      <c r="B24" s="261"/>
      <c r="C24" s="261"/>
      <c r="D24" s="261" t="s">
        <v>338</v>
      </c>
      <c r="E24" s="62">
        <v>0</v>
      </c>
      <c r="F24" s="62">
        <v>0</v>
      </c>
      <c r="G24" s="62">
        <v>0</v>
      </c>
      <c r="H24" s="62">
        <v>0</v>
      </c>
      <c r="I24" s="62">
        <v>0</v>
      </c>
      <c r="J24" s="62">
        <v>0</v>
      </c>
      <c r="K24" s="62">
        <v>0</v>
      </c>
      <c r="L24" s="66">
        <v>-37493</v>
      </c>
      <c r="M24" s="62">
        <v>-4048</v>
      </c>
      <c r="N24" s="62" t="s">
        <v>25</v>
      </c>
      <c r="O24" s="66">
        <v>-5697</v>
      </c>
      <c r="P24" s="66">
        <v>-14131</v>
      </c>
      <c r="Q24" s="66">
        <v>-9040</v>
      </c>
      <c r="R24" s="66">
        <v>-12850</v>
      </c>
      <c r="S24" s="66">
        <v>-11978</v>
      </c>
      <c r="T24" s="66">
        <v>-15807</v>
      </c>
      <c r="U24" s="66">
        <v>-12086</v>
      </c>
      <c r="V24" s="66">
        <v>-146168</v>
      </c>
      <c r="W24" s="66">
        <v>-14423</v>
      </c>
      <c r="X24" s="66">
        <v>-36014</v>
      </c>
      <c r="Y24" s="66">
        <v>-11941</v>
      </c>
      <c r="Z24" s="66">
        <v>-15519</v>
      </c>
      <c r="AA24" s="66">
        <v>-16439</v>
      </c>
      <c r="AB24" s="66">
        <v>-16110</v>
      </c>
      <c r="AC24" s="66">
        <v>-10864</v>
      </c>
    </row>
    <row r="25" spans="2:30" ht="21" customHeight="1">
      <c r="B25" s="261"/>
      <c r="C25" s="261"/>
      <c r="D25" s="261" t="s">
        <v>306</v>
      </c>
      <c r="E25" s="62">
        <v>0</v>
      </c>
      <c r="F25" s="62">
        <v>0</v>
      </c>
      <c r="G25" s="62">
        <v>0</v>
      </c>
      <c r="H25" s="62">
        <v>0</v>
      </c>
      <c r="I25" s="62">
        <v>0</v>
      </c>
      <c r="J25" s="62">
        <v>0</v>
      </c>
      <c r="K25" s="62">
        <v>0</v>
      </c>
      <c r="L25" s="62">
        <v>0</v>
      </c>
      <c r="M25" s="62">
        <v>0</v>
      </c>
      <c r="N25" s="62">
        <v>0</v>
      </c>
      <c r="O25" s="62">
        <v>0</v>
      </c>
      <c r="P25" s="62">
        <v>0</v>
      </c>
      <c r="Q25" s="62">
        <v>0</v>
      </c>
      <c r="R25" s="62">
        <v>-16306</v>
      </c>
      <c r="S25" s="62">
        <v>4506</v>
      </c>
      <c r="T25" s="62">
        <v>-400</v>
      </c>
      <c r="U25" s="62" t="s">
        <v>25</v>
      </c>
      <c r="V25" s="62">
        <v>0</v>
      </c>
      <c r="W25" s="62" t="s">
        <v>25</v>
      </c>
      <c r="X25" s="62" t="s">
        <v>25</v>
      </c>
      <c r="Y25" s="62">
        <v>0</v>
      </c>
      <c r="Z25" s="66">
        <v>0</v>
      </c>
      <c r="AA25" s="66">
        <v>0</v>
      </c>
      <c r="AB25" s="66">
        <v>0</v>
      </c>
      <c r="AC25" s="66">
        <v>0</v>
      </c>
    </row>
    <row r="26" spans="2:30" ht="21" customHeight="1">
      <c r="B26" s="261"/>
      <c r="C26" s="261"/>
      <c r="D26" s="261" t="s">
        <v>307</v>
      </c>
      <c r="E26" s="62">
        <v>0</v>
      </c>
      <c r="F26" s="62">
        <v>0</v>
      </c>
      <c r="G26" s="62">
        <v>0</v>
      </c>
      <c r="H26" s="62">
        <v>0</v>
      </c>
      <c r="I26" s="62">
        <v>0</v>
      </c>
      <c r="J26" s="62">
        <v>0</v>
      </c>
      <c r="K26" s="62">
        <v>0</v>
      </c>
      <c r="L26" s="62">
        <v>0</v>
      </c>
      <c r="M26" s="62">
        <v>0</v>
      </c>
      <c r="N26" s="62">
        <v>0</v>
      </c>
      <c r="O26" s="62">
        <v>0</v>
      </c>
      <c r="P26" s="62">
        <v>0</v>
      </c>
      <c r="Q26" s="62">
        <v>0</v>
      </c>
      <c r="R26" s="62">
        <v>-19029</v>
      </c>
      <c r="S26" s="62">
        <v>-16608</v>
      </c>
      <c r="T26" s="62" t="s">
        <v>25</v>
      </c>
      <c r="U26" s="62" t="s">
        <v>25</v>
      </c>
      <c r="V26" s="62" t="s">
        <v>25</v>
      </c>
      <c r="W26" s="62" t="s">
        <v>25</v>
      </c>
      <c r="X26" s="62" t="s">
        <v>25</v>
      </c>
      <c r="Y26" s="62">
        <v>0</v>
      </c>
      <c r="Z26" s="66">
        <v>0</v>
      </c>
      <c r="AA26" s="66">
        <v>0</v>
      </c>
      <c r="AB26" s="66">
        <v>0</v>
      </c>
      <c r="AC26" s="66">
        <v>0</v>
      </c>
    </row>
    <row r="27" spans="2:30" ht="18.75" customHeight="1">
      <c r="B27" s="261"/>
      <c r="C27" s="261"/>
      <c r="D27" s="261" t="s">
        <v>78</v>
      </c>
      <c r="E27" s="62">
        <v>-45314</v>
      </c>
      <c r="F27" s="62">
        <v>-11841</v>
      </c>
      <c r="G27" s="62">
        <v>-40070</v>
      </c>
      <c r="H27" s="62">
        <v>-25605</v>
      </c>
      <c r="I27" s="62">
        <v>-10848</v>
      </c>
      <c r="J27" s="62">
        <v>-92114</v>
      </c>
      <c r="K27" s="62">
        <v>-36731</v>
      </c>
      <c r="L27" s="66">
        <f>-7074-55825</f>
        <v>-62899</v>
      </c>
      <c r="M27" s="62">
        <v>-29010</v>
      </c>
      <c r="N27" s="62">
        <v>-31547</v>
      </c>
      <c r="O27" s="66">
        <v>-131709</v>
      </c>
      <c r="P27" s="66">
        <v>-9655</v>
      </c>
      <c r="Q27" s="66">
        <v>52391</v>
      </c>
      <c r="R27" s="66">
        <v>-24378</v>
      </c>
      <c r="S27" s="66">
        <v>-2776</v>
      </c>
      <c r="T27" s="62">
        <v>-57800</v>
      </c>
      <c r="U27" s="62">
        <v>-12603</v>
      </c>
      <c r="V27" s="62">
        <v>-21862</v>
      </c>
      <c r="W27" s="62">
        <v>-118767</v>
      </c>
      <c r="X27" s="62">
        <v>-16291</v>
      </c>
      <c r="Y27" s="62">
        <v>-11196</v>
      </c>
      <c r="Z27" s="66">
        <v>-17058</v>
      </c>
      <c r="AA27" s="66">
        <v>-28737</v>
      </c>
      <c r="AB27" s="66">
        <v>-19335</v>
      </c>
      <c r="AC27" s="66">
        <v>-33427</v>
      </c>
    </row>
    <row r="28" spans="2:30" ht="21" customHeight="1">
      <c r="B28" s="261"/>
      <c r="C28" s="261"/>
      <c r="D28" s="261" t="s">
        <v>284</v>
      </c>
      <c r="E28" s="64">
        <v>0</v>
      </c>
      <c r="F28" s="64">
        <v>0</v>
      </c>
      <c r="G28" s="64">
        <v>0</v>
      </c>
      <c r="H28" s="64">
        <v>0</v>
      </c>
      <c r="I28" s="64">
        <v>0</v>
      </c>
      <c r="J28" s="62">
        <v>0</v>
      </c>
      <c r="K28" s="62">
        <v>10816</v>
      </c>
      <c r="L28" s="284">
        <v>18624</v>
      </c>
      <c r="M28" s="58">
        <v>19824</v>
      </c>
      <c r="N28" s="62">
        <v>17127</v>
      </c>
      <c r="O28" s="66">
        <v>15011</v>
      </c>
      <c r="P28" s="284">
        <v>43647</v>
      </c>
      <c r="Q28" s="284">
        <v>24099</v>
      </c>
      <c r="R28" s="284">
        <v>44737</v>
      </c>
      <c r="S28" s="284">
        <v>29596</v>
      </c>
      <c r="T28" s="66">
        <v>38519</v>
      </c>
      <c r="U28" s="66">
        <v>33310</v>
      </c>
      <c r="V28" s="66">
        <v>36804</v>
      </c>
      <c r="W28" s="66">
        <v>17351</v>
      </c>
      <c r="X28" s="66">
        <v>-512</v>
      </c>
      <c r="Y28" s="66">
        <v>6776</v>
      </c>
      <c r="Z28" s="66">
        <v>-3577</v>
      </c>
      <c r="AA28" s="66">
        <v>-1107</v>
      </c>
      <c r="AB28" s="66">
        <v>1538</v>
      </c>
      <c r="AC28" s="290">
        <v>1071</v>
      </c>
    </row>
    <row r="29" spans="2:30" ht="21" customHeight="1">
      <c r="B29" s="261"/>
      <c r="C29" s="261"/>
      <c r="D29" s="261" t="s">
        <v>79</v>
      </c>
      <c r="E29" s="62">
        <v>1408</v>
      </c>
      <c r="F29" s="62">
        <v>-586</v>
      </c>
      <c r="G29" s="62">
        <v>660</v>
      </c>
      <c r="H29" s="62">
        <v>-2665</v>
      </c>
      <c r="I29" s="62">
        <v>-6797</v>
      </c>
      <c r="J29" s="62">
        <v>-326</v>
      </c>
      <c r="K29" s="62">
        <v>5304</v>
      </c>
      <c r="L29" s="66">
        <v>1552</v>
      </c>
      <c r="M29" s="62">
        <v>1159</v>
      </c>
      <c r="N29" s="62">
        <v>4945</v>
      </c>
      <c r="O29" s="66">
        <v>-4</v>
      </c>
      <c r="P29" s="66">
        <v>-413</v>
      </c>
      <c r="Q29" s="66">
        <v>868</v>
      </c>
      <c r="R29" s="66">
        <v>6233</v>
      </c>
      <c r="S29" s="66">
        <v>2519</v>
      </c>
      <c r="T29" s="284">
        <v>165146</v>
      </c>
      <c r="U29" s="284">
        <v>16783</v>
      </c>
      <c r="V29" s="284">
        <v>53000</v>
      </c>
      <c r="W29" s="284">
        <v>-3149</v>
      </c>
      <c r="X29" s="284">
        <v>-1660</v>
      </c>
      <c r="Y29" s="284">
        <v>8183</v>
      </c>
      <c r="Z29" s="66">
        <v>31477</v>
      </c>
      <c r="AA29" s="66">
        <v>4137</v>
      </c>
      <c r="AB29" s="66">
        <v>30415</v>
      </c>
      <c r="AC29" s="66">
        <v>-45</v>
      </c>
    </row>
    <row r="30" spans="2:30" ht="21" customHeight="1">
      <c r="B30" s="261"/>
      <c r="C30" s="261"/>
      <c r="D30" s="261" t="s">
        <v>80</v>
      </c>
      <c r="E30" s="62">
        <v>-22701</v>
      </c>
      <c r="F30" s="62">
        <v>18716</v>
      </c>
      <c r="G30" s="62">
        <v>10931</v>
      </c>
      <c r="H30" s="62">
        <v>7066</v>
      </c>
      <c r="I30" s="62">
        <v>-13596</v>
      </c>
      <c r="J30" s="62">
        <v>6705</v>
      </c>
      <c r="K30" s="62">
        <v>20898</v>
      </c>
      <c r="L30" s="66">
        <v>-1949</v>
      </c>
      <c r="M30" s="66">
        <v>-5735</v>
      </c>
      <c r="N30" s="62">
        <v>15252</v>
      </c>
      <c r="O30" s="66">
        <v>22134</v>
      </c>
      <c r="P30" s="66">
        <v>16102</v>
      </c>
      <c r="Q30" s="66">
        <v>187</v>
      </c>
      <c r="R30" s="66">
        <v>-9924</v>
      </c>
      <c r="S30" s="66">
        <v>-3154</v>
      </c>
      <c r="T30" s="66">
        <v>1923</v>
      </c>
      <c r="U30" s="66" t="s">
        <v>25</v>
      </c>
      <c r="V30" s="66" t="s">
        <v>25</v>
      </c>
      <c r="W30" s="66" t="s">
        <v>25</v>
      </c>
      <c r="X30" s="66" t="s">
        <v>25</v>
      </c>
      <c r="Y30" s="66">
        <v>0</v>
      </c>
      <c r="Z30" s="66">
        <v>0</v>
      </c>
      <c r="AA30" s="66">
        <v>0</v>
      </c>
      <c r="AB30" s="66">
        <v>0</v>
      </c>
      <c r="AC30" s="66">
        <v>0</v>
      </c>
      <c r="AD30" s="321"/>
    </row>
    <row r="31" spans="2:30" ht="21" customHeight="1">
      <c r="B31" s="261"/>
      <c r="C31" s="261"/>
      <c r="D31" s="261" t="s">
        <v>339</v>
      </c>
      <c r="E31" s="64">
        <v>-27207</v>
      </c>
      <c r="F31" s="66">
        <v>-33535</v>
      </c>
      <c r="G31" s="66">
        <v>-19560</v>
      </c>
      <c r="H31" s="66">
        <v>-30476</v>
      </c>
      <c r="I31" s="66">
        <v>-9251</v>
      </c>
      <c r="J31" s="66">
        <v>-16601</v>
      </c>
      <c r="K31" s="66">
        <v>-31115</v>
      </c>
      <c r="L31" s="66">
        <v>-95774</v>
      </c>
      <c r="M31" s="66">
        <v>-27846</v>
      </c>
      <c r="N31" s="66">
        <v>-49337</v>
      </c>
      <c r="O31" s="66">
        <v>-57929</v>
      </c>
      <c r="P31" s="66">
        <v>-48082</v>
      </c>
      <c r="Q31" s="66">
        <v>-38927</v>
      </c>
      <c r="R31" s="66">
        <f>R14-SUM(R15:R30)</f>
        <v>-37186</v>
      </c>
      <c r="S31" s="66">
        <v>-60387</v>
      </c>
      <c r="T31" s="66">
        <v>-133044</v>
      </c>
      <c r="U31" s="66">
        <f>U14-SUM(U15:U30)</f>
        <v>-55293</v>
      </c>
      <c r="V31" s="66">
        <v>-60385</v>
      </c>
      <c r="W31" s="66">
        <v>-47258</v>
      </c>
      <c r="X31" s="66">
        <v>562538</v>
      </c>
      <c r="Y31" s="66">
        <v>-53553</v>
      </c>
      <c r="Z31" s="66">
        <v>-45828</v>
      </c>
      <c r="AA31" s="66">
        <v>-40058</v>
      </c>
      <c r="AB31" s="66">
        <v>-107973</v>
      </c>
      <c r="AC31" s="290">
        <v>-65192</v>
      </c>
    </row>
    <row r="32" spans="2:30">
      <c r="B32" s="260" t="s">
        <v>84</v>
      </c>
      <c r="C32" s="260"/>
      <c r="D32" s="260"/>
      <c r="E32" s="59">
        <v>184674</v>
      </c>
      <c r="F32" s="59">
        <v>366648</v>
      </c>
      <c r="G32" s="59">
        <v>107021</v>
      </c>
      <c r="H32" s="59">
        <v>70631</v>
      </c>
      <c r="I32" s="59">
        <v>323608</v>
      </c>
      <c r="J32" s="67">
        <v>209055</v>
      </c>
      <c r="K32" s="67">
        <v>353375</v>
      </c>
      <c r="L32" s="67">
        <v>-4117</v>
      </c>
      <c r="M32" s="67">
        <v>195521</v>
      </c>
      <c r="N32" s="67">
        <v>292224</v>
      </c>
      <c r="O32" s="67">
        <v>140982</v>
      </c>
      <c r="P32" s="67">
        <v>143049</v>
      </c>
      <c r="Q32" s="67">
        <v>275176</v>
      </c>
      <c r="R32" s="67">
        <v>-87531</v>
      </c>
      <c r="S32" s="67">
        <v>531465</v>
      </c>
      <c r="T32" s="67">
        <v>2049596</v>
      </c>
      <c r="U32" s="67">
        <v>2125560</v>
      </c>
      <c r="V32" s="67">
        <v>4769656</v>
      </c>
      <c r="W32" s="67">
        <v>2198747</v>
      </c>
      <c r="X32" s="67">
        <v>2177711</v>
      </c>
      <c r="Y32" s="67">
        <v>1295273</v>
      </c>
      <c r="Z32" s="67">
        <v>1660805</v>
      </c>
      <c r="AA32" s="67">
        <v>577412</v>
      </c>
      <c r="AB32" s="67">
        <v>-1087994</v>
      </c>
      <c r="AC32" s="67">
        <v>495400</v>
      </c>
    </row>
    <row r="33" spans="2:30" ht="21" customHeight="1">
      <c r="B33" s="407" t="s">
        <v>85</v>
      </c>
      <c r="C33" s="407"/>
      <c r="D33" s="407"/>
      <c r="E33" s="68">
        <v>7.8E-2</v>
      </c>
      <c r="F33" s="68">
        <v>0.14199999999999999</v>
      </c>
      <c r="G33" s="68">
        <v>3.9E-2</v>
      </c>
      <c r="H33" s="68">
        <v>2.3E-2</v>
      </c>
      <c r="I33" s="68">
        <v>0.1</v>
      </c>
      <c r="J33" s="68">
        <v>6.6000000000000003E-2</v>
      </c>
      <c r="K33" s="68">
        <v>9.1999999999999998E-2</v>
      </c>
      <c r="L33" s="68">
        <v>-1E-3</v>
      </c>
      <c r="M33" s="68">
        <v>5.5E-2</v>
      </c>
      <c r="N33" s="68">
        <v>7.9000000000000001E-2</v>
      </c>
      <c r="O33" s="68">
        <v>3.7999999999999999E-2</v>
      </c>
      <c r="P33" s="68">
        <v>3.6935973669282196E-2</v>
      </c>
      <c r="Q33" s="68">
        <v>7.1999999999999995E-2</v>
      </c>
      <c r="R33" s="68">
        <v>-3.609950035364981E-2</v>
      </c>
      <c r="S33" s="68">
        <v>0.121</v>
      </c>
      <c r="T33" s="68">
        <v>0.374</v>
      </c>
      <c r="U33" s="68">
        <v>0.30099999999999999</v>
      </c>
      <c r="V33" s="68">
        <v>0.497</v>
      </c>
      <c r="W33" s="68">
        <v>0.24361095805963648</v>
      </c>
      <c r="X33" s="68">
        <v>0.27054952197817078</v>
      </c>
      <c r="Y33" s="68">
        <v>0.16511550295182142</v>
      </c>
      <c r="Z33" s="365">
        <v>0.19466832171750204</v>
      </c>
      <c r="AA33" s="365">
        <v>6.8458956187415723E-2</v>
      </c>
      <c r="AB33" s="365">
        <v>-0.1420362152570713</v>
      </c>
      <c r="AC33" s="365">
        <v>6.8281598605368338E-2</v>
      </c>
      <c r="AD33" s="321"/>
    </row>
    <row r="34" spans="2:30" ht="21" customHeight="1">
      <c r="B34" s="260" t="s">
        <v>340</v>
      </c>
      <c r="C34" s="260"/>
      <c r="D34" s="260"/>
      <c r="E34" s="59">
        <v>-54581</v>
      </c>
      <c r="F34" s="59">
        <v>-171294</v>
      </c>
      <c r="G34" s="59">
        <v>-64961</v>
      </c>
      <c r="H34" s="59">
        <v>-172084</v>
      </c>
      <c r="I34" s="59">
        <v>-133774</v>
      </c>
      <c r="J34" s="67">
        <v>-276578</v>
      </c>
      <c r="K34" s="67">
        <v>-134391</v>
      </c>
      <c r="L34" s="67">
        <v>637788</v>
      </c>
      <c r="M34" s="67">
        <v>-135780</v>
      </c>
      <c r="N34" s="67">
        <v>-83758</v>
      </c>
      <c r="O34" s="67">
        <v>-444734</v>
      </c>
      <c r="P34" s="67">
        <v>154433</v>
      </c>
      <c r="Q34" s="67">
        <v>-857631</v>
      </c>
      <c r="R34" s="67">
        <v>-281456</v>
      </c>
      <c r="S34" s="67">
        <v>-167817</v>
      </c>
      <c r="T34" s="67">
        <v>224412</v>
      </c>
      <c r="U34" s="67">
        <v>-375741</v>
      </c>
      <c r="V34" s="67">
        <v>1332266</v>
      </c>
      <c r="W34" s="67">
        <v>-420020</v>
      </c>
      <c r="X34" s="67">
        <v>309310</v>
      </c>
      <c r="Y34" s="67">
        <v>501708</v>
      </c>
      <c r="Z34" s="67">
        <v>-248066</v>
      </c>
      <c r="AA34" s="67">
        <v>170885</v>
      </c>
      <c r="AB34" s="67">
        <v>187966</v>
      </c>
      <c r="AC34" s="67">
        <v>193444</v>
      </c>
    </row>
    <row r="35" spans="2:30" ht="21" customHeight="1">
      <c r="B35" s="261"/>
      <c r="C35" s="261" t="s">
        <v>257</v>
      </c>
      <c r="D35" s="261"/>
      <c r="E35" s="62">
        <v>159151</v>
      </c>
      <c r="F35" s="62">
        <v>156432</v>
      </c>
      <c r="G35" s="62">
        <v>140358</v>
      </c>
      <c r="H35" s="62">
        <v>105297</v>
      </c>
      <c r="I35" s="62">
        <v>76894</v>
      </c>
      <c r="J35" s="62">
        <v>58376</v>
      </c>
      <c r="K35" s="62">
        <v>70429</v>
      </c>
      <c r="L35" s="62">
        <v>963448</v>
      </c>
      <c r="M35" s="62">
        <v>67433</v>
      </c>
      <c r="N35" s="62">
        <v>90178</v>
      </c>
      <c r="O35" s="62">
        <v>203960</v>
      </c>
      <c r="P35" s="62">
        <v>260451</v>
      </c>
      <c r="Q35" s="62">
        <v>57754</v>
      </c>
      <c r="R35" s="62">
        <v>68329</v>
      </c>
      <c r="S35" s="62">
        <v>57014</v>
      </c>
      <c r="T35" s="62">
        <v>79594</v>
      </c>
      <c r="U35" s="62">
        <v>76040</v>
      </c>
      <c r="V35" s="62">
        <v>992561</v>
      </c>
      <c r="W35" s="62">
        <v>164335</v>
      </c>
      <c r="X35" s="62">
        <v>576361</v>
      </c>
      <c r="Y35" s="62">
        <v>239470</v>
      </c>
      <c r="Z35" s="62">
        <v>290443</v>
      </c>
      <c r="AA35" s="62">
        <v>434235</v>
      </c>
      <c r="AB35" s="62">
        <v>290329</v>
      </c>
      <c r="AC35" s="62">
        <v>302175</v>
      </c>
      <c r="AD35" s="321"/>
    </row>
    <row r="36" spans="2:30" ht="21" customHeight="1">
      <c r="B36" s="261"/>
      <c r="C36" s="261" t="s">
        <v>258</v>
      </c>
      <c r="D36" s="261"/>
      <c r="E36" s="62">
        <v>-269349</v>
      </c>
      <c r="F36" s="62">
        <v>-250557</v>
      </c>
      <c r="G36" s="62">
        <v>-261361</v>
      </c>
      <c r="H36" s="62">
        <v>-221290</v>
      </c>
      <c r="I36" s="62">
        <v>-185187</v>
      </c>
      <c r="J36" s="62">
        <v>-185176</v>
      </c>
      <c r="K36" s="62">
        <v>-185702</v>
      </c>
      <c r="L36" s="62">
        <v>-356642</v>
      </c>
      <c r="M36" s="62">
        <v>-191808</v>
      </c>
      <c r="N36" s="62">
        <v>-191007</v>
      </c>
      <c r="O36" s="62">
        <v>-362440</v>
      </c>
      <c r="P36" s="62">
        <v>-201438</v>
      </c>
      <c r="Q36" s="62">
        <v>-140727</v>
      </c>
      <c r="R36" s="62">
        <v>-175666</v>
      </c>
      <c r="S36" s="62">
        <v>-122732</v>
      </c>
      <c r="T36" s="62">
        <v>-141503</v>
      </c>
      <c r="U36" s="62">
        <v>-96456</v>
      </c>
      <c r="V36" s="62">
        <v>-143188</v>
      </c>
      <c r="W36" s="62">
        <v>-256265</v>
      </c>
      <c r="X36" s="62">
        <v>-177308</v>
      </c>
      <c r="Y36" s="62">
        <v>-171754</v>
      </c>
      <c r="Z36" s="62">
        <v>-231542</v>
      </c>
      <c r="AA36" s="62">
        <v>-238226</v>
      </c>
      <c r="AB36" s="62">
        <v>-224628</v>
      </c>
      <c r="AC36" s="62">
        <v>-189464</v>
      </c>
      <c r="AD36" s="321"/>
    </row>
    <row r="37" spans="2:30" ht="21" customHeight="1">
      <c r="B37" s="261"/>
      <c r="C37" s="261" t="s">
        <v>259</v>
      </c>
      <c r="D37" s="261"/>
      <c r="E37" s="62">
        <v>55617</v>
      </c>
      <c r="F37" s="62">
        <v>-77169</v>
      </c>
      <c r="G37" s="62">
        <v>56042</v>
      </c>
      <c r="H37" s="62">
        <v>-56091</v>
      </c>
      <c r="I37" s="62">
        <v>-25481</v>
      </c>
      <c r="J37" s="62">
        <v>-149778</v>
      </c>
      <c r="K37" s="62">
        <v>-19118</v>
      </c>
      <c r="L37" s="62">
        <v>30982</v>
      </c>
      <c r="M37" s="62">
        <v>-11405</v>
      </c>
      <c r="N37" s="62">
        <v>17071</v>
      </c>
      <c r="O37" s="62">
        <v>-286254</v>
      </c>
      <c r="P37" s="62">
        <v>95420</v>
      </c>
      <c r="Q37" s="62">
        <v>-774658</v>
      </c>
      <c r="R37" s="62">
        <v>-174119</v>
      </c>
      <c r="S37" s="62">
        <v>-102099</v>
      </c>
      <c r="T37" s="62">
        <v>286321</v>
      </c>
      <c r="U37" s="62">
        <v>-355325</v>
      </c>
      <c r="V37" s="62">
        <v>482893</v>
      </c>
      <c r="W37" s="62">
        <v>-328090</v>
      </c>
      <c r="X37" s="62">
        <v>-89743</v>
      </c>
      <c r="Y37" s="62">
        <v>433992</v>
      </c>
      <c r="Z37" s="62">
        <v>-306967</v>
      </c>
      <c r="AA37" s="62">
        <v>-25124</v>
      </c>
      <c r="AB37" s="62">
        <v>122265</v>
      </c>
      <c r="AC37" s="62">
        <v>80733</v>
      </c>
      <c r="AD37" s="321"/>
    </row>
    <row r="38" spans="2:30" ht="21" customHeight="1">
      <c r="B38" s="261" t="s">
        <v>87</v>
      </c>
      <c r="C38" s="261"/>
      <c r="D38" s="261"/>
      <c r="E38" s="62">
        <v>37080</v>
      </c>
      <c r="F38" s="62">
        <v>15278</v>
      </c>
      <c r="G38" s="62">
        <v>50556</v>
      </c>
      <c r="H38" s="62">
        <v>51982</v>
      </c>
      <c r="I38" s="62">
        <v>41154</v>
      </c>
      <c r="J38" s="62">
        <v>31341</v>
      </c>
      <c r="K38" s="62">
        <v>74734</v>
      </c>
      <c r="L38" s="62">
        <v>113121</v>
      </c>
      <c r="M38" s="62">
        <v>37493</v>
      </c>
      <c r="N38" s="62">
        <v>36877</v>
      </c>
      <c r="O38" s="62">
        <v>58258</v>
      </c>
      <c r="P38" s="62">
        <v>48107</v>
      </c>
      <c r="Q38" s="62">
        <v>15347</v>
      </c>
      <c r="R38" s="62">
        <v>45494</v>
      </c>
      <c r="S38" s="62">
        <v>40031</v>
      </c>
      <c r="T38" s="62">
        <v>58887</v>
      </c>
      <c r="U38" s="62">
        <v>36704</v>
      </c>
      <c r="V38" s="62">
        <v>55458</v>
      </c>
      <c r="W38" s="62">
        <v>72524</v>
      </c>
      <c r="X38" s="62">
        <v>54102</v>
      </c>
      <c r="Y38" s="62">
        <v>35008</v>
      </c>
      <c r="Z38" s="62">
        <v>56033</v>
      </c>
      <c r="AA38" s="62">
        <v>64553</v>
      </c>
      <c r="AB38" s="62">
        <v>65331</v>
      </c>
      <c r="AC38" s="62">
        <v>45047</v>
      </c>
      <c r="AD38" s="321"/>
    </row>
    <row r="39" spans="2:30" ht="21" customHeight="1">
      <c r="B39" s="260" t="s">
        <v>341</v>
      </c>
      <c r="C39" s="260"/>
      <c r="D39" s="260"/>
      <c r="E39" s="59">
        <v>167173</v>
      </c>
      <c r="F39" s="59">
        <v>210632</v>
      </c>
      <c r="G39" s="59">
        <v>92616</v>
      </c>
      <c r="H39" s="59">
        <v>-49471</v>
      </c>
      <c r="I39" s="59">
        <v>230988</v>
      </c>
      <c r="J39" s="59">
        <v>-36182</v>
      </c>
      <c r="K39" s="59">
        <v>293718</v>
      </c>
      <c r="L39" s="59">
        <v>746792</v>
      </c>
      <c r="M39" s="59">
        <v>97234</v>
      </c>
      <c r="N39" s="59">
        <v>245343</v>
      </c>
      <c r="O39" s="59">
        <v>-245494</v>
      </c>
      <c r="P39" s="59">
        <v>345589</v>
      </c>
      <c r="Q39" s="59">
        <v>-567108</v>
      </c>
      <c r="R39" s="59">
        <v>-323493</v>
      </c>
      <c r="S39" s="59">
        <v>403679</v>
      </c>
      <c r="T39" s="59">
        <v>2332895</v>
      </c>
      <c r="U39" s="59">
        <v>1786523</v>
      </c>
      <c r="V39" s="59">
        <v>6157380</v>
      </c>
      <c r="W39" s="59">
        <v>1851251</v>
      </c>
      <c r="X39" s="59">
        <v>2541123</v>
      </c>
      <c r="Y39" s="59">
        <v>1831989</v>
      </c>
      <c r="Z39" s="59">
        <v>1468772</v>
      </c>
      <c r="AA39" s="59">
        <v>812850</v>
      </c>
      <c r="AB39" s="59">
        <v>-834697</v>
      </c>
      <c r="AC39" s="59">
        <v>733891</v>
      </c>
      <c r="AD39" s="321"/>
    </row>
    <row r="40" spans="2:30" ht="21" customHeight="1">
      <c r="B40" s="261" t="s">
        <v>89</v>
      </c>
      <c r="C40" s="261"/>
      <c r="D40" s="261"/>
      <c r="E40" s="62">
        <v>-58855</v>
      </c>
      <c r="F40" s="62">
        <v>-34922</v>
      </c>
      <c r="G40" s="62">
        <v>-16713</v>
      </c>
      <c r="H40" s="62">
        <v>4620</v>
      </c>
      <c r="I40" s="62">
        <v>-73803</v>
      </c>
      <c r="J40" s="62">
        <v>17132</v>
      </c>
      <c r="K40" s="62">
        <v>-4587</v>
      </c>
      <c r="L40" s="62">
        <v>-345363</v>
      </c>
      <c r="M40" s="62">
        <v>-20956</v>
      </c>
      <c r="N40" s="62">
        <v>-74097</v>
      </c>
      <c r="O40" s="62">
        <v>106514</v>
      </c>
      <c r="P40" s="62">
        <v>-77442</v>
      </c>
      <c r="Q40" s="62">
        <v>143128</v>
      </c>
      <c r="R40" s="62">
        <v>-71568</v>
      </c>
      <c r="S40" s="62">
        <v>-205597</v>
      </c>
      <c r="T40" s="62">
        <v>-420193</v>
      </c>
      <c r="U40" s="62">
        <v>-581626</v>
      </c>
      <c r="V40" s="62">
        <v>-1614171</v>
      </c>
      <c r="W40" s="62">
        <v>-27508</v>
      </c>
      <c r="X40" s="62">
        <v>-53018</v>
      </c>
      <c r="Y40" s="62">
        <v>-568820</v>
      </c>
      <c r="Z40" s="62">
        <v>-408842</v>
      </c>
      <c r="AA40" s="62">
        <v>-204275</v>
      </c>
      <c r="AB40" s="62">
        <v>-4088</v>
      </c>
      <c r="AC40" s="62">
        <v>-189815</v>
      </c>
      <c r="AD40" s="321"/>
    </row>
    <row r="41" spans="2:30" ht="21" customHeight="1">
      <c r="B41" s="260" t="s">
        <v>342</v>
      </c>
      <c r="C41" s="260"/>
      <c r="D41" s="260"/>
      <c r="E41" s="69">
        <v>108318</v>
      </c>
      <c r="F41" s="69">
        <v>175710</v>
      </c>
      <c r="G41" s="69">
        <v>75903</v>
      </c>
      <c r="H41" s="69">
        <v>-44851</v>
      </c>
      <c r="I41" s="69">
        <v>157185</v>
      </c>
      <c r="J41" s="69">
        <v>-19050</v>
      </c>
      <c r="K41" s="69">
        <v>289131</v>
      </c>
      <c r="L41" s="69">
        <v>401429</v>
      </c>
      <c r="M41" s="69">
        <v>76278</v>
      </c>
      <c r="N41" s="69">
        <v>171246</v>
      </c>
      <c r="O41" s="69">
        <v>-138980</v>
      </c>
      <c r="P41" s="69">
        <v>268147</v>
      </c>
      <c r="Q41" s="69">
        <v>-423980</v>
      </c>
      <c r="R41" s="69">
        <v>-395061</v>
      </c>
      <c r="S41" s="69">
        <v>198082</v>
      </c>
      <c r="T41" s="69">
        <v>1912702</v>
      </c>
      <c r="U41" s="69">
        <v>1204897</v>
      </c>
      <c r="V41" s="69">
        <v>4543209</v>
      </c>
      <c r="W41" s="69">
        <v>1823743</v>
      </c>
      <c r="X41" s="69">
        <v>2488105</v>
      </c>
      <c r="Y41" s="69">
        <v>1263169</v>
      </c>
      <c r="Z41" s="69">
        <v>1059930</v>
      </c>
      <c r="AA41" s="69">
        <v>608575</v>
      </c>
      <c r="AB41" s="69">
        <v>-838785</v>
      </c>
      <c r="AC41" s="69">
        <v>544076</v>
      </c>
      <c r="AD41" s="321"/>
    </row>
    <row r="42" spans="2:30" ht="21" customHeight="1">
      <c r="B42" s="406" t="s">
        <v>91</v>
      </c>
      <c r="C42" s="406"/>
      <c r="D42" s="406"/>
      <c r="E42" s="68">
        <v>4.5999999999999999E-2</v>
      </c>
      <c r="F42" s="68">
        <v>6.8000000000000005E-2</v>
      </c>
      <c r="G42" s="68">
        <v>2.7E-2</v>
      </c>
      <c r="H42" s="68">
        <v>-1.4999999999999999E-2</v>
      </c>
      <c r="I42" s="68">
        <v>4.9000000000000002E-2</v>
      </c>
      <c r="J42" s="68">
        <v>-5.0000000000000001E-3</v>
      </c>
      <c r="K42" s="68">
        <v>7.3999999999999996E-2</v>
      </c>
      <c r="L42" s="68">
        <v>0.11700000000000001</v>
      </c>
      <c r="M42" s="68">
        <v>2.1999999999999999E-2</v>
      </c>
      <c r="N42" s="68">
        <v>4.5999999999999999E-2</v>
      </c>
      <c r="O42" s="68">
        <v>-3.5000000000000003E-2</v>
      </c>
      <c r="P42" s="68">
        <v>6.9236908552293364E-2</v>
      </c>
      <c r="Q42" s="68">
        <v>-0.111</v>
      </c>
      <c r="R42" s="68">
        <v>-0.16293090115745562</v>
      </c>
      <c r="S42" s="68">
        <v>4.4999999999999998E-2</v>
      </c>
      <c r="T42" s="68">
        <v>0.34899999999999998</v>
      </c>
      <c r="U42" s="68">
        <v>0.17100000000000001</v>
      </c>
      <c r="V42" s="68">
        <v>0.47299999999999998</v>
      </c>
      <c r="W42" s="68">
        <v>0.20206225613249529</v>
      </c>
      <c r="X42" s="68">
        <v>0.30911154803437951</v>
      </c>
      <c r="Y42" s="68">
        <v>0.16102303124372183</v>
      </c>
      <c r="Z42" s="68">
        <v>0.12423782095913244</v>
      </c>
      <c r="AA42" s="68">
        <v>7.2153694869099574E-2</v>
      </c>
      <c r="AB42" s="68">
        <v>-0.10950230131269341</v>
      </c>
      <c r="AC42" s="68">
        <v>7.4990672270517519E-2</v>
      </c>
      <c r="AD42" s="321"/>
    </row>
    <row r="43" spans="2:30" ht="21" customHeight="1">
      <c r="B43" s="261" t="s">
        <v>92</v>
      </c>
      <c r="C43" s="261"/>
      <c r="D43" s="261"/>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321"/>
    </row>
    <row r="44" spans="2:30" ht="21" customHeight="1">
      <c r="B44" s="260"/>
      <c r="C44" s="260" t="s">
        <v>93</v>
      </c>
      <c r="D44" s="260"/>
      <c r="E44" s="59">
        <v>88901</v>
      </c>
      <c r="F44" s="59">
        <v>117073</v>
      </c>
      <c r="G44" s="59">
        <v>76959</v>
      </c>
      <c r="H44" s="59">
        <v>-49918</v>
      </c>
      <c r="I44" s="59">
        <v>140114</v>
      </c>
      <c r="J44" s="59">
        <v>-32179</v>
      </c>
      <c r="K44" s="59">
        <v>263924</v>
      </c>
      <c r="L44" s="59">
        <v>354799</v>
      </c>
      <c r="M44" s="59">
        <v>46857</v>
      </c>
      <c r="N44" s="59">
        <v>131251</v>
      </c>
      <c r="O44" s="59">
        <v>-183909</v>
      </c>
      <c r="P44" s="59">
        <v>219066</v>
      </c>
      <c r="Q44" s="59">
        <v>-476567</v>
      </c>
      <c r="R44" s="59">
        <v>-466882</v>
      </c>
      <c r="S44" s="59">
        <v>57118</v>
      </c>
      <c r="T44" s="59">
        <v>1559121</v>
      </c>
      <c r="U44" s="59">
        <v>931795</v>
      </c>
      <c r="V44" s="59">
        <v>4168048</v>
      </c>
      <c r="W44" s="59">
        <v>1562215</v>
      </c>
      <c r="X44" s="59">
        <v>2408466</v>
      </c>
      <c r="Y44" s="59">
        <v>1191414</v>
      </c>
      <c r="Z44" s="67">
        <v>889268</v>
      </c>
      <c r="AA44" s="67">
        <v>517002</v>
      </c>
      <c r="AB44" s="67">
        <v>-982146</v>
      </c>
      <c r="AC44" s="67">
        <v>474132</v>
      </c>
      <c r="AD44" s="321"/>
    </row>
    <row r="45" spans="2:30" ht="21" customHeight="1">
      <c r="B45" s="260"/>
      <c r="C45" s="260" t="s">
        <v>94</v>
      </c>
      <c r="D45" s="260"/>
      <c r="E45" s="59">
        <v>19417</v>
      </c>
      <c r="F45" s="59">
        <v>58637</v>
      </c>
      <c r="G45" s="59">
        <v>-1056</v>
      </c>
      <c r="H45" s="59">
        <v>5067</v>
      </c>
      <c r="I45" s="59">
        <v>17071</v>
      </c>
      <c r="J45" s="59">
        <v>13129</v>
      </c>
      <c r="K45" s="59">
        <v>25207</v>
      </c>
      <c r="L45" s="59">
        <v>46630</v>
      </c>
      <c r="M45" s="59">
        <v>29421</v>
      </c>
      <c r="N45" s="59">
        <v>39995</v>
      </c>
      <c r="O45" s="59">
        <v>44929</v>
      </c>
      <c r="P45" s="59">
        <v>49081</v>
      </c>
      <c r="Q45" s="59">
        <v>52587</v>
      </c>
      <c r="R45" s="59">
        <v>71821</v>
      </c>
      <c r="S45" s="59">
        <v>140964</v>
      </c>
      <c r="T45" s="59">
        <v>353581</v>
      </c>
      <c r="U45" s="59">
        <v>273102</v>
      </c>
      <c r="V45" s="59">
        <v>375161</v>
      </c>
      <c r="W45" s="59">
        <v>261528</v>
      </c>
      <c r="X45" s="59">
        <v>79639</v>
      </c>
      <c r="Y45" s="59">
        <v>71755</v>
      </c>
      <c r="Z45" s="67">
        <v>170662</v>
      </c>
      <c r="AA45" s="67">
        <v>91573</v>
      </c>
      <c r="AB45" s="67">
        <v>143361</v>
      </c>
      <c r="AC45" s="67">
        <v>69944</v>
      </c>
      <c r="AD45" s="321"/>
    </row>
    <row r="46" spans="2:30" ht="21" customHeight="1">
      <c r="B46" s="260" t="s">
        <v>95</v>
      </c>
      <c r="C46" s="260"/>
      <c r="D46" s="260"/>
      <c r="E46" s="67">
        <v>528095</v>
      </c>
      <c r="F46" s="67">
        <v>710527</v>
      </c>
      <c r="G46" s="67">
        <v>444149</v>
      </c>
      <c r="H46" s="67">
        <v>372950</v>
      </c>
      <c r="I46" s="67">
        <v>621866</v>
      </c>
      <c r="J46" s="67">
        <v>496728</v>
      </c>
      <c r="K46" s="67">
        <v>685623</v>
      </c>
      <c r="L46" s="67">
        <v>367589</v>
      </c>
      <c r="M46" s="67">
        <v>474034</v>
      </c>
      <c r="N46" s="67">
        <v>570021</v>
      </c>
      <c r="O46" s="67">
        <v>452903</v>
      </c>
      <c r="P46" s="67">
        <v>447338</v>
      </c>
      <c r="Q46" s="67">
        <v>539228</v>
      </c>
      <c r="R46" s="67">
        <v>208206</v>
      </c>
      <c r="S46" s="67">
        <v>819962</v>
      </c>
      <c r="T46" s="67">
        <v>2361292</v>
      </c>
      <c r="U46" s="67">
        <v>2410901</v>
      </c>
      <c r="V46" s="67">
        <v>5075773</v>
      </c>
      <c r="W46" s="67">
        <v>2514733</v>
      </c>
      <c r="X46" s="67">
        <v>2471796</v>
      </c>
      <c r="Y46" s="67">
        <v>1553031</v>
      </c>
      <c r="Z46" s="67">
        <v>1937320</v>
      </c>
      <c r="AA46" s="67">
        <v>866918</v>
      </c>
      <c r="AB46" s="67">
        <v>-788167</v>
      </c>
      <c r="AC46" s="67">
        <v>789117</v>
      </c>
      <c r="AD46" s="321"/>
    </row>
    <row r="47" spans="2:30" ht="21" customHeight="1">
      <c r="B47" s="406" t="s">
        <v>96</v>
      </c>
      <c r="C47" s="406"/>
      <c r="D47" s="406"/>
      <c r="E47" s="60">
        <v>0.22500000000000001</v>
      </c>
      <c r="F47" s="60">
        <v>0.27700000000000002</v>
      </c>
      <c r="G47" s="60">
        <v>0.16200000000000001</v>
      </c>
      <c r="H47" s="60">
        <v>0.121</v>
      </c>
      <c r="I47" s="60">
        <v>0.192</v>
      </c>
      <c r="J47" s="60">
        <v>0.155</v>
      </c>
      <c r="K47" s="60">
        <v>0.17799999999999999</v>
      </c>
      <c r="L47" s="60">
        <v>0.107</v>
      </c>
      <c r="M47" s="60">
        <v>0.13400000000000001</v>
      </c>
      <c r="N47" s="60">
        <v>0.154</v>
      </c>
      <c r="O47" s="60">
        <v>0.11799999999999999</v>
      </c>
      <c r="P47" s="60">
        <v>0.11600000000000001</v>
      </c>
      <c r="Q47" s="60">
        <v>0.14199999999999999</v>
      </c>
      <c r="R47" s="60">
        <v>8.5868236060732905E-2</v>
      </c>
      <c r="S47" s="60">
        <v>0.187</v>
      </c>
      <c r="T47" s="60">
        <v>0.43099999999999999</v>
      </c>
      <c r="U47" s="60">
        <v>0.34100000000000003</v>
      </c>
      <c r="V47" s="60">
        <v>0.52900000000000003</v>
      </c>
      <c r="W47" s="60">
        <v>0.27862073962769879</v>
      </c>
      <c r="X47" s="60">
        <v>0.30708538746764591</v>
      </c>
      <c r="Y47" s="60">
        <v>0.19797331887931746</v>
      </c>
      <c r="Z47" s="60">
        <v>0.22707953855494839</v>
      </c>
      <c r="AA47" s="60">
        <v>0.10278328365202327</v>
      </c>
      <c r="AB47" s="60">
        <v>-0.10289418661363953</v>
      </c>
      <c r="AC47" s="60">
        <v>0.10876497829364644</v>
      </c>
      <c r="AD47" s="321"/>
    </row>
    <row r="48" spans="2:30" ht="30" customHeight="1">
      <c r="B48" s="262" t="s">
        <v>97</v>
      </c>
      <c r="C48" s="262"/>
      <c r="D48" s="262"/>
      <c r="E48" s="67">
        <v>532769</v>
      </c>
      <c r="F48" s="67">
        <v>749852</v>
      </c>
      <c r="G48" s="67">
        <v>452784</v>
      </c>
      <c r="H48" s="67">
        <v>450378</v>
      </c>
      <c r="I48" s="67">
        <v>641202</v>
      </c>
      <c r="J48" s="67">
        <v>518813</v>
      </c>
      <c r="K48" s="67">
        <v>702762</v>
      </c>
      <c r="L48" s="67">
        <v>830293</v>
      </c>
      <c r="M48" s="67">
        <v>487512</v>
      </c>
      <c r="N48" s="67">
        <v>575882</v>
      </c>
      <c r="O48" s="67">
        <v>441169</v>
      </c>
      <c r="P48" s="67">
        <v>468447</v>
      </c>
      <c r="Q48" s="67">
        <v>568941</v>
      </c>
      <c r="R48" s="67">
        <v>191639</v>
      </c>
      <c r="S48" s="67">
        <v>825980</v>
      </c>
      <c r="T48" s="67">
        <v>1607060</v>
      </c>
      <c r="U48" s="67">
        <v>2419761</v>
      </c>
      <c r="V48" s="67">
        <v>5065644</v>
      </c>
      <c r="W48" s="67">
        <v>2886314</v>
      </c>
      <c r="X48" s="67">
        <v>2458119</v>
      </c>
      <c r="Y48" s="67">
        <v>1559920</v>
      </c>
      <c r="Z48" s="67">
        <v>1929894</v>
      </c>
      <c r="AA48" s="67">
        <v>835626</v>
      </c>
      <c r="AB48" s="67">
        <v>579141</v>
      </c>
      <c r="AC48" s="67">
        <v>782761</v>
      </c>
      <c r="AD48" s="321"/>
    </row>
    <row r="49" spans="2:30" ht="21" customHeight="1">
      <c r="B49" s="406" t="s">
        <v>98</v>
      </c>
      <c r="C49" s="406"/>
      <c r="D49" s="406"/>
      <c r="E49" s="60">
        <v>0.22700000000000001</v>
      </c>
      <c r="F49" s="60">
        <v>0.29199999999999998</v>
      </c>
      <c r="G49" s="60">
        <v>0.16500000000000001</v>
      </c>
      <c r="H49" s="60">
        <v>0.14599999999999999</v>
      </c>
      <c r="I49" s="60">
        <v>0.19800000000000001</v>
      </c>
      <c r="J49" s="60">
        <v>0.16200000000000001</v>
      </c>
      <c r="K49" s="60">
        <v>0.182</v>
      </c>
      <c r="L49" s="60">
        <v>0.24199999999999999</v>
      </c>
      <c r="M49" s="60">
        <v>0.13800000000000001</v>
      </c>
      <c r="N49" s="60">
        <v>0.156</v>
      </c>
      <c r="O49" s="60">
        <v>0.115</v>
      </c>
      <c r="P49" s="60">
        <v>0.121</v>
      </c>
      <c r="Q49" s="60">
        <v>0.14899999999999999</v>
      </c>
      <c r="R49" s="60">
        <v>7.9035680482036033E-2</v>
      </c>
      <c r="S49" s="60">
        <v>0.189</v>
      </c>
      <c r="T49" s="60">
        <v>0.29399999999999998</v>
      </c>
      <c r="U49" s="60">
        <v>0.34200000000000003</v>
      </c>
      <c r="V49" s="60">
        <v>0.52800000000000002</v>
      </c>
      <c r="W49" s="60">
        <v>0.31979018904900913</v>
      </c>
      <c r="X49" s="60">
        <v>0.30538621534972232</v>
      </c>
      <c r="Y49" s="60">
        <v>0.1988514972246046</v>
      </c>
      <c r="Z49" s="60">
        <v>0.22620911309435898</v>
      </c>
      <c r="AA49" s="60">
        <v>9.9073250509281841E-2</v>
      </c>
      <c r="AB49" s="60">
        <v>7.5606111559618466E-2</v>
      </c>
      <c r="AC49" s="60">
        <v>0.10788892290257715</v>
      </c>
      <c r="AD49" s="321"/>
    </row>
    <row r="50" spans="2:30" ht="21" customHeight="1">
      <c r="B50" s="263" t="s">
        <v>99</v>
      </c>
      <c r="C50" s="263"/>
      <c r="D50" s="263"/>
      <c r="E50" s="62">
        <v>306341</v>
      </c>
      <c r="F50" s="62">
        <v>328601</v>
      </c>
      <c r="G50" s="62">
        <v>286572</v>
      </c>
      <c r="H50" s="62">
        <v>250337</v>
      </c>
      <c r="I50" s="62">
        <v>257104</v>
      </c>
      <c r="J50" s="62">
        <v>256332</v>
      </c>
      <c r="K50" s="62">
        <v>257514</v>
      </c>
      <c r="L50" s="62">
        <v>258585</v>
      </c>
      <c r="M50" s="62">
        <v>241020</v>
      </c>
      <c r="N50" s="62">
        <v>240920</v>
      </c>
      <c r="O50" s="62">
        <v>253663</v>
      </c>
      <c r="P50" s="62">
        <v>256182</v>
      </c>
      <c r="Q50" s="62">
        <v>248705</v>
      </c>
      <c r="R50" s="62">
        <v>250243</v>
      </c>
      <c r="S50" s="62">
        <v>248466</v>
      </c>
      <c r="T50" s="62">
        <v>252809</v>
      </c>
      <c r="U50" s="62">
        <v>248637</v>
      </c>
      <c r="V50" s="62">
        <v>250659</v>
      </c>
      <c r="W50" s="62">
        <v>243462</v>
      </c>
      <c r="X50" s="62">
        <v>239983</v>
      </c>
      <c r="Y50" s="62">
        <v>222750</v>
      </c>
      <c r="Z50" s="62">
        <v>220482</v>
      </c>
      <c r="AA50" s="62">
        <v>224953</v>
      </c>
      <c r="AB50" s="62">
        <v>234496</v>
      </c>
      <c r="AC50" s="62">
        <v>248670</v>
      </c>
      <c r="AD50" s="321"/>
    </row>
    <row r="51" spans="2:30">
      <c r="AD51" s="321"/>
    </row>
    <row r="52" spans="2:30">
      <c r="AD52" s="321"/>
    </row>
    <row r="53" spans="2:30">
      <c r="AD53" s="321"/>
    </row>
  </sheetData>
  <sortState xmlns:xlrd2="http://schemas.microsoft.com/office/spreadsheetml/2017/richdata2" ref="D16:R30">
    <sortCondition ref="D16:D30"/>
  </sortState>
  <mergeCells count="6">
    <mergeCell ref="B49:D49"/>
    <mergeCell ref="B8:D8"/>
    <mergeCell ref="B2:D2"/>
    <mergeCell ref="B33:D33"/>
    <mergeCell ref="B42:D42"/>
    <mergeCell ref="B47:D4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rgb="FF92D050"/>
  </sheetPr>
  <dimension ref="B1:Q51"/>
  <sheetViews>
    <sheetView showGridLines="0" zoomScale="50" zoomScaleNormal="50" workbookViewId="0">
      <pane xSplit="4" ySplit="2" topLeftCell="E6" activePane="bottomRight" state="frozen"/>
      <selection activeCell="AH23" sqref="AH23"/>
      <selection pane="topRight" activeCell="AH23" sqref="AH23"/>
      <selection pane="bottomLeft" activeCell="AH23" sqref="AH23"/>
      <selection pane="bottomRight" activeCell="A16" sqref="A16:XFD16"/>
    </sheetView>
  </sheetViews>
  <sheetFormatPr defaultRowHeight="15"/>
  <cols>
    <col min="1" max="3" width="5.28515625" customWidth="1"/>
    <col min="4" max="4" width="71.28515625" customWidth="1"/>
    <col min="5" max="14" width="21.42578125" customWidth="1"/>
    <col min="15" max="15" width="14.7109375" bestFit="1" customWidth="1"/>
  </cols>
  <sheetData>
    <row r="1" spans="2:14" ht="57" customHeight="1"/>
    <row r="2" spans="2:14" ht="21.75" customHeight="1">
      <c r="B2" s="409" t="s">
        <v>68</v>
      </c>
      <c r="C2" s="409"/>
      <c r="D2" s="410"/>
      <c r="E2" s="56">
        <v>2013</v>
      </c>
      <c r="F2" s="56">
        <v>2014</v>
      </c>
      <c r="G2" s="56">
        <v>2015</v>
      </c>
      <c r="H2" s="56">
        <v>2016</v>
      </c>
      <c r="I2" s="56">
        <v>2017</v>
      </c>
      <c r="J2" s="56">
        <v>2018</v>
      </c>
      <c r="K2" s="56">
        <v>2019</v>
      </c>
      <c r="L2" s="56">
        <v>2020</v>
      </c>
      <c r="M2" s="56">
        <v>2021</v>
      </c>
      <c r="N2" s="56">
        <v>2022</v>
      </c>
    </row>
    <row r="3" spans="2:14" ht="21.75" customHeight="1">
      <c r="B3" s="262" t="s">
        <v>51</v>
      </c>
      <c r="C3" s="262"/>
      <c r="D3" s="262"/>
      <c r="E3" s="57">
        <v>12829467</v>
      </c>
      <c r="F3" s="57">
        <v>11741629</v>
      </c>
      <c r="G3" s="57">
        <v>10185570</v>
      </c>
      <c r="H3" s="57">
        <v>8454200</v>
      </c>
      <c r="I3" s="57">
        <v>10734118</v>
      </c>
      <c r="J3" s="57">
        <v>13736780</v>
      </c>
      <c r="K3" s="57">
        <v>14948719</v>
      </c>
      <c r="L3" s="57">
        <v>16088052</v>
      </c>
      <c r="M3" s="57">
        <v>33736964</v>
      </c>
      <c r="N3" s="57">
        <v>32470510</v>
      </c>
    </row>
    <row r="4" spans="2:14" ht="21.75" customHeight="1">
      <c r="B4" s="263"/>
      <c r="C4" s="263" t="s">
        <v>246</v>
      </c>
      <c r="D4" s="263"/>
      <c r="E4" s="58">
        <v>11533164</v>
      </c>
      <c r="F4" s="58">
        <v>9998040</v>
      </c>
      <c r="G4" s="58">
        <v>8065297</v>
      </c>
      <c r="H4" s="58">
        <v>7469266</v>
      </c>
      <c r="I4" s="58">
        <v>9206707</v>
      </c>
      <c r="J4" s="58">
        <v>11401724</v>
      </c>
      <c r="K4" s="58">
        <v>12289660</v>
      </c>
      <c r="L4" s="58">
        <v>11764836</v>
      </c>
      <c r="M4" s="58">
        <v>26191415</v>
      </c>
      <c r="N4" s="58">
        <v>25971830</v>
      </c>
    </row>
    <row r="5" spans="2:14" ht="21.75" customHeight="1">
      <c r="B5" s="263"/>
      <c r="C5" s="263" t="s">
        <v>247</v>
      </c>
      <c r="D5" s="263"/>
      <c r="E5" s="58">
        <v>1296303</v>
      </c>
      <c r="F5" s="58">
        <v>1743589</v>
      </c>
      <c r="G5" s="58">
        <v>2120273</v>
      </c>
      <c r="H5" s="58">
        <v>984934</v>
      </c>
      <c r="I5" s="58">
        <v>1527411</v>
      </c>
      <c r="J5" s="58">
        <v>2335056</v>
      </c>
      <c r="K5" s="58">
        <v>2659059</v>
      </c>
      <c r="L5" s="58">
        <v>4323216</v>
      </c>
      <c r="M5" s="58">
        <v>7545549</v>
      </c>
      <c r="N5" s="58">
        <v>6498680</v>
      </c>
    </row>
    <row r="6" spans="2:14" ht="21.75" customHeight="1">
      <c r="B6" s="263" t="s">
        <v>256</v>
      </c>
      <c r="C6" s="263"/>
      <c r="D6" s="263"/>
      <c r="E6" s="58">
        <v>-11353664</v>
      </c>
      <c r="F6" s="58">
        <v>-10704864</v>
      </c>
      <c r="G6" s="58">
        <v>-10013018</v>
      </c>
      <c r="H6" s="58">
        <v>-7966878</v>
      </c>
      <c r="I6" s="58">
        <v>-9099024</v>
      </c>
      <c r="J6" s="58">
        <v>-11521694</v>
      </c>
      <c r="K6" s="58">
        <v>-13074129</v>
      </c>
      <c r="L6" s="58">
        <v>-12831522</v>
      </c>
      <c r="M6" s="58">
        <v>-22462636</v>
      </c>
      <c r="N6" s="58">
        <v>-26790835</v>
      </c>
    </row>
    <row r="7" spans="2:14" ht="21.75" customHeight="1">
      <c r="B7" s="262" t="s">
        <v>55</v>
      </c>
      <c r="C7" s="262"/>
      <c r="D7" s="262"/>
      <c r="E7" s="59">
        <v>1475803</v>
      </c>
      <c r="F7" s="59">
        <v>1036765</v>
      </c>
      <c r="G7" s="59">
        <v>172552</v>
      </c>
      <c r="H7" s="59">
        <v>487322</v>
      </c>
      <c r="I7" s="59">
        <v>1635094</v>
      </c>
      <c r="J7" s="59">
        <v>2215086</v>
      </c>
      <c r="K7" s="59">
        <v>1874590</v>
      </c>
      <c r="L7" s="59">
        <v>3256530</v>
      </c>
      <c r="M7" s="59">
        <v>11274328</v>
      </c>
      <c r="N7" s="59">
        <v>5679675</v>
      </c>
    </row>
    <row r="8" spans="2:14" ht="21.75" customHeight="1">
      <c r="B8" s="407" t="s">
        <v>70</v>
      </c>
      <c r="C8" s="407"/>
      <c r="D8" s="407"/>
      <c r="E8" s="60">
        <v>0.115</v>
      </c>
      <c r="F8" s="60">
        <v>8.7999999999999995E-2</v>
      </c>
      <c r="G8" s="60">
        <v>1.7000000000000001E-2</v>
      </c>
      <c r="H8" s="60">
        <v>5.8000000000000003E-2</v>
      </c>
      <c r="I8" s="60">
        <v>0.152</v>
      </c>
      <c r="J8" s="60">
        <v>0.161</v>
      </c>
      <c r="K8" s="60">
        <v>0.12540138054638661</v>
      </c>
      <c r="L8" s="60">
        <v>0.20200000000000001</v>
      </c>
      <c r="M8" s="60">
        <v>0.33418324185898884</v>
      </c>
      <c r="N8" s="60">
        <v>0.17491794862476753</v>
      </c>
    </row>
    <row r="9" spans="2:14" ht="21.75" customHeight="1">
      <c r="B9" s="262" t="s">
        <v>71</v>
      </c>
      <c r="C9" s="262"/>
      <c r="D9" s="262"/>
      <c r="E9" s="61">
        <v>-956124</v>
      </c>
      <c r="F9" s="61">
        <v>-513797</v>
      </c>
      <c r="G9" s="61">
        <v>-3897340</v>
      </c>
      <c r="H9" s="61">
        <v>-851775</v>
      </c>
      <c r="I9" s="61">
        <v>-906120</v>
      </c>
      <c r="J9" s="61">
        <v>-1333165</v>
      </c>
      <c r="K9" s="61">
        <v>-1102814</v>
      </c>
      <c r="L9" s="61">
        <v>-487824</v>
      </c>
      <c r="M9" s="61">
        <v>-2654</v>
      </c>
      <c r="N9" s="61">
        <v>-3234179</v>
      </c>
    </row>
    <row r="10" spans="2:14" ht="21.75" customHeight="1">
      <c r="B10" s="263"/>
      <c r="C10" s="263" t="s">
        <v>253</v>
      </c>
      <c r="D10" s="263"/>
      <c r="E10" s="58">
        <v>-336443</v>
      </c>
      <c r="F10" s="58">
        <v>-290930</v>
      </c>
      <c r="G10" s="58">
        <v>-258141</v>
      </c>
      <c r="H10" s="58">
        <v>-272731</v>
      </c>
      <c r="I10" s="58">
        <v>-250950</v>
      </c>
      <c r="J10" s="58">
        <v>-337404</v>
      </c>
      <c r="K10" s="58">
        <v>-288515</v>
      </c>
      <c r="L10" s="58">
        <v>-398385</v>
      </c>
      <c r="M10" s="58">
        <v>-570675</v>
      </c>
      <c r="N10" s="58">
        <v>-629494</v>
      </c>
    </row>
    <row r="11" spans="2:14" ht="21.75" customHeight="1">
      <c r="B11" s="263"/>
      <c r="C11" s="263"/>
      <c r="D11" s="263" t="s">
        <v>73</v>
      </c>
      <c r="E11" s="58">
        <v>-17049</v>
      </c>
      <c r="F11" s="58">
        <v>-9425</v>
      </c>
      <c r="G11" s="58">
        <v>-18358</v>
      </c>
      <c r="H11" s="58">
        <v>-55623</v>
      </c>
      <c r="I11" s="58">
        <v>-24313</v>
      </c>
      <c r="J11" s="58">
        <v>-41918</v>
      </c>
      <c r="K11" s="58">
        <v>18120</v>
      </c>
      <c r="L11" s="58">
        <v>-31487</v>
      </c>
      <c r="M11" s="58">
        <v>-3240</v>
      </c>
      <c r="N11" s="58">
        <v>2615</v>
      </c>
    </row>
    <row r="12" spans="2:14" ht="21.75" customHeight="1">
      <c r="B12" s="263"/>
      <c r="C12" s="263"/>
      <c r="D12" s="263" t="s">
        <v>74</v>
      </c>
      <c r="E12" s="58">
        <v>-319394</v>
      </c>
      <c r="F12" s="58">
        <v>-281505</v>
      </c>
      <c r="G12" s="58">
        <v>-239783</v>
      </c>
      <c r="H12" s="58">
        <v>-217108</v>
      </c>
      <c r="I12" s="58">
        <v>-226637</v>
      </c>
      <c r="J12" s="58">
        <v>-295486</v>
      </c>
      <c r="K12" s="58">
        <v>-306635</v>
      </c>
      <c r="L12" s="58">
        <v>-366898</v>
      </c>
      <c r="M12" s="58">
        <v>-567435</v>
      </c>
      <c r="N12" s="58">
        <v>-632109</v>
      </c>
    </row>
    <row r="13" spans="2:14" ht="21.75" customHeight="1">
      <c r="B13" s="263"/>
      <c r="C13" s="263" t="s">
        <v>254</v>
      </c>
      <c r="D13" s="263"/>
      <c r="E13" s="58">
        <v>-567982</v>
      </c>
      <c r="F13" s="58">
        <v>-501549</v>
      </c>
      <c r="G13" s="58">
        <v>-440121</v>
      </c>
      <c r="H13" s="58">
        <v>-354218</v>
      </c>
      <c r="I13" s="58">
        <v>-404393</v>
      </c>
      <c r="J13" s="58">
        <v>-440022</v>
      </c>
      <c r="K13" s="58">
        <v>-426905</v>
      </c>
      <c r="L13" s="58">
        <v>-426764</v>
      </c>
      <c r="M13" s="58">
        <v>-503114</v>
      </c>
      <c r="N13" s="58">
        <v>-588807</v>
      </c>
    </row>
    <row r="14" spans="2:14" ht="21.75" customHeight="1">
      <c r="B14" s="263"/>
      <c r="C14" s="263" t="s">
        <v>255</v>
      </c>
      <c r="D14" s="263"/>
      <c r="E14" s="58">
        <v>-51699</v>
      </c>
      <c r="F14" s="58">
        <v>278682</v>
      </c>
      <c r="G14" s="58">
        <v>-3199078</v>
      </c>
      <c r="H14" s="58">
        <v>-224826</v>
      </c>
      <c r="I14" s="58">
        <v>-250777</v>
      </c>
      <c r="J14" s="58">
        <v>-555739</v>
      </c>
      <c r="K14" s="58">
        <v>-387394</v>
      </c>
      <c r="L14" s="58">
        <v>337325</v>
      </c>
      <c r="M14" s="58">
        <v>1071135</v>
      </c>
      <c r="N14" s="58">
        <v>-2015878</v>
      </c>
    </row>
    <row r="15" spans="2:14" ht="21.75" customHeight="1">
      <c r="B15" s="263"/>
      <c r="C15" s="263"/>
      <c r="D15" s="263" t="s">
        <v>221</v>
      </c>
      <c r="E15" s="58">
        <v>0</v>
      </c>
      <c r="F15" s="58">
        <v>0</v>
      </c>
      <c r="G15" s="58">
        <v>2557533</v>
      </c>
      <c r="H15" s="58">
        <v>-343006</v>
      </c>
      <c r="I15" s="58">
        <v>-74892</v>
      </c>
      <c r="J15" s="58">
        <v>-472787</v>
      </c>
      <c r="K15" s="58">
        <v>-16426</v>
      </c>
      <c r="L15" s="58">
        <v>730654</v>
      </c>
      <c r="M15" s="58">
        <v>-397257</v>
      </c>
      <c r="N15" s="58">
        <v>-1396784</v>
      </c>
    </row>
    <row r="16" spans="2:14">
      <c r="B16" s="263"/>
      <c r="C16" s="263"/>
      <c r="D16" s="263" t="s">
        <v>217</v>
      </c>
      <c r="E16" s="58">
        <v>0</v>
      </c>
      <c r="F16" s="58">
        <v>0</v>
      </c>
      <c r="G16" s="58">
        <v>0</v>
      </c>
      <c r="H16" s="58">
        <v>0</v>
      </c>
      <c r="I16" s="58">
        <v>0</v>
      </c>
      <c r="J16" s="58">
        <v>418744</v>
      </c>
      <c r="K16" s="58">
        <v>86860</v>
      </c>
      <c r="L16" s="58">
        <v>46048</v>
      </c>
      <c r="M16" s="58">
        <v>1665061</v>
      </c>
      <c r="N16" s="58">
        <v>996</v>
      </c>
    </row>
    <row r="17" spans="2:17" ht="21.75" customHeight="1">
      <c r="B17" s="263"/>
      <c r="C17" s="263"/>
      <c r="D17" s="263" t="s">
        <v>218</v>
      </c>
      <c r="E17" s="58">
        <v>0</v>
      </c>
      <c r="F17" s="58">
        <v>0</v>
      </c>
      <c r="G17" s="58">
        <v>0</v>
      </c>
      <c r="H17" s="58">
        <v>0</v>
      </c>
      <c r="I17" s="58">
        <v>0</v>
      </c>
      <c r="J17" s="58">
        <v>186010</v>
      </c>
      <c r="K17" s="58">
        <v>117337</v>
      </c>
      <c r="L17" s="58" t="s">
        <v>25</v>
      </c>
      <c r="M17" s="58" t="s">
        <v>25</v>
      </c>
      <c r="N17" s="58" t="s">
        <v>25</v>
      </c>
    </row>
    <row r="18" spans="2:17" ht="21.75" customHeight="1">
      <c r="B18" s="263"/>
      <c r="C18" s="263"/>
      <c r="D18" s="263" t="s">
        <v>219</v>
      </c>
      <c r="E18" s="58">
        <v>0</v>
      </c>
      <c r="F18" s="58">
        <v>0</v>
      </c>
      <c r="G18" s="58">
        <v>0</v>
      </c>
      <c r="H18" s="58">
        <v>0</v>
      </c>
      <c r="I18" s="58">
        <v>0</v>
      </c>
      <c r="J18" s="58">
        <v>-55825</v>
      </c>
      <c r="K18" s="58">
        <v>0</v>
      </c>
      <c r="L18" s="58" t="s">
        <v>25</v>
      </c>
      <c r="M18" s="58" t="s">
        <v>25</v>
      </c>
      <c r="N18" s="58" t="s">
        <v>25</v>
      </c>
    </row>
    <row r="19" spans="2:17" ht="21.75" customHeight="1">
      <c r="B19" s="263"/>
      <c r="C19" s="263"/>
      <c r="D19" s="263" t="s">
        <v>220</v>
      </c>
      <c r="E19" s="58">
        <v>0</v>
      </c>
      <c r="F19" s="58">
        <v>0</v>
      </c>
      <c r="G19" s="58">
        <v>0</v>
      </c>
      <c r="H19" s="58">
        <v>0</v>
      </c>
      <c r="I19" s="58">
        <v>0</v>
      </c>
      <c r="J19" s="58">
        <v>-37493</v>
      </c>
      <c r="K19" s="58">
        <v>-29277</v>
      </c>
      <c r="L19" s="58">
        <v>-49675</v>
      </c>
      <c r="M19" s="58">
        <v>-208691</v>
      </c>
      <c r="N19" s="58">
        <v>-60009</v>
      </c>
    </row>
    <row r="20" spans="2:17" ht="21.75" customHeight="1">
      <c r="B20" s="263"/>
      <c r="C20" s="263"/>
      <c r="D20" s="263" t="s">
        <v>77</v>
      </c>
      <c r="E20" s="58">
        <v>29121</v>
      </c>
      <c r="F20" s="58">
        <v>11920</v>
      </c>
      <c r="G20" s="58">
        <v>22122</v>
      </c>
      <c r="H20" s="58">
        <v>844</v>
      </c>
      <c r="I20" s="58">
        <v>25420</v>
      </c>
      <c r="J20" s="58">
        <v>13155</v>
      </c>
      <c r="K20" s="58">
        <v>1197</v>
      </c>
      <c r="L20" s="58">
        <v>13955</v>
      </c>
      <c r="M20" s="58" t="s">
        <v>25</v>
      </c>
      <c r="N20" s="58" t="s">
        <v>25</v>
      </c>
    </row>
    <row r="21" spans="2:17" ht="21.75" customHeight="1">
      <c r="B21" s="263"/>
      <c r="C21" s="263"/>
      <c r="D21" s="263" t="s">
        <v>78</v>
      </c>
      <c r="E21" s="58"/>
      <c r="F21" s="58"/>
      <c r="G21" s="58"/>
      <c r="H21" s="58"/>
      <c r="I21" s="58">
        <v>-122830</v>
      </c>
      <c r="J21" s="278">
        <v>-146767</v>
      </c>
      <c r="K21" s="278">
        <v>-201921</v>
      </c>
      <c r="L21" s="278">
        <v>-32563</v>
      </c>
      <c r="M21" s="278">
        <v>-169523</v>
      </c>
      <c r="N21" s="278">
        <v>-76326</v>
      </c>
    </row>
    <row r="22" spans="2:17" ht="21.75" customHeight="1">
      <c r="B22" s="263"/>
      <c r="C22" s="263"/>
      <c r="D22" s="263" t="s">
        <v>274</v>
      </c>
      <c r="E22" s="58"/>
      <c r="F22" s="58"/>
      <c r="G22" s="58"/>
      <c r="H22" s="58"/>
      <c r="I22" s="58">
        <v>-15280</v>
      </c>
      <c r="J22" s="279">
        <v>-21289</v>
      </c>
      <c r="K22" s="279">
        <v>-39558</v>
      </c>
      <c r="L22" s="279">
        <v>-24994</v>
      </c>
      <c r="M22" s="279" t="s">
        <v>25</v>
      </c>
      <c r="N22" s="279" t="s">
        <v>25</v>
      </c>
    </row>
    <row r="23" spans="2:17" ht="21.75" customHeight="1">
      <c r="B23" s="263"/>
      <c r="C23" s="263"/>
      <c r="D23" s="263" t="s">
        <v>79</v>
      </c>
      <c r="E23" s="62">
        <v>94624</v>
      </c>
      <c r="F23" s="62">
        <v>53991</v>
      </c>
      <c r="G23" s="62">
        <v>-56747</v>
      </c>
      <c r="H23" s="62">
        <v>71473</v>
      </c>
      <c r="I23" s="62">
        <v>-1183</v>
      </c>
      <c r="J23" s="62">
        <v>-267</v>
      </c>
      <c r="K23" s="62">
        <v>5687</v>
      </c>
      <c r="L23" s="62">
        <v>174766</v>
      </c>
      <c r="M23" s="62">
        <v>64974</v>
      </c>
      <c r="N23" s="62">
        <v>74212</v>
      </c>
    </row>
    <row r="24" spans="2:17" ht="21.75" customHeight="1">
      <c r="B24" s="263"/>
      <c r="C24" s="263"/>
      <c r="D24" s="263" t="s">
        <v>80</v>
      </c>
      <c r="E24" s="62">
        <v>35156</v>
      </c>
      <c r="F24" s="62">
        <v>378810</v>
      </c>
      <c r="G24" s="62">
        <v>65380</v>
      </c>
      <c r="H24" s="62">
        <v>-132821</v>
      </c>
      <c r="I24" s="62">
        <v>14012</v>
      </c>
      <c r="J24" s="62">
        <v>12058</v>
      </c>
      <c r="K24" s="62">
        <v>47753</v>
      </c>
      <c r="L24" s="62">
        <v>-8545</v>
      </c>
      <c r="M24" s="58" t="s">
        <v>25</v>
      </c>
      <c r="N24" s="58" t="s">
        <v>25</v>
      </c>
      <c r="Q24" s="65">
        <f>L14-SUM(L15:L28)</f>
        <v>0</v>
      </c>
    </row>
    <row r="25" spans="2:17" ht="21" customHeight="1">
      <c r="B25" s="263"/>
      <c r="C25" s="263"/>
      <c r="D25" s="263" t="s">
        <v>273</v>
      </c>
      <c r="E25" s="62"/>
      <c r="F25" s="62">
        <v>0</v>
      </c>
      <c r="G25" s="62">
        <v>-164336</v>
      </c>
      <c r="H25" s="62">
        <v>-485145</v>
      </c>
      <c r="I25" s="62">
        <v>-403844</v>
      </c>
      <c r="J25" s="62">
        <v>-364040</v>
      </c>
      <c r="K25" s="62">
        <v>-276862</v>
      </c>
      <c r="L25" s="62">
        <v>-332548</v>
      </c>
      <c r="M25" s="62">
        <v>-229553</v>
      </c>
      <c r="N25" s="62">
        <v>-235352</v>
      </c>
    </row>
    <row r="26" spans="2:17" ht="21.75" customHeight="1">
      <c r="B26" s="263"/>
      <c r="C26" s="263"/>
      <c r="D26" s="263" t="s">
        <v>81</v>
      </c>
      <c r="E26" s="64"/>
      <c r="F26" s="64">
        <v>0</v>
      </c>
      <c r="G26" s="64">
        <v>0</v>
      </c>
      <c r="H26" s="64">
        <v>0</v>
      </c>
      <c r="I26" s="64">
        <v>201106</v>
      </c>
      <c r="J26" s="64">
        <v>0</v>
      </c>
      <c r="K26" s="64">
        <v>0</v>
      </c>
      <c r="L26" s="64" t="s">
        <v>25</v>
      </c>
      <c r="M26" s="58" t="s">
        <v>25</v>
      </c>
      <c r="N26" s="58" t="s">
        <v>25</v>
      </c>
    </row>
    <row r="27" spans="2:17" ht="21.75" customHeight="1">
      <c r="B27" s="263"/>
      <c r="C27" s="263"/>
      <c r="D27" s="263" t="s">
        <v>82</v>
      </c>
      <c r="E27" s="64"/>
      <c r="F27" s="64">
        <v>0</v>
      </c>
      <c r="G27" s="64">
        <v>0</v>
      </c>
      <c r="H27" s="64">
        <v>176299</v>
      </c>
      <c r="I27" s="64">
        <v>237492</v>
      </c>
      <c r="J27" s="64">
        <v>36063</v>
      </c>
      <c r="K27" s="64">
        <v>0</v>
      </c>
      <c r="L27" s="64" t="s">
        <v>25</v>
      </c>
      <c r="M27" s="64" t="s">
        <v>25</v>
      </c>
      <c r="N27" s="64" t="s">
        <v>25</v>
      </c>
    </row>
    <row r="28" spans="2:17" ht="21.75" customHeight="1">
      <c r="B28" s="263"/>
      <c r="C28" s="263"/>
      <c r="D28" s="263" t="s">
        <v>83</v>
      </c>
      <c r="E28" s="64">
        <v>-210600</v>
      </c>
      <c r="F28" s="66">
        <v>-166039</v>
      </c>
      <c r="G28" s="66">
        <v>-5623030</v>
      </c>
      <c r="H28" s="66">
        <v>487530</v>
      </c>
      <c r="I28" s="66">
        <v>-110778</v>
      </c>
      <c r="J28" s="66">
        <v>-123301</v>
      </c>
      <c r="K28" s="66">
        <v>-82184</v>
      </c>
      <c r="L28" s="66">
        <v>-179773</v>
      </c>
      <c r="M28" s="66">
        <v>346124</v>
      </c>
      <c r="N28" s="66">
        <v>-322615</v>
      </c>
    </row>
    <row r="29" spans="2:17" ht="21" customHeight="1">
      <c r="B29" s="262" t="s">
        <v>84</v>
      </c>
      <c r="C29" s="262"/>
      <c r="D29" s="262"/>
      <c r="E29" s="59">
        <v>519679</v>
      </c>
      <c r="F29" s="59">
        <v>522968</v>
      </c>
      <c r="G29" s="59">
        <v>-3724788</v>
      </c>
      <c r="H29" s="59">
        <v>-364453</v>
      </c>
      <c r="I29" s="59">
        <v>728974</v>
      </c>
      <c r="J29" s="59">
        <v>881921</v>
      </c>
      <c r="K29" s="59">
        <v>771776</v>
      </c>
      <c r="L29" s="59">
        <v>2768706</v>
      </c>
      <c r="M29" s="59">
        <v>11271674</v>
      </c>
      <c r="N29" s="59">
        <v>2445496</v>
      </c>
    </row>
    <row r="30" spans="2:17" ht="21.75" customHeight="1">
      <c r="B30" s="407" t="s">
        <v>85</v>
      </c>
      <c r="C30" s="407"/>
      <c r="D30" s="407"/>
      <c r="E30" s="68">
        <v>4.1000000000000002E-2</v>
      </c>
      <c r="F30" s="68">
        <v>4.4999999999999998E-2</v>
      </c>
      <c r="G30" s="68">
        <v>-0.36599999999999999</v>
      </c>
      <c r="H30" s="68">
        <v>4.2999999999999997E-2</v>
      </c>
      <c r="I30" s="68">
        <v>6.8000000000000005E-2</v>
      </c>
      <c r="J30" s="68">
        <v>6.4000000000000001E-2</v>
      </c>
      <c r="K30" s="68">
        <v>5.1628236506419047E-2</v>
      </c>
      <c r="L30" s="68">
        <v>0.17199999999999999</v>
      </c>
      <c r="M30" s="68">
        <v>0.3341045744365142</v>
      </c>
      <c r="N30" s="68">
        <v>7.5314369869767986E-2</v>
      </c>
    </row>
    <row r="31" spans="2:17" ht="21.75" customHeight="1">
      <c r="B31" s="262" t="s">
        <v>86</v>
      </c>
      <c r="C31" s="262"/>
      <c r="D31" s="262"/>
      <c r="E31" s="59">
        <v>-895209</v>
      </c>
      <c r="F31" s="59">
        <v>-522831</v>
      </c>
      <c r="G31" s="59">
        <v>-1245693</v>
      </c>
      <c r="H31" s="59">
        <v>-30156</v>
      </c>
      <c r="I31" s="59">
        <v>-462920</v>
      </c>
      <c r="J31" s="59">
        <v>93045</v>
      </c>
      <c r="K31" s="59">
        <v>-509839</v>
      </c>
      <c r="L31" s="59">
        <v>-1082492</v>
      </c>
      <c r="M31" s="59">
        <v>845815</v>
      </c>
      <c r="N31" s="59">
        <v>612493</v>
      </c>
    </row>
    <row r="32" spans="2:17" ht="21.75" customHeight="1">
      <c r="B32" s="263"/>
      <c r="C32" s="263" t="s">
        <v>257</v>
      </c>
      <c r="D32" s="263"/>
      <c r="E32" s="62">
        <v>568841</v>
      </c>
      <c r="F32" s="62">
        <v>543953</v>
      </c>
      <c r="G32" s="62">
        <v>428538</v>
      </c>
      <c r="H32" s="62">
        <v>671218</v>
      </c>
      <c r="I32" s="62">
        <v>561238</v>
      </c>
      <c r="J32" s="62">
        <v>1169147</v>
      </c>
      <c r="K32" s="62">
        <v>622022</v>
      </c>
      <c r="L32" s="62">
        <v>262691</v>
      </c>
      <c r="M32" s="62">
        <v>1809297</v>
      </c>
      <c r="N32" s="62">
        <v>1254477</v>
      </c>
    </row>
    <row r="33" spans="2:14" ht="21.75" customHeight="1">
      <c r="B33" s="263"/>
      <c r="C33" s="263" t="s">
        <v>258</v>
      </c>
      <c r="D33" s="263"/>
      <c r="E33" s="62">
        <v>-1464050</v>
      </c>
      <c r="F33" s="62">
        <v>-1066784</v>
      </c>
      <c r="G33" s="62">
        <v>-1674231</v>
      </c>
      <c r="H33" s="62">
        <v>-701374</v>
      </c>
      <c r="I33" s="62">
        <v>-1002557</v>
      </c>
      <c r="J33" s="62">
        <v>-912707</v>
      </c>
      <c r="K33" s="62">
        <v>-946693</v>
      </c>
      <c r="L33" s="62">
        <v>-580628</v>
      </c>
      <c r="M33" s="62">
        <v>-673217</v>
      </c>
      <c r="N33" s="62">
        <v>-866150</v>
      </c>
    </row>
    <row r="34" spans="2:14" ht="21.75" customHeight="1">
      <c r="B34" s="263"/>
      <c r="C34" s="263" t="s">
        <v>259</v>
      </c>
      <c r="D34" s="263"/>
      <c r="E34" s="62">
        <v>-240566</v>
      </c>
      <c r="F34" s="62">
        <v>-193118</v>
      </c>
      <c r="G34" s="62">
        <v>-1072090</v>
      </c>
      <c r="H34" s="62">
        <v>639098</v>
      </c>
      <c r="I34" s="62">
        <v>-21601</v>
      </c>
      <c r="J34" s="62">
        <v>-163395</v>
      </c>
      <c r="K34" s="62">
        <v>-185168</v>
      </c>
      <c r="L34" s="62">
        <v>-764555</v>
      </c>
      <c r="M34" s="62">
        <v>-290265</v>
      </c>
      <c r="N34" s="62">
        <v>224166</v>
      </c>
    </row>
    <row r="35" spans="2:14" ht="21.75" customHeight="1">
      <c r="B35" s="263" t="s">
        <v>87</v>
      </c>
      <c r="C35" s="263"/>
      <c r="D35" s="263"/>
      <c r="E35" s="62">
        <v>181201</v>
      </c>
      <c r="F35" s="62">
        <v>183780</v>
      </c>
      <c r="G35" s="62">
        <v>95582</v>
      </c>
      <c r="H35" s="62">
        <v>142860</v>
      </c>
      <c r="I35" s="62">
        <v>154896</v>
      </c>
      <c r="J35" s="62">
        <v>260350</v>
      </c>
      <c r="K35" s="62">
        <v>180735</v>
      </c>
      <c r="L35" s="62">
        <v>159759</v>
      </c>
      <c r="M35" s="62">
        <v>218788</v>
      </c>
      <c r="N35" s="62">
        <v>220925</v>
      </c>
    </row>
    <row r="36" spans="2:14" ht="21.75" customHeight="1">
      <c r="B36" s="262" t="s">
        <v>88</v>
      </c>
      <c r="C36" s="262"/>
      <c r="D36" s="262"/>
      <c r="E36" s="59">
        <v>-194329</v>
      </c>
      <c r="F36" s="59">
        <v>183917</v>
      </c>
      <c r="G36" s="59">
        <v>-4874899</v>
      </c>
      <c r="H36" s="59">
        <v>-251748</v>
      </c>
      <c r="I36" s="59">
        <v>420950</v>
      </c>
      <c r="J36" s="59">
        <v>1235316</v>
      </c>
      <c r="K36" s="59">
        <v>442672</v>
      </c>
      <c r="L36" s="59">
        <v>1845973</v>
      </c>
      <c r="M36" s="59">
        <v>12336277</v>
      </c>
      <c r="N36" s="59">
        <v>3278914</v>
      </c>
    </row>
    <row r="37" spans="2:14" ht="21.75" customHeight="1">
      <c r="B37" s="263" t="s">
        <v>260</v>
      </c>
      <c r="E37" s="62">
        <v>211120</v>
      </c>
      <c r="F37" s="62">
        <v>24562</v>
      </c>
      <c r="G37" s="62">
        <v>1189922</v>
      </c>
      <c r="H37" s="62">
        <v>-325095</v>
      </c>
      <c r="I37" s="62">
        <v>-105870</v>
      </c>
      <c r="J37" s="62">
        <v>-406621</v>
      </c>
      <c r="K37" s="62">
        <v>-65981</v>
      </c>
      <c r="L37" s="62">
        <v>-554230</v>
      </c>
      <c r="M37" s="62">
        <v>-2276323</v>
      </c>
      <c r="N37" s="62">
        <v>-1186025</v>
      </c>
    </row>
    <row r="38" spans="2:14" ht="21.75" customHeight="1">
      <c r="B38" s="262" t="s">
        <v>90</v>
      </c>
      <c r="C38" s="262"/>
      <c r="D38" s="262"/>
      <c r="E38" s="69">
        <v>16791</v>
      </c>
      <c r="F38" s="69">
        <v>208479</v>
      </c>
      <c r="G38" s="69">
        <v>-3684977</v>
      </c>
      <c r="H38" s="69">
        <v>-576843</v>
      </c>
      <c r="I38" s="69">
        <v>315080</v>
      </c>
      <c r="J38" s="69">
        <v>828695</v>
      </c>
      <c r="K38" s="69">
        <v>376691</v>
      </c>
      <c r="L38" s="69">
        <v>1291743</v>
      </c>
      <c r="M38" s="69">
        <v>10059954</v>
      </c>
      <c r="N38" s="69">
        <v>2092889</v>
      </c>
    </row>
    <row r="39" spans="2:14" ht="21.75" customHeight="1">
      <c r="B39" s="407" t="s">
        <v>91</v>
      </c>
      <c r="C39" s="407"/>
      <c r="D39" s="407"/>
      <c r="E39" s="68">
        <v>1E-3</v>
      </c>
      <c r="F39" s="68">
        <v>1.7999999999999999E-2</v>
      </c>
      <c r="G39" s="68">
        <v>-0.36199999999999999</v>
      </c>
      <c r="H39" s="68">
        <v>-6.8000000000000005E-2</v>
      </c>
      <c r="I39" s="68">
        <v>2.9000000000000001E-2</v>
      </c>
      <c r="J39" s="68">
        <v>6.0999999999999999E-2</v>
      </c>
      <c r="K39" s="68">
        <v>2.5198881589787059E-2</v>
      </c>
      <c r="L39" s="68">
        <v>0.08</v>
      </c>
      <c r="M39" s="68">
        <v>0.29818788673456215</v>
      </c>
      <c r="N39" s="68">
        <v>6.4455070154426281E-2</v>
      </c>
    </row>
    <row r="40" spans="2:14" ht="21.75" customHeight="1">
      <c r="B40" s="263" t="s">
        <v>92</v>
      </c>
      <c r="C40" s="263"/>
      <c r="D40" s="263"/>
      <c r="E40" s="70"/>
      <c r="F40" s="70"/>
      <c r="G40" s="70"/>
      <c r="H40" s="70"/>
      <c r="I40" s="70"/>
      <c r="J40" s="70"/>
      <c r="K40" s="70"/>
      <c r="L40" s="70"/>
      <c r="M40" s="70"/>
      <c r="N40" s="70"/>
    </row>
    <row r="41" spans="2:14" ht="21.75" customHeight="1">
      <c r="B41" s="262" t="s">
        <v>93</v>
      </c>
      <c r="C41" s="262"/>
      <c r="D41" s="262"/>
      <c r="E41" s="59">
        <v>-141678</v>
      </c>
      <c r="F41" s="59">
        <v>129552</v>
      </c>
      <c r="G41" s="59">
        <v>-3236105</v>
      </c>
      <c r="H41" s="59">
        <v>-669952</v>
      </c>
      <c r="I41" s="59">
        <v>233015</v>
      </c>
      <c r="J41" s="59">
        <v>726658</v>
      </c>
      <c r="K41" s="59">
        <v>213265</v>
      </c>
      <c r="L41" s="59">
        <v>672790</v>
      </c>
      <c r="M41" s="59">
        <v>9070524</v>
      </c>
      <c r="N41" s="59">
        <v>1615538</v>
      </c>
    </row>
    <row r="42" spans="2:14" ht="21.75" customHeight="1">
      <c r="B42" s="262" t="s">
        <v>94</v>
      </c>
      <c r="C42" s="262"/>
      <c r="D42" s="262"/>
      <c r="E42" s="59">
        <v>158469</v>
      </c>
      <c r="F42" s="59">
        <v>78927</v>
      </c>
      <c r="G42" s="59">
        <v>-448872</v>
      </c>
      <c r="H42" s="59">
        <v>93109</v>
      </c>
      <c r="I42" s="59">
        <v>82065</v>
      </c>
      <c r="J42" s="59">
        <v>102037</v>
      </c>
      <c r="K42" s="59">
        <v>163426</v>
      </c>
      <c r="L42" s="59">
        <v>618953</v>
      </c>
      <c r="M42" s="59">
        <v>989430</v>
      </c>
      <c r="N42" s="59">
        <v>477351</v>
      </c>
    </row>
    <row r="43" spans="2:14" ht="21.75" customHeight="1">
      <c r="B43" s="262" t="s">
        <v>95</v>
      </c>
      <c r="C43" s="262"/>
      <c r="D43" s="262"/>
      <c r="E43" s="67">
        <v>1773313</v>
      </c>
      <c r="F43" s="67">
        <v>1821345</v>
      </c>
      <c r="G43" s="67">
        <v>-2317507</v>
      </c>
      <c r="H43" s="67">
        <v>994899</v>
      </c>
      <c r="I43" s="67">
        <v>2055721</v>
      </c>
      <c r="J43" s="67">
        <v>2171806</v>
      </c>
      <c r="K43" s="67">
        <v>1944296</v>
      </c>
      <c r="L43" s="67">
        <v>3928688</v>
      </c>
      <c r="M43" s="67">
        <v>12473203</v>
      </c>
      <c r="N43" s="67">
        <v>3569102</v>
      </c>
    </row>
    <row r="44" spans="2:14" ht="21.75" customHeight="1">
      <c r="B44" s="407" t="s">
        <v>96</v>
      </c>
      <c r="C44" s="407"/>
      <c r="D44" s="407"/>
      <c r="E44" s="60">
        <v>0.13800000000000001</v>
      </c>
      <c r="F44" s="60">
        <v>0.155</v>
      </c>
      <c r="G44" s="60">
        <v>-0.22800000000000001</v>
      </c>
      <c r="H44" s="60">
        <v>0.11799999999999999</v>
      </c>
      <c r="I44" s="60">
        <v>0.192</v>
      </c>
      <c r="J44" s="60">
        <v>0.158</v>
      </c>
      <c r="K44" s="60">
        <v>0.13006438879478568</v>
      </c>
      <c r="L44" s="60">
        <v>0.24399999999999999</v>
      </c>
      <c r="M44" s="60">
        <v>0.36971918990695191</v>
      </c>
      <c r="N44" s="60">
        <v>0.10991826121610039</v>
      </c>
    </row>
    <row r="45" spans="2:14" ht="21.75" customHeight="1">
      <c r="B45" s="262" t="s">
        <v>97</v>
      </c>
      <c r="C45" s="262"/>
      <c r="D45" s="262"/>
      <c r="E45" s="67">
        <v>1806426</v>
      </c>
      <c r="F45" s="67">
        <v>1863071</v>
      </c>
      <c r="G45" s="67">
        <v>291472</v>
      </c>
      <c r="H45" s="67">
        <v>660375</v>
      </c>
      <c r="I45" s="67">
        <v>2185783</v>
      </c>
      <c r="J45" s="67">
        <v>2693070</v>
      </c>
      <c r="K45" s="67">
        <v>1973010</v>
      </c>
      <c r="L45" s="67">
        <v>3193620</v>
      </c>
      <c r="M45" s="67">
        <v>12829838</v>
      </c>
      <c r="N45" s="67">
        <v>4904581</v>
      </c>
    </row>
    <row r="46" spans="2:14" ht="21.75" customHeight="1">
      <c r="B46" s="407" t="s">
        <v>98</v>
      </c>
      <c r="C46" s="407"/>
      <c r="D46" s="407"/>
      <c r="E46" s="60">
        <v>0.14099999999999999</v>
      </c>
      <c r="F46" s="60">
        <v>0.159</v>
      </c>
      <c r="G46" s="60">
        <v>2.9000000000000001E-2</v>
      </c>
      <c r="H46" s="60">
        <v>7.8E-2</v>
      </c>
      <c r="I46" s="60">
        <v>0.20399999999999999</v>
      </c>
      <c r="J46" s="60">
        <v>0.19600000000000001</v>
      </c>
      <c r="K46" s="60">
        <v>0.13198522227891232</v>
      </c>
      <c r="L46" s="60">
        <v>0.19900000000000001</v>
      </c>
      <c r="M46" s="60">
        <v>0.38029023595602734</v>
      </c>
      <c r="N46" s="60">
        <v>0.15104724255947935</v>
      </c>
    </row>
    <row r="47" spans="2:14" ht="21.75" customHeight="1">
      <c r="B47" s="263" t="s">
        <v>99</v>
      </c>
      <c r="C47" s="263"/>
      <c r="D47" s="263"/>
      <c r="E47" s="62">
        <v>1072433</v>
      </c>
      <c r="F47" s="62">
        <v>1114597</v>
      </c>
      <c r="G47" s="62">
        <v>1311699</v>
      </c>
      <c r="H47" s="62">
        <v>1216491</v>
      </c>
      <c r="I47" s="62">
        <v>1171851</v>
      </c>
      <c r="J47" s="62">
        <v>1029535</v>
      </c>
      <c r="K47" s="62">
        <v>991785</v>
      </c>
      <c r="L47" s="62">
        <v>1000223</v>
      </c>
      <c r="M47" s="62">
        <v>982741</v>
      </c>
      <c r="N47" s="62">
        <v>902681</v>
      </c>
    </row>
    <row r="51" spans="16:16">
      <c r="P51" s="371"/>
    </row>
  </sheetData>
  <mergeCells count="6">
    <mergeCell ref="B46:D46"/>
    <mergeCell ref="B2:D2"/>
    <mergeCell ref="B8:D8"/>
    <mergeCell ref="B30:D30"/>
    <mergeCell ref="B39:D39"/>
    <mergeCell ref="B44:D4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8" tint="0.59999389629810485"/>
  </sheetPr>
  <dimension ref="B1:AD58"/>
  <sheetViews>
    <sheetView showGridLines="0" zoomScale="60" zoomScaleNormal="60" workbookViewId="0">
      <pane xSplit="2" ySplit="3" topLeftCell="R22" activePane="bottomRight" state="frozen"/>
      <selection activeCell="AH23" sqref="AH23"/>
      <selection pane="topRight" activeCell="AH23" sqref="AH23"/>
      <selection pane="bottomLeft" activeCell="AH23" sqref="AH23"/>
      <selection pane="bottomRight" activeCell="Z36" sqref="Z36:Z44"/>
    </sheetView>
  </sheetViews>
  <sheetFormatPr defaultRowHeight="15"/>
  <cols>
    <col min="2" max="2" width="65.85546875" bestFit="1" customWidth="1"/>
    <col min="3" max="5" width="18.42578125" bestFit="1" customWidth="1"/>
    <col min="6" max="6" width="18.42578125" customWidth="1"/>
    <col min="7" max="8" width="18.42578125" bestFit="1" customWidth="1"/>
    <col min="9" max="27" width="18.42578125" customWidth="1"/>
    <col min="28" max="28" width="15.140625" bestFit="1" customWidth="1"/>
    <col min="30" max="30" width="11.85546875" bestFit="1" customWidth="1"/>
  </cols>
  <sheetData>
    <row r="1" spans="2:30" ht="56.25" customHeight="1"/>
    <row r="2" spans="2:30">
      <c r="B2" s="411" t="s">
        <v>100</v>
      </c>
      <c r="C2" s="411"/>
      <c r="D2" s="411"/>
      <c r="E2" s="411"/>
      <c r="F2" s="411"/>
      <c r="G2" s="411"/>
      <c r="H2" s="411"/>
      <c r="I2" s="411"/>
      <c r="J2" s="411"/>
      <c r="K2" s="411"/>
      <c r="L2" s="411"/>
      <c r="M2" s="411"/>
      <c r="N2" s="271"/>
      <c r="O2" s="271"/>
      <c r="P2" s="271"/>
      <c r="Q2" s="271"/>
      <c r="R2" s="271"/>
      <c r="S2" s="271"/>
      <c r="T2" s="271"/>
      <c r="U2" s="271"/>
      <c r="V2" s="271"/>
      <c r="W2" s="271"/>
      <c r="X2" s="271"/>
      <c r="Y2" s="271"/>
      <c r="Z2" s="271"/>
      <c r="AA2" s="271"/>
    </row>
    <row r="3" spans="2:30" ht="15.75">
      <c r="B3" s="71" t="s">
        <v>101</v>
      </c>
      <c r="C3" s="72">
        <v>42825</v>
      </c>
      <c r="D3" s="72">
        <v>42916</v>
      </c>
      <c r="E3" s="72">
        <v>43008</v>
      </c>
      <c r="F3" s="72">
        <v>43100</v>
      </c>
      <c r="G3" s="72">
        <v>43190</v>
      </c>
      <c r="H3" s="72">
        <v>43281</v>
      </c>
      <c r="I3" s="72">
        <v>43373</v>
      </c>
      <c r="J3" s="162">
        <v>43465</v>
      </c>
      <c r="K3" s="162">
        <v>43555</v>
      </c>
      <c r="L3" s="162">
        <v>43646</v>
      </c>
      <c r="M3" s="162">
        <v>43738</v>
      </c>
      <c r="N3" s="162">
        <v>43830</v>
      </c>
      <c r="O3" s="162">
        <v>43921</v>
      </c>
      <c r="P3" s="162">
        <v>44012</v>
      </c>
      <c r="Q3" s="162">
        <v>44104</v>
      </c>
      <c r="R3" s="162">
        <v>44196</v>
      </c>
      <c r="S3" s="162">
        <v>44286</v>
      </c>
      <c r="T3" s="162">
        <v>44377</v>
      </c>
      <c r="U3" s="162">
        <v>44469</v>
      </c>
      <c r="V3" s="162">
        <v>44561</v>
      </c>
      <c r="W3" s="162">
        <v>44651</v>
      </c>
      <c r="X3" s="162">
        <v>44742</v>
      </c>
      <c r="Y3" s="162">
        <v>44834</v>
      </c>
      <c r="Z3" s="162">
        <v>44926</v>
      </c>
      <c r="AA3" s="162">
        <v>45016</v>
      </c>
    </row>
    <row r="4" spans="2:30" ht="15.75">
      <c r="B4" s="73"/>
      <c r="C4" s="74"/>
      <c r="D4" s="74"/>
    </row>
    <row r="5" spans="2:30" ht="15.75">
      <c r="B5" s="75" t="s">
        <v>102</v>
      </c>
      <c r="C5" s="76">
        <v>6893598</v>
      </c>
      <c r="D5" s="76">
        <v>6701272</v>
      </c>
      <c r="E5" s="76">
        <v>6800072</v>
      </c>
      <c r="F5" s="76">
        <v>7254755</v>
      </c>
      <c r="G5" s="76">
        <v>6749345</v>
      </c>
      <c r="H5" s="76">
        <v>6888151</v>
      </c>
      <c r="I5" s="76">
        <v>7697689</v>
      </c>
      <c r="J5" s="76">
        <v>8324317</v>
      </c>
      <c r="K5" s="76">
        <v>8221070</v>
      </c>
      <c r="L5" s="76">
        <v>8155163</v>
      </c>
      <c r="M5" s="76">
        <v>9752525</v>
      </c>
      <c r="N5" s="76">
        <v>8861282</v>
      </c>
      <c r="O5" s="76">
        <v>9564924</v>
      </c>
      <c r="P5" s="76">
        <v>9437248</v>
      </c>
      <c r="Q5" s="76">
        <v>10391300</v>
      </c>
      <c r="R5" s="76">
        <v>11829602</v>
      </c>
      <c r="S5" s="76">
        <v>13678033</v>
      </c>
      <c r="T5" s="76">
        <v>18234043</v>
      </c>
      <c r="U5" s="76">
        <v>20948645</v>
      </c>
      <c r="V5" s="76">
        <v>19999470</v>
      </c>
      <c r="W5" s="76">
        <v>19652621</v>
      </c>
      <c r="X5" s="76">
        <v>21527074</v>
      </c>
      <c r="Y5" s="76">
        <v>20769062</v>
      </c>
      <c r="Z5" s="76">
        <v>20358661</v>
      </c>
      <c r="AA5" s="76">
        <v>20216136</v>
      </c>
    </row>
    <row r="6" spans="2:30" ht="15.75">
      <c r="B6" s="77" t="s">
        <v>308</v>
      </c>
      <c r="C6" s="78">
        <v>2415637</v>
      </c>
      <c r="D6" s="78">
        <v>1951286</v>
      </c>
      <c r="E6" s="79">
        <v>2138050</v>
      </c>
      <c r="F6" s="79">
        <v>2314288</v>
      </c>
      <c r="G6" s="79">
        <v>1562549</v>
      </c>
      <c r="H6" s="79">
        <v>1103612</v>
      </c>
      <c r="I6" s="79">
        <v>1681875</v>
      </c>
      <c r="J6" s="79">
        <v>1693349</v>
      </c>
      <c r="K6" s="239">
        <v>1772792</v>
      </c>
      <c r="L6" s="239">
        <v>1245112</v>
      </c>
      <c r="M6" s="239">
        <v>1822413</v>
      </c>
      <c r="N6" s="93">
        <f>N5-(SUM(N7:N13))</f>
        <v>1921141</v>
      </c>
      <c r="O6" s="93">
        <v>2373466</v>
      </c>
      <c r="P6" s="239">
        <v>2506214</v>
      </c>
      <c r="Q6" s="239">
        <v>3734302</v>
      </c>
      <c r="R6" s="239">
        <v>4868104</v>
      </c>
      <c r="S6" s="239">
        <v>4601103</v>
      </c>
      <c r="T6" s="239">
        <v>6053313</v>
      </c>
      <c r="U6" s="239">
        <v>7293502</v>
      </c>
      <c r="V6" s="239">
        <v>7023549</v>
      </c>
      <c r="W6" s="239">
        <v>6604129</v>
      </c>
      <c r="X6" s="239">
        <v>5596689</v>
      </c>
      <c r="Y6" s="239">
        <v>5137298</v>
      </c>
      <c r="Z6" s="239">
        <v>5072361</v>
      </c>
      <c r="AA6" s="239">
        <v>5836793</v>
      </c>
    </row>
    <row r="7" spans="2:30" ht="15.75">
      <c r="B7" s="77" t="s">
        <v>103</v>
      </c>
      <c r="C7" s="78">
        <v>1173118</v>
      </c>
      <c r="D7" s="78">
        <v>1265246</v>
      </c>
      <c r="E7" s="79">
        <v>1339336</v>
      </c>
      <c r="F7" s="79">
        <v>1555494</v>
      </c>
      <c r="G7" s="79">
        <v>1741954</v>
      </c>
      <c r="H7" s="79">
        <v>1747824</v>
      </c>
      <c r="I7" s="79">
        <v>1947482</v>
      </c>
      <c r="J7" s="79">
        <v>1894291</v>
      </c>
      <c r="K7" s="239">
        <v>1718305</v>
      </c>
      <c r="L7" s="239">
        <v>1898882</v>
      </c>
      <c r="M7" s="239">
        <v>1828747</v>
      </c>
      <c r="N7" s="93">
        <v>1938440</v>
      </c>
      <c r="O7" s="93">
        <v>2257697</v>
      </c>
      <c r="P7" s="239">
        <v>1848288</v>
      </c>
      <c r="Q7" s="239">
        <v>2420397</v>
      </c>
      <c r="R7" s="239">
        <v>2372791</v>
      </c>
      <c r="S7" s="239">
        <v>3231783</v>
      </c>
      <c r="T7" s="239">
        <v>3654969</v>
      </c>
      <c r="U7" s="239">
        <v>3944124</v>
      </c>
      <c r="V7" s="239">
        <v>3563328</v>
      </c>
      <c r="W7" s="239">
        <v>3795645</v>
      </c>
      <c r="X7" s="239">
        <v>4059324</v>
      </c>
      <c r="Y7" s="239">
        <v>3446789</v>
      </c>
      <c r="Z7" s="239">
        <v>3547946</v>
      </c>
      <c r="AA7" s="239">
        <v>3538479</v>
      </c>
    </row>
    <row r="8" spans="2:30" ht="15.75">
      <c r="B8" s="77" t="s">
        <v>104</v>
      </c>
      <c r="C8" s="78">
        <v>291519</v>
      </c>
      <c r="D8" s="78">
        <v>265572</v>
      </c>
      <c r="E8" s="79">
        <v>334517</v>
      </c>
      <c r="F8" s="79">
        <v>362465</v>
      </c>
      <c r="G8" s="79">
        <v>323538</v>
      </c>
      <c r="H8" s="79">
        <v>375174</v>
      </c>
      <c r="I8" s="79">
        <v>303376</v>
      </c>
      <c r="J8" s="79">
        <v>747928</v>
      </c>
      <c r="K8" s="239">
        <v>709486</v>
      </c>
      <c r="L8" s="239">
        <v>712662</v>
      </c>
      <c r="M8" s="239">
        <v>928499</v>
      </c>
      <c r="N8" s="93">
        <v>779545</v>
      </c>
      <c r="O8" s="93">
        <v>689185</v>
      </c>
      <c r="P8" s="239">
        <v>684922</v>
      </c>
      <c r="Q8" s="239">
        <v>518548</v>
      </c>
      <c r="R8" s="239">
        <v>477352</v>
      </c>
      <c r="S8" s="239">
        <v>533960</v>
      </c>
      <c r="T8" s="239">
        <v>2236831</v>
      </c>
      <c r="U8" s="239">
        <v>2297820</v>
      </c>
      <c r="V8" s="239">
        <v>1714289</v>
      </c>
      <c r="W8" s="239">
        <v>1433716</v>
      </c>
      <c r="X8" s="239">
        <v>1171431</v>
      </c>
      <c r="Y8" s="239">
        <v>1274801</v>
      </c>
      <c r="Z8" s="239">
        <v>912419</v>
      </c>
      <c r="AA8" s="239">
        <v>782337</v>
      </c>
    </row>
    <row r="9" spans="2:30" ht="15.75">
      <c r="B9" s="77" t="s">
        <v>105</v>
      </c>
      <c r="C9" s="78">
        <v>2814559</v>
      </c>
      <c r="D9" s="78">
        <v>2802379</v>
      </c>
      <c r="E9" s="79">
        <v>2766155</v>
      </c>
      <c r="F9" s="79">
        <v>2763496</v>
      </c>
      <c r="G9" s="79">
        <v>2971493</v>
      </c>
      <c r="H9" s="79">
        <v>3495179</v>
      </c>
      <c r="I9" s="79">
        <v>3603792</v>
      </c>
      <c r="J9" s="79">
        <v>3880635</v>
      </c>
      <c r="K9" s="239">
        <v>3872200</v>
      </c>
      <c r="L9" s="239">
        <v>4137828</v>
      </c>
      <c r="M9" s="239">
        <v>4240414</v>
      </c>
      <c r="N9" s="93">
        <v>3795832</v>
      </c>
      <c r="O9" s="93">
        <v>3742507</v>
      </c>
      <c r="P9" s="239">
        <v>3945562</v>
      </c>
      <c r="Q9" s="239">
        <v>3580494</v>
      </c>
      <c r="R9" s="239">
        <v>3889695</v>
      </c>
      <c r="S9" s="239">
        <v>4850314</v>
      </c>
      <c r="T9" s="239">
        <v>6029160</v>
      </c>
      <c r="U9" s="239">
        <v>7186774</v>
      </c>
      <c r="V9" s="239">
        <v>7516240</v>
      </c>
      <c r="W9" s="239">
        <v>7519481</v>
      </c>
      <c r="X9" s="239">
        <v>9918009</v>
      </c>
      <c r="Y9" s="239">
        <v>10059939</v>
      </c>
      <c r="Z9" s="239">
        <v>9965172</v>
      </c>
      <c r="AA9" s="239">
        <v>9864655</v>
      </c>
    </row>
    <row r="10" spans="2:30" ht="15.75">
      <c r="B10" s="77" t="s">
        <v>106</v>
      </c>
      <c r="C10" s="78">
        <v>6617</v>
      </c>
      <c r="D10" s="78">
        <v>9058</v>
      </c>
      <c r="E10" s="79">
        <v>4140</v>
      </c>
      <c r="F10" s="79">
        <v>4332</v>
      </c>
      <c r="G10" s="79">
        <v>5208</v>
      </c>
      <c r="H10" s="79">
        <v>5455</v>
      </c>
      <c r="I10" s="79">
        <v>4625</v>
      </c>
      <c r="J10" s="79">
        <v>4050</v>
      </c>
      <c r="K10" s="239">
        <v>4276</v>
      </c>
      <c r="L10" s="239">
        <v>7756</v>
      </c>
      <c r="M10" s="239">
        <v>7136</v>
      </c>
      <c r="N10" s="93">
        <v>1225</v>
      </c>
      <c r="O10" s="93">
        <v>2423</v>
      </c>
      <c r="P10" s="239">
        <v>1777</v>
      </c>
      <c r="Q10" s="239">
        <v>2863</v>
      </c>
      <c r="R10" s="239">
        <v>86177</v>
      </c>
      <c r="S10" s="239">
        <v>199829</v>
      </c>
      <c r="T10" s="239">
        <v>2445</v>
      </c>
      <c r="U10" s="239">
        <v>2175</v>
      </c>
      <c r="V10" s="239">
        <v>2464</v>
      </c>
      <c r="W10" s="239">
        <v>131483</v>
      </c>
      <c r="X10" s="239">
        <v>442230</v>
      </c>
      <c r="Y10" s="239">
        <v>389130</v>
      </c>
      <c r="Z10" s="239">
        <v>623381</v>
      </c>
      <c r="AA10" s="239">
        <v>1329</v>
      </c>
      <c r="AD10" s="31"/>
    </row>
    <row r="11" spans="2:30" ht="15.75">
      <c r="B11" s="77" t="s">
        <v>107</v>
      </c>
      <c r="C11" s="78">
        <v>68652</v>
      </c>
      <c r="D11" s="78">
        <v>89497</v>
      </c>
      <c r="E11" s="79">
        <v>71280</v>
      </c>
      <c r="F11" s="79">
        <v>12</v>
      </c>
      <c r="G11" s="79">
        <v>15</v>
      </c>
      <c r="H11" s="79">
        <v>272</v>
      </c>
      <c r="I11" s="79">
        <v>300</v>
      </c>
      <c r="J11" s="79">
        <v>347</v>
      </c>
      <c r="K11" s="239">
        <v>970</v>
      </c>
      <c r="L11" s="239">
        <v>687</v>
      </c>
      <c r="M11" s="239">
        <v>742</v>
      </c>
      <c r="N11" s="93">
        <v>762</v>
      </c>
      <c r="O11" s="93">
        <v>18687</v>
      </c>
      <c r="P11" s="239">
        <v>1386</v>
      </c>
      <c r="Q11" s="239">
        <v>1396</v>
      </c>
      <c r="R11" s="239">
        <v>0</v>
      </c>
      <c r="S11" s="239">
        <v>0</v>
      </c>
      <c r="T11" s="239">
        <v>0</v>
      </c>
      <c r="U11" s="239">
        <v>0</v>
      </c>
      <c r="V11" s="239">
        <v>0</v>
      </c>
      <c r="W11" s="239">
        <v>0</v>
      </c>
      <c r="X11" s="239">
        <v>0</v>
      </c>
      <c r="Y11" s="239">
        <v>0</v>
      </c>
      <c r="Z11" s="239">
        <v>0</v>
      </c>
      <c r="AA11" s="239">
        <v>0</v>
      </c>
    </row>
    <row r="12" spans="2:30" ht="15.75">
      <c r="B12" s="77" t="s">
        <v>267</v>
      </c>
      <c r="C12" s="78">
        <v>0</v>
      </c>
      <c r="D12" s="78">
        <v>0</v>
      </c>
      <c r="E12" s="79">
        <v>0</v>
      </c>
      <c r="F12" s="79">
        <v>0</v>
      </c>
      <c r="G12" s="79">
        <v>0</v>
      </c>
      <c r="H12" s="79">
        <v>0</v>
      </c>
      <c r="I12" s="79">
        <v>0</v>
      </c>
      <c r="J12" s="79">
        <v>0</v>
      </c>
      <c r="K12" s="239">
        <v>0</v>
      </c>
      <c r="L12" s="239">
        <v>0</v>
      </c>
      <c r="M12" s="239">
        <v>751404</v>
      </c>
      <c r="N12" s="93">
        <v>305848</v>
      </c>
      <c r="O12" s="93">
        <v>305848</v>
      </c>
      <c r="P12" s="239">
        <v>305848</v>
      </c>
      <c r="Q12" s="239">
        <v>0</v>
      </c>
      <c r="R12" s="239">
        <v>0</v>
      </c>
      <c r="S12" s="239">
        <v>0</v>
      </c>
      <c r="T12" s="239">
        <v>0</v>
      </c>
      <c r="U12" s="239">
        <v>0</v>
      </c>
      <c r="V12" s="239">
        <v>0</v>
      </c>
      <c r="W12" s="239">
        <v>0</v>
      </c>
      <c r="X12" s="239">
        <v>0</v>
      </c>
      <c r="Y12" s="239">
        <v>0</v>
      </c>
      <c r="Z12" s="239">
        <v>0</v>
      </c>
      <c r="AA12" s="239">
        <v>0</v>
      </c>
    </row>
    <row r="13" spans="2:30" ht="15.75">
      <c r="B13" s="77" t="s">
        <v>108</v>
      </c>
      <c r="C13" s="78">
        <v>123496</v>
      </c>
      <c r="D13" s="78">
        <v>318234</v>
      </c>
      <c r="E13" s="79">
        <v>146594</v>
      </c>
      <c r="F13" s="79">
        <v>254668</v>
      </c>
      <c r="G13" s="79">
        <v>144588</v>
      </c>
      <c r="H13" s="79">
        <v>160635</v>
      </c>
      <c r="I13" s="79">
        <v>156239</v>
      </c>
      <c r="J13" s="79">
        <v>103717</v>
      </c>
      <c r="K13" s="239">
        <v>143041</v>
      </c>
      <c r="L13" s="239">
        <v>152236</v>
      </c>
      <c r="M13" s="239">
        <v>173170</v>
      </c>
      <c r="N13" s="93">
        <v>118489</v>
      </c>
      <c r="O13" s="93">
        <v>175111</v>
      </c>
      <c r="P13" s="239">
        <v>143251</v>
      </c>
      <c r="Q13" s="239">
        <v>133300</v>
      </c>
      <c r="R13" s="239">
        <v>135483</v>
      </c>
      <c r="S13" s="239">
        <v>261044</v>
      </c>
      <c r="T13" s="239">
        <v>257325</v>
      </c>
      <c r="U13" s="239">
        <v>224250</v>
      </c>
      <c r="V13" s="239">
        <v>179600</v>
      </c>
      <c r="W13" s="239">
        <v>168167</v>
      </c>
      <c r="X13" s="239">
        <v>339391</v>
      </c>
      <c r="Y13" s="239">
        <v>461105</v>
      </c>
      <c r="Z13" s="239">
        <v>237382</v>
      </c>
      <c r="AA13" s="239">
        <v>192543</v>
      </c>
    </row>
    <row r="14" spans="2:30" ht="15.75">
      <c r="B14" s="77"/>
      <c r="C14" s="80"/>
      <c r="D14" s="80"/>
      <c r="K14" s="96"/>
      <c r="L14" s="96"/>
      <c r="M14" s="96"/>
      <c r="N14" s="267"/>
      <c r="O14" s="267"/>
      <c r="P14" s="267"/>
      <c r="Q14" s="267"/>
      <c r="R14" s="267"/>
      <c r="S14" s="267"/>
      <c r="T14" s="267"/>
      <c r="U14" s="267"/>
      <c r="V14" s="267"/>
      <c r="W14" s="267"/>
      <c r="X14" s="267"/>
      <c r="Y14" s="267"/>
      <c r="Z14" s="267"/>
      <c r="AA14" s="267"/>
    </row>
    <row r="15" spans="2:30" ht="15.75">
      <c r="B15" s="81" t="s">
        <v>109</v>
      </c>
      <c r="C15" s="82">
        <v>19410970</v>
      </c>
      <c r="D15" s="82">
        <v>19314860</v>
      </c>
      <c r="E15" s="82">
        <v>19005745</v>
      </c>
      <c r="F15" s="82">
        <v>18729722</v>
      </c>
      <c r="G15" s="82">
        <v>18627433</v>
      </c>
      <c r="H15" s="82">
        <v>18431217</v>
      </c>
      <c r="I15" s="82">
        <v>18400686</v>
      </c>
      <c r="J15" s="82">
        <v>18199534</v>
      </c>
      <c r="K15" s="82">
        <v>18030869</v>
      </c>
      <c r="L15" s="82">
        <v>18010553</v>
      </c>
      <c r="M15" s="82">
        <v>17261207</v>
      </c>
      <c r="N15" s="82">
        <v>17475750</v>
      </c>
      <c r="O15" s="82">
        <v>17410956</v>
      </c>
      <c r="P15" s="82">
        <v>17415642</v>
      </c>
      <c r="Q15" s="82">
        <v>17476067</v>
      </c>
      <c r="R15" s="82">
        <v>18122535</v>
      </c>
      <c r="S15" s="82">
        <v>18187236</v>
      </c>
      <c r="T15" s="82">
        <v>18223451</v>
      </c>
      <c r="U15" s="82">
        <v>17969802</v>
      </c>
      <c r="V15" s="82">
        <v>19482099</v>
      </c>
      <c r="W15" s="82">
        <v>19451023</v>
      </c>
      <c r="X15" s="82">
        <v>19753527</v>
      </c>
      <c r="Y15" s="82">
        <v>20146994</v>
      </c>
      <c r="Z15" s="82">
        <v>19641790</v>
      </c>
      <c r="AA15" s="82">
        <v>19987624</v>
      </c>
    </row>
    <row r="16" spans="2:30" ht="15.75">
      <c r="B16" s="83" t="s">
        <v>355</v>
      </c>
      <c r="C16" s="84">
        <v>4068519</v>
      </c>
      <c r="D16" s="84">
        <v>4193720</v>
      </c>
      <c r="E16" s="84">
        <v>4059756</v>
      </c>
      <c r="F16" s="84">
        <v>4115862</v>
      </c>
      <c r="G16" s="84">
        <v>4192447</v>
      </c>
      <c r="H16" s="84">
        <v>4167622</v>
      </c>
      <c r="I16" s="84">
        <v>4234920</v>
      </c>
      <c r="J16" s="84">
        <v>4700822</v>
      </c>
      <c r="K16" s="240">
        <v>4646750</v>
      </c>
      <c r="L16" s="240">
        <v>4708540</v>
      </c>
      <c r="M16" s="240">
        <v>3939233</v>
      </c>
      <c r="N16" s="280">
        <v>4180797</v>
      </c>
      <c r="O16" s="280">
        <v>4170808</v>
      </c>
      <c r="P16" s="240">
        <v>4195841</v>
      </c>
      <c r="Q16" s="240">
        <v>4290262</v>
      </c>
      <c r="R16" s="240">
        <v>4295372</v>
      </c>
      <c r="S16" s="240">
        <v>4334320</v>
      </c>
      <c r="T16" s="240">
        <v>4218293</v>
      </c>
      <c r="U16" s="240">
        <v>4232813</v>
      </c>
      <c r="V16" s="240">
        <v>5448312</v>
      </c>
      <c r="W16" s="240">
        <v>5267974</v>
      </c>
      <c r="X16" s="240">
        <v>5277235</v>
      </c>
      <c r="Y16" s="240">
        <v>5200965</v>
      </c>
      <c r="Z16" s="240">
        <v>5492446</v>
      </c>
      <c r="AA16" s="240">
        <v>5440894</v>
      </c>
    </row>
    <row r="17" spans="2:30" ht="15.75">
      <c r="B17" s="328" t="s">
        <v>356</v>
      </c>
      <c r="C17" s="85">
        <v>3040718</v>
      </c>
      <c r="D17" s="85">
        <v>3061289</v>
      </c>
      <c r="E17" s="80">
        <v>3030450</v>
      </c>
      <c r="F17" s="80">
        <v>3046112</v>
      </c>
      <c r="G17" s="80">
        <v>3029743</v>
      </c>
      <c r="H17" s="80">
        <v>3062537</v>
      </c>
      <c r="I17" s="80">
        <v>3133393</v>
      </c>
      <c r="J17" s="80">
        <v>2765356</v>
      </c>
      <c r="K17" s="241">
        <v>2781358</v>
      </c>
      <c r="L17" s="241">
        <v>2766249</v>
      </c>
      <c r="M17" s="241">
        <v>2923766</v>
      </c>
      <c r="N17" s="96">
        <v>3037626</v>
      </c>
      <c r="O17" s="96">
        <v>2998281</v>
      </c>
      <c r="P17" s="241">
        <v>3038934</v>
      </c>
      <c r="Q17" s="241">
        <v>3064609</v>
      </c>
      <c r="R17" s="241">
        <v>2914338</v>
      </c>
      <c r="S17" s="241">
        <v>2938218</v>
      </c>
      <c r="T17" s="241">
        <v>2851127</v>
      </c>
      <c r="U17" s="241">
        <v>2816937</v>
      </c>
      <c r="V17" s="241">
        <v>2982251</v>
      </c>
      <c r="W17" s="241">
        <v>2695295</v>
      </c>
      <c r="X17" s="241">
        <v>2627274</v>
      </c>
      <c r="Y17" s="241">
        <v>2507578</v>
      </c>
      <c r="Z17" s="241">
        <v>2410456</v>
      </c>
      <c r="AA17" s="241">
        <v>2328349</v>
      </c>
      <c r="AD17" s="65"/>
    </row>
    <row r="18" spans="2:30" ht="15.75">
      <c r="B18" s="328" t="s">
        <v>352</v>
      </c>
      <c r="C18" s="85">
        <v>667712</v>
      </c>
      <c r="D18" s="85">
        <v>700388</v>
      </c>
      <c r="E18" s="80">
        <v>683542</v>
      </c>
      <c r="F18" s="80">
        <v>675600</v>
      </c>
      <c r="G18" s="80">
        <v>754423</v>
      </c>
      <c r="H18" s="80">
        <v>697205</v>
      </c>
      <c r="I18" s="80">
        <v>697546</v>
      </c>
      <c r="J18" s="80">
        <v>523557</v>
      </c>
      <c r="K18" s="241">
        <v>513026</v>
      </c>
      <c r="L18" s="241">
        <v>536940</v>
      </c>
      <c r="M18" s="241">
        <v>535375</v>
      </c>
      <c r="N18" s="96">
        <v>543658</v>
      </c>
      <c r="O18" s="96">
        <v>562290</v>
      </c>
      <c r="P18" s="241">
        <v>562216</v>
      </c>
      <c r="Q18" s="241">
        <v>548298</v>
      </c>
      <c r="R18" s="241">
        <v>543408</v>
      </c>
      <c r="S18" s="241">
        <v>544628</v>
      </c>
      <c r="T18" s="241">
        <v>512848</v>
      </c>
      <c r="U18" s="241">
        <v>503942</v>
      </c>
      <c r="V18" s="241">
        <v>489316</v>
      </c>
      <c r="W18" s="241">
        <v>489212</v>
      </c>
      <c r="X18" s="241">
        <v>496459</v>
      </c>
      <c r="Y18" s="241">
        <v>501816</v>
      </c>
      <c r="Z18" s="241">
        <v>513777</v>
      </c>
      <c r="AA18" s="241">
        <v>525778</v>
      </c>
    </row>
    <row r="19" spans="2:30" ht="15.75">
      <c r="B19" s="328" t="s">
        <v>353</v>
      </c>
      <c r="C19" s="85">
        <v>3623</v>
      </c>
      <c r="D19" s="85">
        <v>3302</v>
      </c>
      <c r="E19" s="80">
        <v>3328</v>
      </c>
      <c r="F19" s="80">
        <v>3147</v>
      </c>
      <c r="G19" s="80">
        <v>2952</v>
      </c>
      <c r="H19" s="80">
        <v>2814</v>
      </c>
      <c r="I19" s="80">
        <v>2626</v>
      </c>
      <c r="J19" s="80">
        <v>2342</v>
      </c>
      <c r="K19" s="241">
        <v>2117</v>
      </c>
      <c r="L19" s="241">
        <v>1877</v>
      </c>
      <c r="M19" s="241">
        <v>1574</v>
      </c>
      <c r="N19" s="96">
        <v>1651</v>
      </c>
      <c r="O19" s="96">
        <v>0</v>
      </c>
      <c r="P19" s="241">
        <v>0</v>
      </c>
      <c r="Q19" s="241">
        <v>0</v>
      </c>
      <c r="R19" s="241">
        <v>0</v>
      </c>
      <c r="S19" s="241" t="s">
        <v>25</v>
      </c>
      <c r="T19" s="241" t="s">
        <v>25</v>
      </c>
      <c r="U19" s="241" t="s">
        <v>25</v>
      </c>
      <c r="V19" s="241" t="s">
        <v>25</v>
      </c>
      <c r="W19" s="241">
        <v>0</v>
      </c>
      <c r="X19" s="241">
        <v>0</v>
      </c>
      <c r="Y19" s="241">
        <v>0</v>
      </c>
      <c r="Z19" s="241">
        <v>0</v>
      </c>
      <c r="AA19" s="241">
        <v>0</v>
      </c>
    </row>
    <row r="20" spans="2:30" ht="15.75">
      <c r="B20" s="328" t="s">
        <v>104</v>
      </c>
      <c r="C20" s="85">
        <v>96074</v>
      </c>
      <c r="D20" s="85">
        <v>106763</v>
      </c>
      <c r="E20" s="80">
        <v>48517</v>
      </c>
      <c r="F20" s="80">
        <v>54881</v>
      </c>
      <c r="G20" s="80">
        <v>53638</v>
      </c>
      <c r="H20" s="80">
        <v>53439</v>
      </c>
      <c r="I20" s="80">
        <v>58745</v>
      </c>
      <c r="J20" s="80">
        <v>454284</v>
      </c>
      <c r="K20" s="241">
        <v>379673</v>
      </c>
      <c r="L20" s="241">
        <v>375457</v>
      </c>
      <c r="M20" s="241">
        <v>124199</v>
      </c>
      <c r="N20" s="96">
        <v>152336</v>
      </c>
      <c r="O20" s="96">
        <v>151375</v>
      </c>
      <c r="P20" s="241">
        <v>154997</v>
      </c>
      <c r="Q20" s="241">
        <v>173788</v>
      </c>
      <c r="R20" s="241">
        <v>174004</v>
      </c>
      <c r="S20" s="241">
        <v>177231</v>
      </c>
      <c r="T20" s="241">
        <v>62909</v>
      </c>
      <c r="U20" s="332">
        <v>111976</v>
      </c>
      <c r="V20" s="241">
        <v>1129778</v>
      </c>
      <c r="W20" s="241">
        <v>1244133</v>
      </c>
      <c r="X20" s="241">
        <v>1303161</v>
      </c>
      <c r="Y20" s="241">
        <v>1338878</v>
      </c>
      <c r="Z20" s="241">
        <v>1713328</v>
      </c>
      <c r="AA20" s="241">
        <v>1717387</v>
      </c>
    </row>
    <row r="21" spans="2:30" ht="15.75">
      <c r="B21" s="328" t="s">
        <v>309</v>
      </c>
      <c r="C21" s="85">
        <v>748</v>
      </c>
      <c r="D21" s="85">
        <v>373</v>
      </c>
      <c r="E21" s="80">
        <v>1470</v>
      </c>
      <c r="F21" s="80">
        <v>1184</v>
      </c>
      <c r="G21" s="80">
        <v>2648</v>
      </c>
      <c r="H21" s="80">
        <v>1421</v>
      </c>
      <c r="I21" s="80">
        <v>1636</v>
      </c>
      <c r="J21" s="80">
        <v>3553</v>
      </c>
      <c r="K21" s="241">
        <v>3524</v>
      </c>
      <c r="L21" s="241">
        <v>5658</v>
      </c>
      <c r="M21" s="241">
        <v>6475</v>
      </c>
      <c r="N21" s="96">
        <v>6950</v>
      </c>
      <c r="O21" s="96">
        <v>7373</v>
      </c>
      <c r="P21" s="241">
        <v>7429</v>
      </c>
      <c r="Q21" s="241">
        <v>7069</v>
      </c>
      <c r="R21" s="241" t="s">
        <v>25</v>
      </c>
      <c r="S21" s="241" t="s">
        <v>25</v>
      </c>
      <c r="T21" s="241" t="s">
        <v>25</v>
      </c>
      <c r="U21" s="241" t="s">
        <v>25</v>
      </c>
      <c r="V21" s="241" t="s">
        <v>25</v>
      </c>
      <c r="W21" s="241" t="s">
        <v>25</v>
      </c>
      <c r="X21" s="241" t="s">
        <v>25</v>
      </c>
      <c r="Y21" s="241" t="s">
        <v>25</v>
      </c>
      <c r="Z21" s="241" t="s">
        <v>25</v>
      </c>
      <c r="AA21" s="241" t="s">
        <v>25</v>
      </c>
    </row>
    <row r="22" spans="2:30" ht="15.75">
      <c r="B22" s="328" t="s">
        <v>267</v>
      </c>
      <c r="C22" s="85">
        <v>0</v>
      </c>
      <c r="D22" s="85">
        <v>0</v>
      </c>
      <c r="E22" s="85">
        <v>0</v>
      </c>
      <c r="F22" s="85">
        <v>0</v>
      </c>
      <c r="G22" s="85">
        <v>0</v>
      </c>
      <c r="H22" s="85">
        <v>0</v>
      </c>
      <c r="I22" s="85">
        <v>0</v>
      </c>
      <c r="J22" s="241">
        <v>676023</v>
      </c>
      <c r="K22" s="241">
        <v>676023</v>
      </c>
      <c r="L22" s="241">
        <v>676023</v>
      </c>
      <c r="M22" s="241" t="s">
        <v>25</v>
      </c>
      <c r="N22" s="241" t="s">
        <v>25</v>
      </c>
      <c r="O22" s="241" t="s">
        <v>25</v>
      </c>
      <c r="P22" s="241" t="s">
        <v>25</v>
      </c>
      <c r="Q22" s="241" t="s">
        <v>25</v>
      </c>
      <c r="R22" s="241" t="s">
        <v>25</v>
      </c>
      <c r="S22" s="241" t="s">
        <v>25</v>
      </c>
      <c r="T22" s="241" t="s">
        <v>25</v>
      </c>
      <c r="U22" s="241" t="s">
        <v>25</v>
      </c>
      <c r="V22" s="241" t="s">
        <v>25</v>
      </c>
      <c r="W22" s="241" t="s">
        <v>25</v>
      </c>
      <c r="X22" s="241" t="s">
        <v>25</v>
      </c>
      <c r="Y22" s="241" t="s">
        <v>25</v>
      </c>
      <c r="Z22" s="241" t="s">
        <v>25</v>
      </c>
      <c r="AA22" s="241" t="s">
        <v>25</v>
      </c>
    </row>
    <row r="23" spans="2:30" ht="15.75">
      <c r="B23" s="328" t="s">
        <v>354</v>
      </c>
      <c r="C23" s="85">
        <v>0</v>
      </c>
      <c r="D23" s="85">
        <v>0</v>
      </c>
      <c r="E23" s="85">
        <v>0</v>
      </c>
      <c r="F23" s="85">
        <v>0</v>
      </c>
      <c r="G23" s="85">
        <v>0</v>
      </c>
      <c r="H23" s="85">
        <v>0</v>
      </c>
      <c r="I23" s="85">
        <v>0</v>
      </c>
      <c r="J23" s="85">
        <v>0</v>
      </c>
      <c r="K23" s="85">
        <v>0</v>
      </c>
      <c r="L23" s="85">
        <v>0</v>
      </c>
      <c r="M23" s="85">
        <v>0</v>
      </c>
      <c r="N23" s="96">
        <v>125050</v>
      </c>
      <c r="O23" s="96">
        <v>125050</v>
      </c>
      <c r="P23" s="241">
        <v>193886</v>
      </c>
      <c r="Q23" s="241">
        <v>223640</v>
      </c>
      <c r="R23" s="241">
        <v>262077</v>
      </c>
      <c r="S23" s="241">
        <v>295387</v>
      </c>
      <c r="T23" s="241">
        <v>332191</v>
      </c>
      <c r="U23" s="241">
        <v>349542</v>
      </c>
      <c r="V23" s="241">
        <v>349031</v>
      </c>
      <c r="W23" s="241">
        <v>355807</v>
      </c>
      <c r="X23" s="241">
        <v>352230</v>
      </c>
      <c r="Y23" s="241">
        <v>351123</v>
      </c>
      <c r="Z23" s="241">
        <v>352661</v>
      </c>
      <c r="AA23" s="241">
        <v>353732</v>
      </c>
    </row>
    <row r="24" spans="2:30" ht="15.75">
      <c r="B24" s="328" t="s">
        <v>11</v>
      </c>
      <c r="C24" s="85">
        <v>259644</v>
      </c>
      <c r="D24" s="85">
        <v>321605</v>
      </c>
      <c r="E24" s="80">
        <v>292449</v>
      </c>
      <c r="F24" s="80">
        <v>334938</v>
      </c>
      <c r="G24" s="80">
        <v>349043</v>
      </c>
      <c r="H24" s="80">
        <v>350206</v>
      </c>
      <c r="I24" s="80">
        <v>340974</v>
      </c>
      <c r="J24" s="80">
        <v>275707</v>
      </c>
      <c r="K24" s="241">
        <v>291029</v>
      </c>
      <c r="L24" s="241">
        <v>346336</v>
      </c>
      <c r="M24" s="241">
        <v>347844</v>
      </c>
      <c r="N24" s="96">
        <v>313526</v>
      </c>
      <c r="O24" s="96">
        <v>326439</v>
      </c>
      <c r="P24" s="241">
        <v>238379</v>
      </c>
      <c r="Q24" s="241">
        <v>272858</v>
      </c>
      <c r="R24" s="241">
        <v>401545</v>
      </c>
      <c r="S24" s="241">
        <v>378856</v>
      </c>
      <c r="T24" s="241">
        <v>459218</v>
      </c>
      <c r="U24" s="241">
        <v>450416</v>
      </c>
      <c r="V24" s="241">
        <v>497936</v>
      </c>
      <c r="W24" s="241">
        <v>483527</v>
      </c>
      <c r="X24" s="241">
        <v>498111</v>
      </c>
      <c r="Y24" s="241">
        <v>501570</v>
      </c>
      <c r="Z24" s="241">
        <v>502224</v>
      </c>
      <c r="AA24" s="241">
        <v>515648</v>
      </c>
    </row>
    <row r="25" spans="2:30" ht="15.75">
      <c r="B25" s="99" t="s">
        <v>359</v>
      </c>
      <c r="C25" s="84">
        <v>1150372</v>
      </c>
      <c r="D25" s="84">
        <v>1164854</v>
      </c>
      <c r="E25" s="86">
        <v>1205496</v>
      </c>
      <c r="F25" s="86">
        <v>1054052</v>
      </c>
      <c r="G25" s="86">
        <v>1092905</v>
      </c>
      <c r="H25" s="86">
        <v>1110529</v>
      </c>
      <c r="I25" s="86">
        <v>1183569</v>
      </c>
      <c r="J25" s="86">
        <v>1088094</v>
      </c>
      <c r="K25" s="240">
        <v>1122471</v>
      </c>
      <c r="L25" s="240">
        <v>1165451</v>
      </c>
      <c r="M25" s="240">
        <v>1222453</v>
      </c>
      <c r="N25" s="280">
        <v>1053138</v>
      </c>
      <c r="O25" s="280">
        <v>1053056</v>
      </c>
      <c r="P25" s="240">
        <v>1096651</v>
      </c>
      <c r="Q25" s="240">
        <v>1133876</v>
      </c>
      <c r="R25" s="240">
        <v>1058708</v>
      </c>
      <c r="S25" s="240">
        <v>1091514</v>
      </c>
      <c r="T25" s="240">
        <v>1143820</v>
      </c>
      <c r="U25" s="240">
        <v>1212138</v>
      </c>
      <c r="V25" s="240">
        <v>1138402</v>
      </c>
      <c r="W25" s="240">
        <v>1170461</v>
      </c>
      <c r="X25" s="240">
        <v>1221980</v>
      </c>
      <c r="Y25" s="240">
        <v>1279946</v>
      </c>
      <c r="Z25" s="240">
        <v>1211337</v>
      </c>
      <c r="AA25" s="240">
        <v>1253005</v>
      </c>
    </row>
    <row r="26" spans="2:30" ht="15.75">
      <c r="B26" s="83" t="s">
        <v>358</v>
      </c>
      <c r="C26" s="84">
        <v>0</v>
      </c>
      <c r="D26" s="84">
        <v>0</v>
      </c>
      <c r="E26" s="84">
        <v>0</v>
      </c>
      <c r="F26" s="84">
        <v>0</v>
      </c>
      <c r="G26" s="84">
        <v>0</v>
      </c>
      <c r="H26" s="84">
        <v>0</v>
      </c>
      <c r="I26" s="84">
        <v>0</v>
      </c>
      <c r="J26" s="84">
        <v>0</v>
      </c>
      <c r="K26" s="84">
        <v>0</v>
      </c>
      <c r="L26" s="84">
        <v>0</v>
      </c>
      <c r="M26" s="84">
        <v>0</v>
      </c>
      <c r="N26" s="280">
        <v>90202</v>
      </c>
      <c r="O26" s="280">
        <v>100828</v>
      </c>
      <c r="P26" s="240">
        <v>100827</v>
      </c>
      <c r="Q26" s="240">
        <v>100827</v>
      </c>
      <c r="R26" s="240">
        <v>100822</v>
      </c>
      <c r="S26" s="240">
        <v>164219</v>
      </c>
      <c r="T26" s="240">
        <v>164194</v>
      </c>
      <c r="U26" s="240">
        <v>159058</v>
      </c>
      <c r="V26" s="240">
        <v>159054</v>
      </c>
      <c r="W26" s="240">
        <v>159054</v>
      </c>
      <c r="X26" s="240">
        <v>159047</v>
      </c>
      <c r="Y26" s="240">
        <v>162207</v>
      </c>
      <c r="Z26" s="240">
        <v>141496</v>
      </c>
      <c r="AA26" s="240">
        <v>141425</v>
      </c>
    </row>
    <row r="27" spans="2:30" ht="15.75">
      <c r="B27" s="83" t="s">
        <v>357</v>
      </c>
      <c r="C27" s="84">
        <v>13488122</v>
      </c>
      <c r="D27" s="84">
        <v>13259162</v>
      </c>
      <c r="E27" s="86">
        <v>13048632</v>
      </c>
      <c r="F27" s="86">
        <v>12882618</v>
      </c>
      <c r="G27" s="86">
        <v>12669891</v>
      </c>
      <c r="H27" s="86">
        <v>12484296</v>
      </c>
      <c r="I27" s="86">
        <v>12314039</v>
      </c>
      <c r="J27" s="86">
        <v>11715022</v>
      </c>
      <c r="K27" s="240">
        <v>11571751</v>
      </c>
      <c r="L27" s="240">
        <v>11437713</v>
      </c>
      <c r="M27" s="240">
        <v>11403455</v>
      </c>
      <c r="N27" s="280">
        <v>11424691</v>
      </c>
      <c r="O27" s="280">
        <v>11359924</v>
      </c>
      <c r="P27" s="240">
        <v>11298978</v>
      </c>
      <c r="Q27" s="240">
        <v>11224774</v>
      </c>
      <c r="R27" s="240">
        <v>11069434</v>
      </c>
      <c r="S27" s="240">
        <v>10997265</v>
      </c>
      <c r="T27" s="240">
        <v>11103073</v>
      </c>
      <c r="U27" s="240">
        <v>10773499</v>
      </c>
      <c r="V27" s="240">
        <v>11085685</v>
      </c>
      <c r="W27" s="240">
        <v>11206157</v>
      </c>
      <c r="X27" s="240">
        <v>11446841</v>
      </c>
      <c r="Y27" s="240">
        <v>11847976</v>
      </c>
      <c r="Z27" s="240">
        <v>10820571</v>
      </c>
      <c r="AA27" s="240">
        <v>11176254</v>
      </c>
    </row>
    <row r="28" spans="2:30" ht="15.75">
      <c r="B28" s="83" t="s">
        <v>360</v>
      </c>
      <c r="C28" s="84">
        <v>703957</v>
      </c>
      <c r="D28" s="84">
        <v>697124</v>
      </c>
      <c r="E28" s="86">
        <v>691861</v>
      </c>
      <c r="F28" s="86">
        <v>677190</v>
      </c>
      <c r="G28" s="86">
        <v>672190</v>
      </c>
      <c r="H28" s="86">
        <v>668770</v>
      </c>
      <c r="I28" s="86">
        <v>668158</v>
      </c>
      <c r="J28" s="86">
        <v>695596</v>
      </c>
      <c r="K28" s="240">
        <v>689897</v>
      </c>
      <c r="L28" s="240">
        <v>698849</v>
      </c>
      <c r="M28" s="240">
        <v>696066</v>
      </c>
      <c r="N28" s="280">
        <v>726922</v>
      </c>
      <c r="O28" s="280">
        <v>726340</v>
      </c>
      <c r="P28" s="240">
        <v>723345</v>
      </c>
      <c r="Q28" s="240">
        <v>726328</v>
      </c>
      <c r="R28" s="240">
        <v>1598199</v>
      </c>
      <c r="S28" s="240">
        <v>1599918</v>
      </c>
      <c r="T28" s="240">
        <v>1594071</v>
      </c>
      <c r="U28" s="240">
        <v>1592294</v>
      </c>
      <c r="V28" s="240">
        <v>1650646</v>
      </c>
      <c r="W28" s="240">
        <v>1647377</v>
      </c>
      <c r="X28" s="240">
        <v>1648424</v>
      </c>
      <c r="Y28" s="240">
        <v>1655900</v>
      </c>
      <c r="Z28" s="240">
        <v>1975940</v>
      </c>
      <c r="AA28" s="240">
        <v>1976046</v>
      </c>
    </row>
    <row r="29" spans="2:30" ht="15.75">
      <c r="B29" s="77"/>
      <c r="C29" s="80"/>
      <c r="D29" s="80"/>
      <c r="K29" s="96"/>
      <c r="L29" s="96"/>
      <c r="M29" s="96"/>
      <c r="N29" s="267"/>
      <c r="O29" s="267"/>
      <c r="P29" s="96"/>
      <c r="Q29" s="96"/>
      <c r="R29" s="96"/>
      <c r="S29" s="96"/>
      <c r="T29" s="96"/>
      <c r="U29" s="96"/>
      <c r="V29" s="96"/>
      <c r="W29" s="96"/>
      <c r="X29" s="267"/>
      <c r="Y29" s="267"/>
      <c r="Z29" s="267"/>
      <c r="AA29" s="267"/>
    </row>
    <row r="30" spans="2:30" ht="15.75">
      <c r="B30" s="81" t="s">
        <v>110</v>
      </c>
      <c r="C30" s="87">
        <v>26304568</v>
      </c>
      <c r="D30" s="87">
        <v>26016132</v>
      </c>
      <c r="E30" s="87">
        <v>25805817</v>
      </c>
      <c r="F30" s="87">
        <v>25984477</v>
      </c>
      <c r="G30" s="87">
        <v>25376778</v>
      </c>
      <c r="H30" s="87">
        <v>25319368</v>
      </c>
      <c r="I30" s="87">
        <v>26098375</v>
      </c>
      <c r="J30" s="87">
        <v>26523851</v>
      </c>
      <c r="K30" s="87">
        <v>26251939</v>
      </c>
      <c r="L30" s="87">
        <v>26165716</v>
      </c>
      <c r="M30" s="87">
        <v>27013732</v>
      </c>
      <c r="N30" s="87">
        <v>26337032</v>
      </c>
      <c r="O30" s="87">
        <v>26975880</v>
      </c>
      <c r="P30" s="87">
        <v>26852890</v>
      </c>
      <c r="Q30" s="87">
        <v>27867367</v>
      </c>
      <c r="R30" s="87">
        <v>29952137</v>
      </c>
      <c r="S30" s="87">
        <v>26975880</v>
      </c>
      <c r="T30" s="87">
        <v>36457494</v>
      </c>
      <c r="U30" s="87">
        <v>38918447</v>
      </c>
      <c r="V30" s="87">
        <v>39481569</v>
      </c>
      <c r="W30" s="87">
        <v>39103644</v>
      </c>
      <c r="X30" s="87">
        <v>41280601</v>
      </c>
      <c r="Y30" s="87">
        <v>40916056</v>
      </c>
      <c r="Z30" s="87">
        <v>40000451</v>
      </c>
      <c r="AA30" s="87">
        <v>40203760</v>
      </c>
    </row>
    <row r="32" spans="2:30">
      <c r="B32" s="411" t="s">
        <v>111</v>
      </c>
      <c r="C32" s="411"/>
      <c r="D32" s="411"/>
      <c r="E32" s="411"/>
      <c r="F32" s="411"/>
      <c r="G32" s="411"/>
      <c r="H32" s="411"/>
      <c r="I32" s="411"/>
      <c r="J32" s="411"/>
      <c r="K32" s="411"/>
      <c r="L32" s="411"/>
      <c r="M32" s="411"/>
      <c r="N32" s="271"/>
      <c r="O32" s="271"/>
      <c r="P32" s="271"/>
      <c r="Q32" s="271"/>
      <c r="R32" s="271"/>
      <c r="S32" s="271"/>
      <c r="T32" s="271"/>
      <c r="U32" s="271"/>
      <c r="V32" s="271"/>
      <c r="W32" s="271"/>
      <c r="X32" s="271"/>
      <c r="Y32" s="271"/>
      <c r="Z32" s="271"/>
      <c r="AA32" s="271"/>
    </row>
    <row r="33" spans="2:27" ht="15.75">
      <c r="B33" s="71" t="s">
        <v>112</v>
      </c>
      <c r="C33" s="72">
        <v>42825</v>
      </c>
      <c r="D33" s="72">
        <v>42916</v>
      </c>
      <c r="E33" s="72">
        <v>43008</v>
      </c>
      <c r="F33" s="72">
        <v>43100</v>
      </c>
      <c r="G33" s="72">
        <v>43190</v>
      </c>
      <c r="H33" s="72">
        <v>43281</v>
      </c>
      <c r="I33" s="72">
        <v>43373</v>
      </c>
      <c r="J33" s="162">
        <v>43465</v>
      </c>
      <c r="K33" s="162">
        <v>43555</v>
      </c>
      <c r="L33" s="162">
        <v>43646</v>
      </c>
      <c r="M33" s="162">
        <v>43738</v>
      </c>
      <c r="N33" s="162">
        <v>43830</v>
      </c>
      <c r="O33" s="162">
        <v>43921</v>
      </c>
      <c r="P33" s="162">
        <v>44012</v>
      </c>
      <c r="Q33" s="162">
        <v>44104</v>
      </c>
      <c r="R33" s="162">
        <v>44196</v>
      </c>
      <c r="S33" s="162">
        <f>S3</f>
        <v>44286</v>
      </c>
      <c r="T33" s="162">
        <f>T3</f>
        <v>44377</v>
      </c>
      <c r="U33" s="162">
        <v>44469</v>
      </c>
      <c r="V33" s="162">
        <f>V3</f>
        <v>44561</v>
      </c>
      <c r="W33" s="162">
        <v>44651</v>
      </c>
      <c r="X33" s="162">
        <v>44742</v>
      </c>
      <c r="Y33" s="162">
        <v>44834</v>
      </c>
      <c r="Z33" s="162">
        <v>44926</v>
      </c>
      <c r="AA33" s="162">
        <v>45016</v>
      </c>
    </row>
    <row r="34" spans="2:27" ht="18">
      <c r="B34" s="88"/>
      <c r="C34" s="89"/>
      <c r="D34" s="89"/>
      <c r="E34" s="90"/>
      <c r="F34" s="89"/>
      <c r="G34" s="89"/>
      <c r="H34" s="90"/>
      <c r="I34" s="90"/>
      <c r="J34" s="90"/>
      <c r="K34" s="90"/>
      <c r="L34" s="90"/>
      <c r="M34" s="90"/>
      <c r="N34" s="90"/>
      <c r="O34" s="90"/>
      <c r="P34" s="90"/>
      <c r="Q34" s="90"/>
      <c r="R34" s="90"/>
      <c r="S34" s="90"/>
      <c r="T34" s="90"/>
      <c r="U34" s="90"/>
      <c r="V34" s="90"/>
      <c r="W34" s="90"/>
      <c r="X34" s="90"/>
      <c r="Y34" s="90"/>
      <c r="Z34" s="90"/>
      <c r="AA34" s="90"/>
    </row>
    <row r="35" spans="2:27" ht="15.75">
      <c r="B35" s="91" t="s">
        <v>102</v>
      </c>
      <c r="C35" s="76">
        <v>2458976</v>
      </c>
      <c r="D35" s="76">
        <v>2281035</v>
      </c>
      <c r="E35" s="76">
        <v>2387267</v>
      </c>
      <c r="F35" s="76">
        <v>3046420</v>
      </c>
      <c r="G35" s="76">
        <v>2325040</v>
      </c>
      <c r="H35" s="76">
        <v>2125224</v>
      </c>
      <c r="I35" s="76">
        <v>2554236</v>
      </c>
      <c r="J35" s="76">
        <v>3335670</v>
      </c>
      <c r="K35" s="76">
        <v>3112311</v>
      </c>
      <c r="L35" s="76">
        <v>2984180</v>
      </c>
      <c r="M35" s="76">
        <v>3385283</v>
      </c>
      <c r="N35" s="76">
        <v>2889738</v>
      </c>
      <c r="O35" s="76">
        <v>2936522</v>
      </c>
      <c r="P35" s="76">
        <v>3002048</v>
      </c>
      <c r="Q35" s="76">
        <v>3690047</v>
      </c>
      <c r="R35" s="76">
        <v>4479098</v>
      </c>
      <c r="S35" s="76">
        <v>4509443</v>
      </c>
      <c r="T35" s="76">
        <v>5377667</v>
      </c>
      <c r="U35" s="76">
        <v>6805830</v>
      </c>
      <c r="V35" s="76">
        <v>6331989</v>
      </c>
      <c r="W35" s="76">
        <v>5329348</v>
      </c>
      <c r="X35" s="76">
        <v>6135616</v>
      </c>
      <c r="Y35" s="76">
        <v>4998167</v>
      </c>
      <c r="Z35" s="76">
        <v>5392626</v>
      </c>
      <c r="AA35" s="76">
        <v>5180871</v>
      </c>
    </row>
    <row r="36" spans="2:27" ht="15.75">
      <c r="B36" s="92" t="s">
        <v>113</v>
      </c>
      <c r="C36" s="93">
        <v>609555</v>
      </c>
      <c r="D36" s="93">
        <v>630476</v>
      </c>
      <c r="E36" s="93">
        <v>875662</v>
      </c>
      <c r="F36" s="93">
        <v>1010471</v>
      </c>
      <c r="G36" s="93">
        <v>30934</v>
      </c>
      <c r="H36" s="93">
        <v>23156</v>
      </c>
      <c r="I36" s="93">
        <v>22360</v>
      </c>
      <c r="J36" s="93">
        <v>471216</v>
      </c>
      <c r="K36" s="93">
        <v>189508</v>
      </c>
      <c r="L36" s="93">
        <v>262921</v>
      </c>
      <c r="M36" s="93">
        <v>280089</v>
      </c>
      <c r="N36" s="93">
        <v>125647</v>
      </c>
      <c r="O36" s="93">
        <v>69703</v>
      </c>
      <c r="P36" s="93">
        <v>158156</v>
      </c>
      <c r="Q36" s="93">
        <v>71797</v>
      </c>
      <c r="R36" s="93">
        <v>140332</v>
      </c>
      <c r="S36" s="93">
        <v>65157</v>
      </c>
      <c r="T36" s="93">
        <v>143271</v>
      </c>
      <c r="U36" s="93">
        <v>62858</v>
      </c>
      <c r="V36" s="93">
        <v>176291</v>
      </c>
      <c r="W36" s="93">
        <v>56274</v>
      </c>
      <c r="X36" s="93">
        <v>174984</v>
      </c>
      <c r="Y36" s="93">
        <v>95327</v>
      </c>
      <c r="Z36" s="93">
        <v>135697</v>
      </c>
      <c r="AA36" s="93">
        <v>154633</v>
      </c>
    </row>
    <row r="37" spans="2:27" ht="15.75">
      <c r="B37" s="92" t="s">
        <v>114</v>
      </c>
      <c r="C37" s="93">
        <v>683157</v>
      </c>
      <c r="D37" s="93">
        <v>703438</v>
      </c>
      <c r="E37" s="93">
        <v>738257</v>
      </c>
      <c r="F37" s="93">
        <v>976917</v>
      </c>
      <c r="G37" s="93">
        <v>1107295</v>
      </c>
      <c r="H37" s="93">
        <v>1086263</v>
      </c>
      <c r="I37" s="93">
        <v>1483277</v>
      </c>
      <c r="J37" s="93">
        <v>1133763</v>
      </c>
      <c r="K37" s="93">
        <v>1149580</v>
      </c>
      <c r="L37" s="93">
        <v>1166050</v>
      </c>
      <c r="M37" s="93">
        <v>1493648</v>
      </c>
      <c r="N37" s="93">
        <v>1518270</v>
      </c>
      <c r="O37" s="93">
        <v>1510963</v>
      </c>
      <c r="P37" s="93">
        <v>1078259</v>
      </c>
      <c r="Q37" s="93">
        <v>1633137</v>
      </c>
      <c r="R37" s="93">
        <v>1917690</v>
      </c>
      <c r="S37" s="93">
        <v>2137223</v>
      </c>
      <c r="T37" s="93">
        <v>2177726</v>
      </c>
      <c r="U37" s="93">
        <v>2682254</v>
      </c>
      <c r="V37" s="93">
        <v>2630292</v>
      </c>
      <c r="W37" s="93">
        <v>2734336</v>
      </c>
      <c r="X37" s="93">
        <v>4048784</v>
      </c>
      <c r="Y37" s="93">
        <v>2908471</v>
      </c>
      <c r="Z37" s="93">
        <v>2838631</v>
      </c>
      <c r="AA37" s="93">
        <v>2415618</v>
      </c>
    </row>
    <row r="38" spans="2:27" ht="15.75">
      <c r="B38" s="94" t="s">
        <v>115</v>
      </c>
      <c r="C38" s="95">
        <v>180941</v>
      </c>
      <c r="D38" s="95">
        <v>211743</v>
      </c>
      <c r="E38" s="95">
        <v>240574</v>
      </c>
      <c r="F38" s="95">
        <v>188735</v>
      </c>
      <c r="G38" s="95">
        <v>212949</v>
      </c>
      <c r="H38" s="95">
        <v>221247</v>
      </c>
      <c r="I38" s="95">
        <v>242639</v>
      </c>
      <c r="J38" s="95">
        <v>205583</v>
      </c>
      <c r="K38" s="95">
        <v>194354</v>
      </c>
      <c r="L38" s="95">
        <v>221279</v>
      </c>
      <c r="M38" s="95">
        <v>249717</v>
      </c>
      <c r="N38" s="95">
        <v>198416</v>
      </c>
      <c r="O38" s="95">
        <v>204377</v>
      </c>
      <c r="P38" s="95">
        <v>256837</v>
      </c>
      <c r="Q38" s="95">
        <v>262164</v>
      </c>
      <c r="R38" s="95">
        <v>180757</v>
      </c>
      <c r="S38" s="95">
        <v>193981</v>
      </c>
      <c r="T38" s="95">
        <v>225589</v>
      </c>
      <c r="U38" s="95">
        <v>260518</v>
      </c>
      <c r="V38" s="95">
        <v>221950</v>
      </c>
      <c r="W38" s="95">
        <v>228214</v>
      </c>
      <c r="X38" s="93">
        <v>262326</v>
      </c>
      <c r="Y38" s="93">
        <v>303756</v>
      </c>
      <c r="Z38" s="93">
        <v>267712</v>
      </c>
      <c r="AA38" s="93">
        <v>259752</v>
      </c>
    </row>
    <row r="39" spans="2:27" ht="15.75">
      <c r="B39" s="94" t="s">
        <v>116</v>
      </c>
      <c r="C39" s="95">
        <v>123035</v>
      </c>
      <c r="D39" s="95">
        <v>126256</v>
      </c>
      <c r="E39" s="95">
        <v>85533</v>
      </c>
      <c r="F39" s="95">
        <v>96523</v>
      </c>
      <c r="G39" s="95">
        <v>83861</v>
      </c>
      <c r="H39" s="95">
        <v>97426</v>
      </c>
      <c r="I39" s="95">
        <v>93841</v>
      </c>
      <c r="J39" s="95">
        <v>126212</v>
      </c>
      <c r="K39" s="95">
        <v>92659</v>
      </c>
      <c r="L39" s="95">
        <v>110111</v>
      </c>
      <c r="M39" s="95">
        <v>112297</v>
      </c>
      <c r="N39" s="95">
        <v>114693</v>
      </c>
      <c r="O39" s="95">
        <v>116371</v>
      </c>
      <c r="P39" s="95">
        <v>199386</v>
      </c>
      <c r="Q39" s="95">
        <v>392854</v>
      </c>
      <c r="R39" s="95">
        <v>610804</v>
      </c>
      <c r="S39" s="95">
        <v>642217</v>
      </c>
      <c r="T39" s="95">
        <v>1643118</v>
      </c>
      <c r="U39" s="95">
        <v>1170179</v>
      </c>
      <c r="V39" s="95">
        <v>1010852</v>
      </c>
      <c r="W39" s="95">
        <v>305621</v>
      </c>
      <c r="X39" s="93">
        <v>316430</v>
      </c>
      <c r="Y39" s="93">
        <v>314062</v>
      </c>
      <c r="Z39" s="93">
        <v>191212</v>
      </c>
      <c r="AA39" s="93">
        <v>301174</v>
      </c>
    </row>
    <row r="40" spans="2:27" ht="15.75">
      <c r="B40" s="92" t="s">
        <v>117</v>
      </c>
      <c r="C40" s="93">
        <v>606752</v>
      </c>
      <c r="D40" s="93">
        <v>327442</v>
      </c>
      <c r="E40" s="93">
        <v>201334</v>
      </c>
      <c r="F40" s="93">
        <v>475251</v>
      </c>
      <c r="G40" s="93">
        <v>527353</v>
      </c>
      <c r="H40" s="93">
        <v>468171</v>
      </c>
      <c r="I40" s="93">
        <v>506555</v>
      </c>
      <c r="J40" s="93">
        <v>965927</v>
      </c>
      <c r="K40" s="93">
        <v>994268</v>
      </c>
      <c r="L40" s="93">
        <v>912265</v>
      </c>
      <c r="M40" s="93">
        <v>915783</v>
      </c>
      <c r="N40" s="93">
        <v>613803</v>
      </c>
      <c r="O40" s="93">
        <v>716331</v>
      </c>
      <c r="P40" s="93">
        <v>939679</v>
      </c>
      <c r="Q40" s="93">
        <v>927184</v>
      </c>
      <c r="R40" s="93">
        <v>880711</v>
      </c>
      <c r="S40" s="93">
        <v>820738</v>
      </c>
      <c r="T40" s="93">
        <v>763231</v>
      </c>
      <c r="U40" s="93">
        <v>986066</v>
      </c>
      <c r="V40" s="93">
        <v>718054</v>
      </c>
      <c r="W40" s="93">
        <v>563859</v>
      </c>
      <c r="X40" s="93">
        <v>895461</v>
      </c>
      <c r="Y40" s="93">
        <v>938149</v>
      </c>
      <c r="Z40" s="93">
        <v>935375</v>
      </c>
      <c r="AA40" s="93">
        <v>1233989</v>
      </c>
    </row>
    <row r="41" spans="2:27" ht="15.75">
      <c r="B41" s="92" t="s">
        <v>118</v>
      </c>
      <c r="C41" s="93">
        <v>22003</v>
      </c>
      <c r="D41" s="93">
        <v>22000</v>
      </c>
      <c r="E41" s="93">
        <v>138</v>
      </c>
      <c r="F41" s="93">
        <v>75644</v>
      </c>
      <c r="G41" s="93">
        <v>119942</v>
      </c>
      <c r="H41" s="93">
        <v>185</v>
      </c>
      <c r="I41" s="93">
        <v>182</v>
      </c>
      <c r="J41" s="93">
        <v>202809</v>
      </c>
      <c r="K41" s="93">
        <v>202809</v>
      </c>
      <c r="L41" s="93">
        <v>11892</v>
      </c>
      <c r="M41" s="93">
        <v>395</v>
      </c>
      <c r="N41" s="93">
        <v>67814</v>
      </c>
      <c r="O41" s="93">
        <v>67809</v>
      </c>
      <c r="P41" s="93">
        <v>8630</v>
      </c>
      <c r="Q41" s="93">
        <v>8630</v>
      </c>
      <c r="R41" s="93">
        <v>324728</v>
      </c>
      <c r="S41" s="93">
        <v>276536</v>
      </c>
      <c r="T41" s="93">
        <v>678</v>
      </c>
      <c r="U41" s="93">
        <v>1267093</v>
      </c>
      <c r="V41" s="93">
        <v>968984</v>
      </c>
      <c r="W41" s="93">
        <v>966934</v>
      </c>
      <c r="X41" s="93">
        <v>117326</v>
      </c>
      <c r="Y41" s="93">
        <v>60446</v>
      </c>
      <c r="Z41" s="93">
        <v>470599</v>
      </c>
      <c r="AA41" s="93">
        <v>470580</v>
      </c>
    </row>
    <row r="42" spans="2:27" ht="15.75">
      <c r="B42" s="92" t="s">
        <v>119</v>
      </c>
      <c r="C42" s="93">
        <v>55094</v>
      </c>
      <c r="D42" s="93">
        <v>53358</v>
      </c>
      <c r="E42" s="93">
        <v>39607</v>
      </c>
      <c r="F42" s="93">
        <v>81394</v>
      </c>
      <c r="G42" s="93">
        <v>100115</v>
      </c>
      <c r="H42" s="93">
        <v>105405</v>
      </c>
      <c r="I42" s="93">
        <v>76017</v>
      </c>
      <c r="J42" s="93">
        <v>63484</v>
      </c>
      <c r="K42" s="93">
        <v>72179</v>
      </c>
      <c r="L42" s="93">
        <v>57171</v>
      </c>
      <c r="M42" s="93">
        <v>100251</v>
      </c>
      <c r="N42" s="93">
        <v>57757</v>
      </c>
      <c r="O42" s="93">
        <v>67904</v>
      </c>
      <c r="P42" s="93">
        <v>59533</v>
      </c>
      <c r="Q42" s="93">
        <v>115692</v>
      </c>
      <c r="R42" s="93">
        <v>139678</v>
      </c>
      <c r="S42" s="93">
        <v>152468</v>
      </c>
      <c r="T42" s="93">
        <v>176235</v>
      </c>
      <c r="U42" s="93">
        <v>95374</v>
      </c>
      <c r="V42" s="93">
        <v>154267</v>
      </c>
      <c r="W42" s="93">
        <v>154056</v>
      </c>
      <c r="X42" s="93">
        <v>93483</v>
      </c>
      <c r="Y42" s="93">
        <v>111901</v>
      </c>
      <c r="Z42" s="93">
        <v>108813</v>
      </c>
      <c r="AA42" s="93">
        <v>52731</v>
      </c>
    </row>
    <row r="43" spans="2:27" ht="15.75">
      <c r="B43" s="92" t="s">
        <v>309</v>
      </c>
      <c r="C43" s="93">
        <v>0</v>
      </c>
      <c r="D43" s="93">
        <v>0</v>
      </c>
      <c r="E43" s="93">
        <v>0</v>
      </c>
      <c r="F43" s="93">
        <v>0</v>
      </c>
      <c r="G43" s="93">
        <v>0</v>
      </c>
      <c r="H43" s="93">
        <v>0</v>
      </c>
      <c r="I43" s="93">
        <v>0</v>
      </c>
      <c r="J43" s="93">
        <v>0</v>
      </c>
      <c r="K43" s="93">
        <v>0</v>
      </c>
      <c r="L43" s="93">
        <v>0</v>
      </c>
      <c r="M43" s="93">
        <v>0</v>
      </c>
      <c r="N43" s="93">
        <v>0</v>
      </c>
      <c r="O43" s="93">
        <v>0</v>
      </c>
      <c r="P43" s="93">
        <v>49860</v>
      </c>
      <c r="Q43" s="93">
        <v>26950</v>
      </c>
      <c r="R43" s="93" t="s">
        <v>25</v>
      </c>
      <c r="S43" s="93" t="s">
        <v>25</v>
      </c>
      <c r="T43" s="93" t="s">
        <v>25</v>
      </c>
      <c r="U43" s="93" t="s">
        <v>25</v>
      </c>
      <c r="V43" s="93" t="s">
        <v>25</v>
      </c>
      <c r="W43" s="93" t="s">
        <v>25</v>
      </c>
      <c r="X43" s="93" t="s">
        <v>25</v>
      </c>
      <c r="Y43" s="93" t="s">
        <v>25</v>
      </c>
      <c r="Z43" s="93" t="s">
        <v>25</v>
      </c>
      <c r="AA43" s="93" t="s">
        <v>25</v>
      </c>
    </row>
    <row r="44" spans="2:27" ht="15.75">
      <c r="B44" s="92" t="s">
        <v>11</v>
      </c>
      <c r="C44" s="93">
        <v>178439</v>
      </c>
      <c r="D44" s="93">
        <v>206322</v>
      </c>
      <c r="E44" s="93">
        <v>206162</v>
      </c>
      <c r="F44" s="93">
        <v>141485</v>
      </c>
      <c r="G44" s="93">
        <v>142591</v>
      </c>
      <c r="H44" s="93">
        <v>123371</v>
      </c>
      <c r="I44" s="93">
        <v>129365</v>
      </c>
      <c r="J44" s="93">
        <v>166676</v>
      </c>
      <c r="K44" s="93">
        <v>216954</v>
      </c>
      <c r="L44" s="93">
        <v>242491</v>
      </c>
      <c r="M44" s="93">
        <v>233103</v>
      </c>
      <c r="N44" s="93">
        <v>193338</v>
      </c>
      <c r="O44" s="93">
        <v>183064</v>
      </c>
      <c r="P44" s="93">
        <v>251708</v>
      </c>
      <c r="Q44" s="93">
        <v>251639</v>
      </c>
      <c r="R44" s="93">
        <v>284398</v>
      </c>
      <c r="S44" s="93">
        <v>221123</v>
      </c>
      <c r="T44" s="93">
        <v>247819</v>
      </c>
      <c r="U44" s="93">
        <v>281488</v>
      </c>
      <c r="V44" s="93">
        <v>451299</v>
      </c>
      <c r="W44" s="93">
        <v>320054</v>
      </c>
      <c r="X44" s="93">
        <v>226822</v>
      </c>
      <c r="Y44" s="93">
        <v>266055</v>
      </c>
      <c r="Z44" s="93">
        <v>444587</v>
      </c>
      <c r="AA44" s="93">
        <v>292394</v>
      </c>
    </row>
    <row r="45" spans="2:27" ht="15.75">
      <c r="B45" s="92"/>
      <c r="C45" s="96"/>
      <c r="D45" s="96"/>
      <c r="E45" s="96"/>
      <c r="F45" s="96"/>
      <c r="G45" s="96"/>
      <c r="H45" s="96"/>
      <c r="I45" s="96"/>
      <c r="J45" s="96"/>
      <c r="K45" s="96"/>
      <c r="L45" s="96"/>
      <c r="M45" s="267"/>
      <c r="N45" s="267"/>
      <c r="O45" s="267"/>
      <c r="P45" s="267"/>
      <c r="Q45" s="267"/>
      <c r="R45" s="267"/>
      <c r="S45" s="267"/>
      <c r="T45" s="267"/>
      <c r="U45" s="267"/>
      <c r="V45" s="267"/>
      <c r="W45" s="267"/>
    </row>
    <row r="46" spans="2:27" ht="15.75">
      <c r="B46" s="91" t="s">
        <v>109</v>
      </c>
      <c r="C46" s="76">
        <v>8445852</v>
      </c>
      <c r="D46" s="76">
        <v>8464035</v>
      </c>
      <c r="E46" s="76">
        <v>8091901</v>
      </c>
      <c r="F46" s="76">
        <v>7754093</v>
      </c>
      <c r="G46" s="76">
        <v>7756145</v>
      </c>
      <c r="H46" s="76">
        <v>7939018</v>
      </c>
      <c r="I46" s="76">
        <v>8029694</v>
      </c>
      <c r="J46" s="76">
        <v>7490790</v>
      </c>
      <c r="K46" s="76">
        <v>7372906</v>
      </c>
      <c r="L46" s="76">
        <v>7264334</v>
      </c>
      <c r="M46" s="76">
        <v>7867171</v>
      </c>
      <c r="N46" s="76">
        <v>7881610</v>
      </c>
      <c r="O46" s="76">
        <v>8419315</v>
      </c>
      <c r="P46" s="76">
        <v>8631718</v>
      </c>
      <c r="Q46" s="76">
        <v>8760686</v>
      </c>
      <c r="R46" s="76">
        <v>8634869</v>
      </c>
      <c r="S46" s="76">
        <v>9346595</v>
      </c>
      <c r="T46" s="76">
        <v>8599084</v>
      </c>
      <c r="U46" s="327">
        <v>9164986</v>
      </c>
      <c r="V46" s="327">
        <v>8791077</v>
      </c>
      <c r="W46" s="327">
        <v>8155793</v>
      </c>
      <c r="X46" s="327">
        <v>8695556</v>
      </c>
      <c r="Y46" s="327">
        <v>8873192</v>
      </c>
      <c r="Z46" s="327">
        <v>8720075</v>
      </c>
      <c r="AA46" s="327">
        <v>8572437</v>
      </c>
    </row>
    <row r="47" spans="2:27" ht="15.75">
      <c r="B47" s="92" t="s">
        <v>113</v>
      </c>
      <c r="C47" s="96">
        <v>609555</v>
      </c>
      <c r="D47" s="96">
        <v>630476</v>
      </c>
      <c r="E47" s="96">
        <v>875662</v>
      </c>
      <c r="F47" s="96">
        <v>1010471</v>
      </c>
      <c r="G47" s="96">
        <v>5648767</v>
      </c>
      <c r="H47" s="96">
        <v>5820092</v>
      </c>
      <c r="I47" s="96">
        <v>22360</v>
      </c>
      <c r="J47" s="96">
        <v>5382754</v>
      </c>
      <c r="K47" s="96">
        <v>5306543</v>
      </c>
      <c r="L47" s="96">
        <v>5202976</v>
      </c>
      <c r="M47" s="96">
        <v>5574665</v>
      </c>
      <c r="N47" s="96">
        <v>4984905</v>
      </c>
      <c r="O47" s="96">
        <v>5860869</v>
      </c>
      <c r="P47" s="96">
        <v>6065541</v>
      </c>
      <c r="Q47" s="96">
        <v>6192003</v>
      </c>
      <c r="R47" s="96">
        <v>5832410</v>
      </c>
      <c r="S47" s="96">
        <v>6209967</v>
      </c>
      <c r="T47" s="96">
        <v>5689770</v>
      </c>
      <c r="U47" s="96">
        <v>6019796</v>
      </c>
      <c r="V47" s="96">
        <v>6127751</v>
      </c>
      <c r="W47" s="96">
        <v>5498775</v>
      </c>
      <c r="X47" s="96">
        <v>5877162</v>
      </c>
      <c r="Y47" s="96">
        <v>6006531</v>
      </c>
      <c r="Z47" s="96">
        <v>6066582</v>
      </c>
      <c r="AA47" s="96">
        <v>5966280</v>
      </c>
    </row>
    <row r="48" spans="2:27" ht="15.75">
      <c r="B48" s="92" t="s">
        <v>120</v>
      </c>
      <c r="C48" s="96">
        <v>1139376</v>
      </c>
      <c r="D48" s="96">
        <v>1088014</v>
      </c>
      <c r="E48" s="96">
        <v>1050848</v>
      </c>
      <c r="F48" s="96">
        <v>1050324</v>
      </c>
      <c r="G48" s="96">
        <v>1032979</v>
      </c>
      <c r="H48" s="96">
        <v>1008164</v>
      </c>
      <c r="I48" s="96">
        <v>1002144</v>
      </c>
      <c r="J48" s="96">
        <v>1034228</v>
      </c>
      <c r="K48" s="96">
        <v>1013879</v>
      </c>
      <c r="L48" s="96">
        <v>1009666</v>
      </c>
      <c r="M48" s="96">
        <v>1018698</v>
      </c>
      <c r="N48" s="96">
        <v>1574796</v>
      </c>
      <c r="O48" s="96">
        <v>1255608</v>
      </c>
      <c r="P48" s="96">
        <v>1266115</v>
      </c>
      <c r="Q48" s="96">
        <v>1287642</v>
      </c>
      <c r="R48" s="96">
        <v>1471801</v>
      </c>
      <c r="S48" s="96">
        <v>1522646</v>
      </c>
      <c r="T48" s="96">
        <v>1560006</v>
      </c>
      <c r="U48" s="96">
        <v>1597662</v>
      </c>
      <c r="V48" s="96">
        <v>1141136</v>
      </c>
      <c r="W48" s="96">
        <v>1167156</v>
      </c>
      <c r="X48" s="96">
        <v>1192758</v>
      </c>
      <c r="Y48" s="96">
        <v>1220400</v>
      </c>
      <c r="Z48" s="96">
        <v>952905</v>
      </c>
      <c r="AA48" s="96">
        <v>961182</v>
      </c>
    </row>
    <row r="49" spans="2:28" ht="15.75">
      <c r="B49" s="92" t="s">
        <v>78</v>
      </c>
      <c r="C49" s="96">
        <v>665078</v>
      </c>
      <c r="D49" s="96">
        <v>679478</v>
      </c>
      <c r="E49" s="96">
        <v>674806</v>
      </c>
      <c r="F49" s="96">
        <v>668964</v>
      </c>
      <c r="G49" s="96">
        <v>688777</v>
      </c>
      <c r="H49" s="96">
        <v>719473</v>
      </c>
      <c r="I49" s="96">
        <v>759968</v>
      </c>
      <c r="J49" s="96">
        <v>635551</v>
      </c>
      <c r="K49" s="96">
        <v>617101</v>
      </c>
      <c r="L49" s="96">
        <v>610938</v>
      </c>
      <c r="M49" s="96">
        <v>785616</v>
      </c>
      <c r="N49" s="96">
        <v>777386</v>
      </c>
      <c r="O49" s="96">
        <v>717198</v>
      </c>
      <c r="P49" s="96">
        <v>746427</v>
      </c>
      <c r="Q49" s="96">
        <v>729813</v>
      </c>
      <c r="R49" s="96">
        <v>799601</v>
      </c>
      <c r="S49" s="96">
        <v>772920</v>
      </c>
      <c r="T49" s="96">
        <v>736906</v>
      </c>
      <c r="U49" s="96">
        <v>932401</v>
      </c>
      <c r="V49" s="96">
        <v>919154</v>
      </c>
      <c r="W49" s="96">
        <v>909565</v>
      </c>
      <c r="X49" s="96">
        <v>905487</v>
      </c>
      <c r="Y49" s="96">
        <v>888449</v>
      </c>
      <c r="Z49" s="96">
        <v>892157</v>
      </c>
      <c r="AA49" s="96">
        <v>868162</v>
      </c>
      <c r="AB49" s="331"/>
    </row>
    <row r="50" spans="2:28" ht="15.75">
      <c r="B50" s="92" t="s">
        <v>121</v>
      </c>
      <c r="C50" s="96">
        <v>146721</v>
      </c>
      <c r="D50" s="96">
        <v>150494</v>
      </c>
      <c r="E50" s="96">
        <v>154364</v>
      </c>
      <c r="F50" s="96">
        <v>158333</v>
      </c>
      <c r="G50" s="96">
        <v>162126</v>
      </c>
      <c r="H50" s="96">
        <v>166009</v>
      </c>
      <c r="I50" s="96">
        <v>169985</v>
      </c>
      <c r="J50" s="96">
        <v>203707</v>
      </c>
      <c r="K50" s="96">
        <v>213430</v>
      </c>
      <c r="L50" s="96">
        <v>218338</v>
      </c>
      <c r="M50" s="96">
        <v>223359</v>
      </c>
      <c r="N50" s="96">
        <v>231591</v>
      </c>
      <c r="O50" s="96">
        <v>234478</v>
      </c>
      <c r="P50" s="96">
        <v>237968</v>
      </c>
      <c r="Q50" s="96">
        <v>241442</v>
      </c>
      <c r="R50" s="96">
        <v>230002</v>
      </c>
      <c r="S50" s="96">
        <v>233882</v>
      </c>
      <c r="T50" s="96">
        <v>237516</v>
      </c>
      <c r="U50" s="96">
        <v>241476</v>
      </c>
      <c r="V50" s="96">
        <v>233178</v>
      </c>
      <c r="W50" s="96">
        <v>227754</v>
      </c>
      <c r="X50" s="96">
        <v>222712</v>
      </c>
      <c r="Y50" s="96">
        <v>226537</v>
      </c>
      <c r="Z50" s="96">
        <v>283060</v>
      </c>
      <c r="AA50" s="96">
        <v>286619</v>
      </c>
      <c r="AB50" s="331"/>
    </row>
    <row r="51" spans="2:28" ht="15.75">
      <c r="B51" s="92" t="s">
        <v>11</v>
      </c>
      <c r="C51" s="96">
        <v>5885122</v>
      </c>
      <c r="D51" s="96">
        <v>5915573</v>
      </c>
      <c r="E51" s="96">
        <v>5336221</v>
      </c>
      <c r="F51" s="96">
        <v>4866001</v>
      </c>
      <c r="G51" s="96">
        <v>223496</v>
      </c>
      <c r="H51" s="96">
        <v>225280</v>
      </c>
      <c r="I51" s="96">
        <v>129365</v>
      </c>
      <c r="J51" s="96">
        <v>234550</v>
      </c>
      <c r="K51" s="96">
        <v>221953</v>
      </c>
      <c r="L51" s="96">
        <v>222416</v>
      </c>
      <c r="M51" s="96">
        <v>264833</v>
      </c>
      <c r="N51" s="96">
        <v>312932</v>
      </c>
      <c r="O51" s="96">
        <v>351162</v>
      </c>
      <c r="P51" s="96">
        <v>315667</v>
      </c>
      <c r="Q51" s="96">
        <v>309786</v>
      </c>
      <c r="R51" s="96">
        <v>301055</v>
      </c>
      <c r="S51" s="96">
        <v>607180</v>
      </c>
      <c r="T51" s="96">
        <v>374886</v>
      </c>
      <c r="U51" s="96">
        <v>373651</v>
      </c>
      <c r="V51" s="96">
        <v>369858</v>
      </c>
      <c r="W51" s="96">
        <v>352543</v>
      </c>
      <c r="X51" s="96">
        <v>497437</v>
      </c>
      <c r="Y51" s="96">
        <v>531275</v>
      </c>
      <c r="Z51" s="96">
        <v>525371</v>
      </c>
      <c r="AA51" s="96">
        <v>490194</v>
      </c>
      <c r="AB51" s="330"/>
    </row>
    <row r="52" spans="2:28" ht="15.75">
      <c r="B52" s="92"/>
      <c r="C52" s="96"/>
      <c r="D52" s="96"/>
      <c r="E52" s="96"/>
      <c r="F52" s="96"/>
      <c r="G52" s="96"/>
      <c r="H52" s="96"/>
      <c r="I52" s="96"/>
      <c r="J52" s="96"/>
      <c r="K52" s="96"/>
      <c r="L52" s="96"/>
      <c r="M52" s="267"/>
      <c r="N52" s="267"/>
      <c r="O52" s="267"/>
      <c r="P52" s="267"/>
      <c r="Q52" s="267"/>
      <c r="R52" s="267"/>
      <c r="S52" s="267"/>
      <c r="T52" s="267"/>
      <c r="U52" s="267"/>
      <c r="V52" s="267"/>
      <c r="W52" s="267"/>
      <c r="X52" s="267"/>
      <c r="Y52" s="267"/>
      <c r="Z52" s="267"/>
      <c r="AA52" s="267"/>
      <c r="AB52" s="331"/>
    </row>
    <row r="53" spans="2:28" ht="15.75">
      <c r="B53" s="97" t="s">
        <v>122</v>
      </c>
      <c r="C53" s="76">
        <v>15399740</v>
      </c>
      <c r="D53" s="76">
        <v>15271062</v>
      </c>
      <c r="E53" s="76">
        <v>15326649</v>
      </c>
      <c r="F53" s="76">
        <v>15183964</v>
      </c>
      <c r="G53" s="76">
        <v>15295593</v>
      </c>
      <c r="H53" s="76">
        <v>15255126</v>
      </c>
      <c r="I53" s="76">
        <v>15514445</v>
      </c>
      <c r="J53" s="76">
        <v>15697391</v>
      </c>
      <c r="K53" s="76">
        <v>15766722</v>
      </c>
      <c r="L53" s="76">
        <v>15917202</v>
      </c>
      <c r="M53" s="76">
        <v>15761278</v>
      </c>
      <c r="N53" s="76">
        <v>15565684</v>
      </c>
      <c r="O53" s="76">
        <v>15620043</v>
      </c>
      <c r="P53" s="76">
        <v>15219124</v>
      </c>
      <c r="Q53" s="76">
        <v>15416634</v>
      </c>
      <c r="R53" s="76">
        <v>16838170</v>
      </c>
      <c r="S53" s="76">
        <v>18009231</v>
      </c>
      <c r="T53" s="76">
        <v>22480743</v>
      </c>
      <c r="U53" s="76">
        <v>22947631</v>
      </c>
      <c r="V53" s="76">
        <v>24358503</v>
      </c>
      <c r="W53" s="76">
        <v>25618503</v>
      </c>
      <c r="X53" s="76">
        <v>26449429</v>
      </c>
      <c r="Y53" s="76">
        <v>27044697</v>
      </c>
      <c r="Z53" s="76">
        <v>25887750</v>
      </c>
      <c r="AA53" s="76">
        <v>26450452</v>
      </c>
    </row>
    <row r="54" spans="2:28" ht="15.75">
      <c r="B54" s="92" t="s">
        <v>123</v>
      </c>
      <c r="C54" s="98">
        <v>13200295</v>
      </c>
      <c r="D54" s="98">
        <v>13200295</v>
      </c>
      <c r="E54" s="98">
        <v>13200295</v>
      </c>
      <c r="F54" s="98">
        <v>13200295</v>
      </c>
      <c r="G54" s="98">
        <v>13200295</v>
      </c>
      <c r="H54" s="98">
        <v>13200295</v>
      </c>
      <c r="I54" s="98">
        <v>13200295</v>
      </c>
      <c r="J54" s="98">
        <v>13200295</v>
      </c>
      <c r="K54" s="98">
        <v>13200295</v>
      </c>
      <c r="L54" s="98">
        <v>13200295</v>
      </c>
      <c r="M54" s="93">
        <v>13200295</v>
      </c>
      <c r="N54" s="93">
        <v>13200295</v>
      </c>
      <c r="O54" s="93">
        <v>13200295</v>
      </c>
      <c r="P54" s="93">
        <v>13200295</v>
      </c>
      <c r="Q54" s="93">
        <v>13200295</v>
      </c>
      <c r="R54" s="93">
        <v>13200295</v>
      </c>
      <c r="S54" s="93">
        <v>13200295</v>
      </c>
      <c r="T54" s="93">
        <v>13200295</v>
      </c>
      <c r="U54" s="93">
        <v>13200295</v>
      </c>
      <c r="V54" s="93">
        <v>13200295</v>
      </c>
      <c r="W54" s="93">
        <v>13200295</v>
      </c>
      <c r="X54" s="93">
        <v>13200295</v>
      </c>
      <c r="Y54" s="93">
        <v>13200295</v>
      </c>
      <c r="Z54" s="93">
        <v>13200295</v>
      </c>
      <c r="AA54" s="93">
        <v>13200295</v>
      </c>
    </row>
    <row r="55" spans="2:28" ht="15.75">
      <c r="B55" s="92" t="s">
        <v>124</v>
      </c>
      <c r="C55" s="93">
        <v>524131</v>
      </c>
      <c r="D55" s="93">
        <v>640458</v>
      </c>
      <c r="E55" s="93">
        <v>702836</v>
      </c>
      <c r="F55" s="93">
        <v>574500</v>
      </c>
      <c r="G55" s="93">
        <v>715547</v>
      </c>
      <c r="H55" s="93">
        <v>665507</v>
      </c>
      <c r="I55" s="93">
        <v>899616</v>
      </c>
      <c r="J55" s="93">
        <v>1066003</v>
      </c>
      <c r="K55" s="93">
        <v>1105910</v>
      </c>
      <c r="L55" s="93">
        <v>1216393</v>
      </c>
      <c r="M55" s="98">
        <v>1036005</v>
      </c>
      <c r="N55" s="98">
        <v>843128</v>
      </c>
      <c r="O55" s="98">
        <v>843392</v>
      </c>
      <c r="P55" s="98">
        <v>371954</v>
      </c>
      <c r="Q55" s="98">
        <v>428937</v>
      </c>
      <c r="R55" s="98">
        <v>1667171</v>
      </c>
      <c r="S55" s="98">
        <v>2565089</v>
      </c>
      <c r="T55" s="98">
        <v>6706112</v>
      </c>
      <c r="U55" s="98">
        <v>6964050</v>
      </c>
      <c r="V55" s="98">
        <v>8549040</v>
      </c>
      <c r="W55" s="98">
        <v>9734159</v>
      </c>
      <c r="X55" s="98">
        <v>10588334</v>
      </c>
      <c r="Y55" s="98">
        <v>11091881</v>
      </c>
      <c r="Z55" s="98">
        <v>9954730</v>
      </c>
      <c r="AA55" s="93">
        <v>10442549</v>
      </c>
    </row>
    <row r="56" spans="2:28" ht="15.75">
      <c r="B56" s="99" t="s">
        <v>125</v>
      </c>
      <c r="C56" s="100">
        <v>1675314</v>
      </c>
      <c r="D56" s="100">
        <v>1430309</v>
      </c>
      <c r="E56" s="100">
        <v>1423518</v>
      </c>
      <c r="F56" s="100">
        <v>1409169</v>
      </c>
      <c r="G56" s="100">
        <v>1379751</v>
      </c>
      <c r="H56" s="100">
        <v>1389324</v>
      </c>
      <c r="I56" s="100">
        <v>1414534</v>
      </c>
      <c r="J56" s="100">
        <v>1431093</v>
      </c>
      <c r="K56" s="100">
        <v>1460517</v>
      </c>
      <c r="L56" s="100">
        <v>1500514</v>
      </c>
      <c r="M56" s="102">
        <v>1524978</v>
      </c>
      <c r="N56" s="102">
        <v>1522261</v>
      </c>
      <c r="O56" s="102">
        <v>1576356</v>
      </c>
      <c r="P56" s="102">
        <v>1646875</v>
      </c>
      <c r="Q56" s="102">
        <v>1787402</v>
      </c>
      <c r="R56" s="102">
        <v>1970704</v>
      </c>
      <c r="S56" s="102">
        <v>2243847</v>
      </c>
      <c r="T56" s="102">
        <v>2574336</v>
      </c>
      <c r="U56" s="102">
        <v>2783286</v>
      </c>
      <c r="V56" s="102">
        <v>2609168</v>
      </c>
      <c r="W56" s="102">
        <v>2684049</v>
      </c>
      <c r="X56" s="102">
        <v>2660800</v>
      </c>
      <c r="Y56" s="102">
        <v>2752521</v>
      </c>
      <c r="Z56" s="102">
        <v>2732725</v>
      </c>
      <c r="AA56" s="102">
        <v>2807608</v>
      </c>
    </row>
    <row r="57" spans="2:28" ht="15.75">
      <c r="B57" s="101"/>
      <c r="C57" s="102"/>
      <c r="D57" s="102"/>
      <c r="E57" s="102"/>
      <c r="F57" s="102"/>
      <c r="G57" s="102"/>
      <c r="H57" s="102"/>
      <c r="I57" s="102"/>
      <c r="J57" s="102"/>
      <c r="K57" s="102"/>
      <c r="L57" s="102"/>
      <c r="M57" s="268"/>
      <c r="N57" s="268"/>
      <c r="O57" s="268"/>
      <c r="P57" s="93"/>
      <c r="Q57" s="93"/>
      <c r="R57" s="93"/>
      <c r="S57" s="93"/>
      <c r="T57" s="93"/>
      <c r="U57" s="93"/>
      <c r="V57" s="93"/>
      <c r="W57" s="93"/>
      <c r="X57" s="93"/>
      <c r="Y57" s="93"/>
      <c r="Z57" s="93"/>
      <c r="AA57" s="376"/>
    </row>
    <row r="58" spans="2:28" ht="15.75">
      <c r="B58" s="97" t="s">
        <v>126</v>
      </c>
      <c r="C58" s="76">
        <v>26304568</v>
      </c>
      <c r="D58" s="76">
        <v>26016132</v>
      </c>
      <c r="E58" s="76">
        <v>25805817</v>
      </c>
      <c r="F58" s="76">
        <v>25984477</v>
      </c>
      <c r="G58" s="76">
        <v>25376778</v>
      </c>
      <c r="H58" s="76">
        <v>25319368</v>
      </c>
      <c r="I58" s="76">
        <v>26098375</v>
      </c>
      <c r="J58" s="76">
        <v>26523851</v>
      </c>
      <c r="K58" s="76">
        <v>26251939</v>
      </c>
      <c r="L58" s="76">
        <v>26165716</v>
      </c>
      <c r="M58" s="76">
        <v>27013732</v>
      </c>
      <c r="N58" s="76">
        <v>26337032</v>
      </c>
      <c r="O58" s="76">
        <v>26975880</v>
      </c>
      <c r="P58" s="76">
        <v>26852890</v>
      </c>
      <c r="Q58" s="76">
        <v>27867367</v>
      </c>
      <c r="R58" s="76">
        <v>29952137</v>
      </c>
      <c r="S58" s="76">
        <v>31865269</v>
      </c>
      <c r="T58" s="76">
        <v>36457494</v>
      </c>
      <c r="U58" s="76">
        <v>38918447</v>
      </c>
      <c r="V58" s="76">
        <v>39481569</v>
      </c>
      <c r="W58" s="76">
        <v>39103644</v>
      </c>
      <c r="X58" s="76">
        <v>41280601</v>
      </c>
      <c r="Y58" s="76">
        <v>40916056</v>
      </c>
      <c r="Z58" s="76">
        <v>40000451</v>
      </c>
      <c r="AA58" s="76">
        <v>40203760</v>
      </c>
    </row>
  </sheetData>
  <mergeCells count="2">
    <mergeCell ref="B2:M2"/>
    <mergeCell ref="B32:M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S33:T33 V3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theme="8" tint="0.59999389629810485"/>
  </sheetPr>
  <dimension ref="B1:AC84"/>
  <sheetViews>
    <sheetView showGridLines="0" zoomScale="70" zoomScaleNormal="70" workbookViewId="0">
      <pane xSplit="2" ySplit="2" topLeftCell="Y61" activePane="bottomRight" state="frozen"/>
      <selection activeCell="AH23" sqref="AH23"/>
      <selection pane="topRight" activeCell="AH23" sqref="AH23"/>
      <selection pane="bottomLeft" activeCell="AH23" sqref="AH23"/>
      <selection pane="bottomRight"/>
    </sheetView>
  </sheetViews>
  <sheetFormatPr defaultRowHeight="15"/>
  <cols>
    <col min="1" max="1" width="4.85546875" customWidth="1"/>
    <col min="2" max="2" width="109.28515625" bestFit="1" customWidth="1"/>
    <col min="3" max="27" width="23" customWidth="1"/>
    <col min="28" max="28" width="18.42578125" bestFit="1" customWidth="1"/>
    <col min="29" max="29" width="17.28515625" bestFit="1" customWidth="1"/>
  </cols>
  <sheetData>
    <row r="1" spans="2:27" ht="56.25" customHeight="1"/>
    <row r="2" spans="2:27">
      <c r="B2" s="103" t="s">
        <v>68</v>
      </c>
      <c r="C2" s="104" t="s">
        <v>37</v>
      </c>
      <c r="D2" s="104" t="s">
        <v>38</v>
      </c>
      <c r="E2" s="104" t="s">
        <v>39</v>
      </c>
      <c r="F2" s="103" t="s">
        <v>40</v>
      </c>
      <c r="G2" s="104" t="s">
        <v>41</v>
      </c>
      <c r="H2" s="104" t="s">
        <v>42</v>
      </c>
      <c r="I2" s="104" t="s">
        <v>43</v>
      </c>
      <c r="J2" s="104" t="s">
        <v>215</v>
      </c>
      <c r="K2" s="104" t="s">
        <v>240</v>
      </c>
      <c r="L2" s="104" t="s">
        <v>251</v>
      </c>
      <c r="M2" s="104" t="s">
        <v>263</v>
      </c>
      <c r="N2" s="104" t="s">
        <v>270</v>
      </c>
      <c r="O2" s="104" t="s">
        <v>283</v>
      </c>
      <c r="P2" s="104" t="s">
        <v>305</v>
      </c>
      <c r="Q2" s="104" t="s">
        <v>313</v>
      </c>
      <c r="R2" s="104" t="s">
        <v>323</v>
      </c>
      <c r="S2" s="104" t="s">
        <v>331</v>
      </c>
      <c r="T2" s="104" t="s">
        <v>334</v>
      </c>
      <c r="U2" s="104" t="s">
        <v>348</v>
      </c>
      <c r="V2" s="104" t="s">
        <v>361</v>
      </c>
      <c r="W2" s="104" t="s">
        <v>362</v>
      </c>
      <c r="X2" s="104" t="s">
        <v>411</v>
      </c>
      <c r="Y2" s="104" t="s">
        <v>413</v>
      </c>
      <c r="Z2" s="104" t="s">
        <v>419</v>
      </c>
      <c r="AA2" s="104" t="s">
        <v>421</v>
      </c>
    </row>
    <row r="3" spans="2:27" ht="15.75">
      <c r="B3" s="105"/>
      <c r="C3" s="106"/>
      <c r="D3" s="107"/>
      <c r="E3" s="108"/>
      <c r="F3" s="105"/>
      <c r="G3" s="106"/>
      <c r="H3" s="107"/>
      <c r="I3" s="107"/>
      <c r="J3" s="107"/>
      <c r="K3" s="107"/>
      <c r="L3" s="107"/>
      <c r="M3" s="107"/>
      <c r="N3" s="107"/>
      <c r="O3" s="107"/>
      <c r="P3" s="107"/>
      <c r="Q3" s="107"/>
      <c r="R3" s="107"/>
      <c r="S3" s="107"/>
      <c r="T3" s="107"/>
      <c r="U3" s="107"/>
      <c r="V3" s="107"/>
      <c r="W3" s="113"/>
      <c r="X3" s="113"/>
      <c r="Y3" s="113"/>
      <c r="Z3" s="113"/>
      <c r="AA3" s="113"/>
    </row>
    <row r="4" spans="2:27" ht="15.75">
      <c r="B4" s="324" t="s">
        <v>127</v>
      </c>
      <c r="C4" s="110"/>
      <c r="D4" s="111"/>
      <c r="E4" s="110"/>
      <c r="F4" s="109"/>
      <c r="G4" s="110"/>
      <c r="H4" s="111"/>
      <c r="I4" s="111"/>
      <c r="J4" s="111"/>
      <c r="K4" s="111"/>
      <c r="L4" s="111"/>
      <c r="M4" s="111"/>
      <c r="N4" s="111"/>
      <c r="O4" s="111"/>
      <c r="P4" s="111"/>
      <c r="Q4" s="110"/>
      <c r="R4" s="110"/>
      <c r="S4" s="110"/>
      <c r="T4" s="110"/>
      <c r="U4" s="110"/>
      <c r="V4" s="110"/>
      <c r="W4" s="113"/>
      <c r="X4" s="113"/>
      <c r="Y4" s="113"/>
      <c r="Z4" s="113"/>
      <c r="AA4" s="113"/>
    </row>
    <row r="5" spans="2:27" ht="15.75">
      <c r="B5" s="265" t="s">
        <v>343</v>
      </c>
      <c r="C5" s="113">
        <v>108318</v>
      </c>
      <c r="D5" s="113">
        <v>175710</v>
      </c>
      <c r="E5" s="114">
        <v>75903</v>
      </c>
      <c r="F5" s="114">
        <v>-44851</v>
      </c>
      <c r="G5" s="113">
        <v>157185</v>
      </c>
      <c r="H5" s="113">
        <v>-19050</v>
      </c>
      <c r="I5" s="113">
        <v>289131</v>
      </c>
      <c r="J5" s="113">
        <v>401429</v>
      </c>
      <c r="K5" s="113">
        <v>76278</v>
      </c>
      <c r="L5" s="113">
        <v>171246</v>
      </c>
      <c r="M5" s="113">
        <v>-138980</v>
      </c>
      <c r="N5" s="113">
        <v>268147</v>
      </c>
      <c r="O5" s="113">
        <v>-423980</v>
      </c>
      <c r="P5" s="113">
        <v>-395061</v>
      </c>
      <c r="Q5" s="113">
        <v>198082</v>
      </c>
      <c r="R5" s="113">
        <v>1912702</v>
      </c>
      <c r="S5" s="113">
        <v>1204897</v>
      </c>
      <c r="T5" s="113">
        <v>4543209</v>
      </c>
      <c r="U5" s="113">
        <v>1823743</v>
      </c>
      <c r="V5" s="113">
        <v>2488105</v>
      </c>
      <c r="W5" s="113">
        <v>1263169</v>
      </c>
      <c r="X5" s="113">
        <v>1059930</v>
      </c>
      <c r="Y5" s="113">
        <v>608575</v>
      </c>
      <c r="Z5" s="113">
        <v>-838785</v>
      </c>
      <c r="AA5" s="113">
        <v>544076</v>
      </c>
    </row>
    <row r="6" spans="2:27" ht="15.75">
      <c r="B6" s="265" t="s">
        <v>128</v>
      </c>
      <c r="C6" s="113">
        <v>4178</v>
      </c>
      <c r="D6" s="113">
        <v>103431</v>
      </c>
      <c r="E6" s="114">
        <v>-26094</v>
      </c>
      <c r="F6" s="114">
        <v>119187</v>
      </c>
      <c r="G6" s="113">
        <v>49781</v>
      </c>
      <c r="H6" s="113">
        <v>226088</v>
      </c>
      <c r="I6" s="113">
        <v>94262</v>
      </c>
      <c r="J6" s="113">
        <v>-23771</v>
      </c>
      <c r="K6" s="113">
        <v>48263</v>
      </c>
      <c r="L6" s="113">
        <v>8534</v>
      </c>
      <c r="M6" s="113">
        <v>261365</v>
      </c>
      <c r="N6" s="113">
        <v>-270746</v>
      </c>
      <c r="O6" s="113">
        <v>773610</v>
      </c>
      <c r="P6" s="113">
        <v>234991</v>
      </c>
      <c r="Q6" s="113">
        <v>116782</v>
      </c>
      <c r="R6" s="113">
        <v>-300989</v>
      </c>
      <c r="S6" s="113">
        <v>287538</v>
      </c>
      <c r="T6" s="113">
        <v>-1281785</v>
      </c>
      <c r="U6" s="113">
        <f>VLOOKUP(B6,'[1]FlCX Trim_RI (final)'!$B$5:$E$76,2,FALSE)</f>
        <v>425715</v>
      </c>
      <c r="V6" s="113">
        <v>-246975</v>
      </c>
      <c r="W6" s="113">
        <v>-487973</v>
      </c>
      <c r="X6" s="113">
        <v>310512</v>
      </c>
      <c r="Y6" s="113">
        <v>81487</v>
      </c>
      <c r="Z6" s="113">
        <v>-120865</v>
      </c>
      <c r="AA6" s="113">
        <v>-37047</v>
      </c>
    </row>
    <row r="7" spans="2:27" ht="15.75">
      <c r="B7" s="265" t="s">
        <v>129</v>
      </c>
      <c r="C7" s="113">
        <v>192519</v>
      </c>
      <c r="D7" s="113">
        <v>150932</v>
      </c>
      <c r="E7" s="115">
        <v>168381</v>
      </c>
      <c r="F7" s="115">
        <v>125102</v>
      </c>
      <c r="G7" s="113">
        <v>99100</v>
      </c>
      <c r="H7" s="113">
        <v>102794</v>
      </c>
      <c r="I7" s="113">
        <v>91974</v>
      </c>
      <c r="J7" s="113">
        <v>98163</v>
      </c>
      <c r="K7" s="113">
        <v>95000</v>
      </c>
      <c r="L7" s="113">
        <v>80944</v>
      </c>
      <c r="M7" s="113">
        <v>120595</v>
      </c>
      <c r="N7" s="113">
        <v>78940</v>
      </c>
      <c r="O7" s="113">
        <v>82217</v>
      </c>
      <c r="P7" s="113">
        <v>88540</v>
      </c>
      <c r="Q7" s="113">
        <v>73321</v>
      </c>
      <c r="R7" s="113">
        <v>68785</v>
      </c>
      <c r="S7" s="113">
        <v>69571</v>
      </c>
      <c r="T7" s="113">
        <v>54212</v>
      </c>
      <c r="U7" s="113">
        <f>VLOOKUP(B7,'[1]FlCX Trim_RI (final)'!$B$5:$E$76,2,FALSE)</f>
        <v>67214</v>
      </c>
      <c r="V7" s="113">
        <v>68975</v>
      </c>
      <c r="W7" s="113">
        <v>60724</v>
      </c>
      <c r="X7" s="113">
        <v>90662</v>
      </c>
      <c r="Y7" s="113">
        <v>108083</v>
      </c>
      <c r="Z7" s="113">
        <v>104526</v>
      </c>
      <c r="AA7" s="113">
        <v>66992</v>
      </c>
    </row>
    <row r="8" spans="2:27" ht="15.75">
      <c r="B8" s="265" t="s">
        <v>130</v>
      </c>
      <c r="C8" s="113">
        <v>306341</v>
      </c>
      <c r="D8" s="113">
        <v>328601</v>
      </c>
      <c r="E8" s="115">
        <v>286572</v>
      </c>
      <c r="F8" s="115">
        <v>250337</v>
      </c>
      <c r="G8" s="113">
        <v>257104</v>
      </c>
      <c r="H8" s="113">
        <v>256332</v>
      </c>
      <c r="I8" s="113">
        <v>257514</v>
      </c>
      <c r="J8" s="113">
        <v>258585</v>
      </c>
      <c r="K8" s="113">
        <v>241020</v>
      </c>
      <c r="L8" s="113">
        <v>240920</v>
      </c>
      <c r="M8" s="113">
        <v>253663</v>
      </c>
      <c r="N8" s="113">
        <v>256182</v>
      </c>
      <c r="O8" s="113">
        <v>248705</v>
      </c>
      <c r="P8" s="113">
        <v>250243</v>
      </c>
      <c r="Q8" s="113">
        <v>248466</v>
      </c>
      <c r="R8" s="113">
        <v>252809</v>
      </c>
      <c r="S8" s="113">
        <v>248637</v>
      </c>
      <c r="T8" s="113">
        <v>250659</v>
      </c>
      <c r="U8" s="113">
        <f>VLOOKUP(B8,'[1]FlCX Trim_RI (final)'!$B$5:$E$76,2,FALSE)</f>
        <v>243462</v>
      </c>
      <c r="V8" s="113">
        <v>239983</v>
      </c>
      <c r="W8" s="113">
        <v>222750</v>
      </c>
      <c r="X8" s="113">
        <v>220482</v>
      </c>
      <c r="Y8" s="113">
        <v>224953</v>
      </c>
      <c r="Z8" s="113">
        <v>234496</v>
      </c>
      <c r="AA8" s="113">
        <v>248670</v>
      </c>
    </row>
    <row r="9" spans="2:27" ht="15.75">
      <c r="B9" s="265" t="s">
        <v>131</v>
      </c>
      <c r="C9" s="113">
        <v>-1408</v>
      </c>
      <c r="D9" s="113">
        <v>586</v>
      </c>
      <c r="E9" s="114">
        <v>-660</v>
      </c>
      <c r="F9" s="114">
        <v>2665</v>
      </c>
      <c r="G9" s="113">
        <v>6797</v>
      </c>
      <c r="H9" s="113">
        <v>326</v>
      </c>
      <c r="I9" s="113">
        <v>-5304</v>
      </c>
      <c r="J9" s="113">
        <v>-1552</v>
      </c>
      <c r="K9" s="113">
        <v>-1159</v>
      </c>
      <c r="L9" s="113">
        <v>-4945</v>
      </c>
      <c r="M9" s="113">
        <v>4</v>
      </c>
      <c r="N9" s="113">
        <v>413</v>
      </c>
      <c r="O9" s="113">
        <v>-868</v>
      </c>
      <c r="P9" s="113">
        <v>-6233</v>
      </c>
      <c r="Q9" s="113">
        <v>-2519</v>
      </c>
      <c r="R9" s="113">
        <v>-165146</v>
      </c>
      <c r="S9" s="113">
        <v>-16783</v>
      </c>
      <c r="T9" s="113">
        <v>-53000</v>
      </c>
      <c r="U9" s="113">
        <f>VLOOKUP(B9,'[1]FlCX Trim_RI (final)'!$B$5:$E$76,2,FALSE)</f>
        <v>3149</v>
      </c>
      <c r="V9" s="113">
        <v>1660</v>
      </c>
      <c r="W9" s="113">
        <v>-8183</v>
      </c>
      <c r="X9" s="113">
        <v>-31477</v>
      </c>
      <c r="Y9" s="113">
        <v>-4137</v>
      </c>
      <c r="Z9" s="113">
        <v>-30415</v>
      </c>
      <c r="AA9" s="113">
        <v>45</v>
      </c>
    </row>
    <row r="10" spans="2:27" ht="15.75">
      <c r="B10" s="265" t="s">
        <v>423</v>
      </c>
      <c r="C10" s="113">
        <v>-37080</v>
      </c>
      <c r="D10" s="113">
        <v>-15278</v>
      </c>
      <c r="E10" s="114">
        <v>-50556</v>
      </c>
      <c r="F10" s="114">
        <v>-51982</v>
      </c>
      <c r="G10" s="113">
        <v>-41154</v>
      </c>
      <c r="H10" s="113">
        <v>-31341</v>
      </c>
      <c r="I10" s="113">
        <v>-74734</v>
      </c>
      <c r="J10" s="113">
        <v>-113121</v>
      </c>
      <c r="K10" s="113">
        <v>-37493</v>
      </c>
      <c r="L10" s="113">
        <v>-36877</v>
      </c>
      <c r="M10" s="113">
        <v>-58258</v>
      </c>
      <c r="N10" s="113">
        <v>-48107</v>
      </c>
      <c r="O10" s="113">
        <v>-15347</v>
      </c>
      <c r="P10" s="113">
        <v>-45494</v>
      </c>
      <c r="Q10" s="113">
        <v>-40031</v>
      </c>
      <c r="R10" s="113">
        <v>-58887</v>
      </c>
      <c r="S10" s="113">
        <v>-36704</v>
      </c>
      <c r="T10" s="113">
        <v>-55458</v>
      </c>
      <c r="U10" s="113" t="e">
        <f>VLOOKUP(B10,'[1]FlCX Trim_RI (final)'!$B$5:$E$76,2,FALSE)</f>
        <v>#N/A</v>
      </c>
      <c r="V10" s="113">
        <v>-54102</v>
      </c>
      <c r="W10" s="113">
        <v>-35008</v>
      </c>
      <c r="X10" s="113">
        <v>-56033</v>
      </c>
      <c r="Y10" s="113">
        <v>-64553</v>
      </c>
      <c r="Z10" s="113">
        <v>-65331</v>
      </c>
      <c r="AA10" s="113">
        <v>-45047</v>
      </c>
    </row>
    <row r="11" spans="2:27" ht="15.75">
      <c r="B11" s="265" t="s">
        <v>132</v>
      </c>
      <c r="C11" s="113">
        <v>0</v>
      </c>
      <c r="D11" s="113">
        <v>0</v>
      </c>
      <c r="E11" s="114">
        <v>0</v>
      </c>
      <c r="F11" s="114">
        <v>74892</v>
      </c>
      <c r="G11" s="113">
        <v>0</v>
      </c>
      <c r="H11" s="113">
        <v>0</v>
      </c>
      <c r="I11" s="113">
        <v>0</v>
      </c>
      <c r="J11" s="113">
        <v>472787</v>
      </c>
      <c r="K11" s="113">
        <v>0</v>
      </c>
      <c r="L11" s="113">
        <v>0</v>
      </c>
      <c r="M11" s="113">
        <v>0</v>
      </c>
      <c r="N11" s="113">
        <v>16426</v>
      </c>
      <c r="O11" s="113">
        <v>0</v>
      </c>
      <c r="P11" s="113">
        <v>0</v>
      </c>
      <c r="Q11" s="113">
        <v>6751</v>
      </c>
      <c r="R11" s="113">
        <v>-737405</v>
      </c>
      <c r="S11" s="113">
        <v>0</v>
      </c>
      <c r="T11" s="113">
        <v>0</v>
      </c>
      <c r="U11" s="113">
        <v>397257</v>
      </c>
      <c r="V11" s="113">
        <v>0</v>
      </c>
      <c r="W11" s="113">
        <v>0</v>
      </c>
      <c r="X11" s="113">
        <v>0</v>
      </c>
      <c r="Y11" s="113">
        <v>-3160</v>
      </c>
      <c r="Z11" s="113">
        <v>1399944</v>
      </c>
      <c r="AA11" s="113">
        <v>0</v>
      </c>
    </row>
    <row r="12" spans="2:27" ht="15.75">
      <c r="B12" s="265" t="s">
        <v>412</v>
      </c>
      <c r="C12" s="113">
        <v>0</v>
      </c>
      <c r="D12" s="113">
        <v>0</v>
      </c>
      <c r="E12" s="113">
        <v>0</v>
      </c>
      <c r="F12" s="113">
        <v>0</v>
      </c>
      <c r="G12" s="113">
        <v>0</v>
      </c>
      <c r="H12" s="113">
        <v>0</v>
      </c>
      <c r="I12" s="113">
        <v>0</v>
      </c>
      <c r="J12" s="113">
        <v>0</v>
      </c>
      <c r="K12" s="113">
        <v>0</v>
      </c>
      <c r="L12" s="113">
        <v>0</v>
      </c>
      <c r="M12" s="113">
        <v>0</v>
      </c>
      <c r="N12" s="113">
        <v>0</v>
      </c>
      <c r="O12" s="113">
        <v>0</v>
      </c>
      <c r="P12" s="113">
        <v>0</v>
      </c>
      <c r="Q12" s="113">
        <v>0</v>
      </c>
      <c r="R12" s="113">
        <v>0</v>
      </c>
      <c r="S12" s="113">
        <v>0</v>
      </c>
      <c r="T12" s="113">
        <v>0</v>
      </c>
      <c r="U12" s="113">
        <v>0</v>
      </c>
      <c r="V12" s="113">
        <v>0</v>
      </c>
      <c r="W12" s="113">
        <v>283722</v>
      </c>
      <c r="X12" s="113">
        <v>342532</v>
      </c>
      <c r="Y12" s="113">
        <v>84829</v>
      </c>
      <c r="Z12" s="113">
        <v>-57697</v>
      </c>
      <c r="AA12" s="113">
        <v>132540</v>
      </c>
    </row>
    <row r="13" spans="2:27" ht="15.75" customHeight="1">
      <c r="B13" s="265" t="s">
        <v>133</v>
      </c>
      <c r="C13" s="113">
        <v>30605</v>
      </c>
      <c r="D13" s="113">
        <v>-17561</v>
      </c>
      <c r="E13" s="114">
        <v>33954</v>
      </c>
      <c r="F13" s="114">
        <v>-166</v>
      </c>
      <c r="G13" s="113">
        <v>6323</v>
      </c>
      <c r="H13" s="113">
        <v>-22870</v>
      </c>
      <c r="I13" s="113">
        <v>-55354</v>
      </c>
      <c r="J13" s="113">
        <v>380294</v>
      </c>
      <c r="K13" s="113">
        <v>-11785</v>
      </c>
      <c r="L13" s="113">
        <v>25813</v>
      </c>
      <c r="M13" s="113">
        <v>-160197</v>
      </c>
      <c r="N13" s="113">
        <v>73190</v>
      </c>
      <c r="O13" s="113">
        <v>-208786</v>
      </c>
      <c r="P13" s="113">
        <v>-45913</v>
      </c>
      <c r="Q13" s="113">
        <v>-24917</v>
      </c>
      <c r="R13" s="113">
        <v>149232</v>
      </c>
      <c r="S13" s="113">
        <v>-23882</v>
      </c>
      <c r="T13" s="113">
        <v>87091</v>
      </c>
      <c r="U13" s="113">
        <f>VLOOKUP(B13,'[1]FlCX Trim_RI (final)'!$B$5:$E$76,2,FALSE)</f>
        <v>36353</v>
      </c>
      <c r="V13" s="113">
        <v>-155577</v>
      </c>
      <c r="W13" s="113">
        <v>285098</v>
      </c>
      <c r="X13" s="113">
        <v>66310</v>
      </c>
      <c r="Y13" s="113">
        <v>119446</v>
      </c>
      <c r="Z13" s="113">
        <v>61785</v>
      </c>
      <c r="AA13" s="113">
        <v>57275</v>
      </c>
    </row>
    <row r="14" spans="2:27" ht="15.75">
      <c r="B14" s="265" t="s">
        <v>134</v>
      </c>
      <c r="C14" s="113">
        <v>73428</v>
      </c>
      <c r="D14" s="113">
        <v>36159</v>
      </c>
      <c r="E14" s="114">
        <v>87737</v>
      </c>
      <c r="F14" s="114">
        <v>39359</v>
      </c>
      <c r="G14" s="113">
        <v>111030</v>
      </c>
      <c r="H14" s="113">
        <v>99077</v>
      </c>
      <c r="I14" s="113">
        <v>112768</v>
      </c>
      <c r="J14" s="113">
        <v>92443</v>
      </c>
      <c r="K14" s="113">
        <v>58806</v>
      </c>
      <c r="L14" s="113">
        <v>76165</v>
      </c>
      <c r="M14" s="113">
        <v>155630</v>
      </c>
      <c r="N14" s="113">
        <v>-171368</v>
      </c>
      <c r="O14" s="113">
        <v>10038</v>
      </c>
      <c r="P14" s="113">
        <v>183131</v>
      </c>
      <c r="Q14" s="113">
        <v>387217</v>
      </c>
      <c r="R14" s="113">
        <v>162842</v>
      </c>
      <c r="S14" s="113">
        <v>396617</v>
      </c>
      <c r="T14" s="113">
        <v>200304</v>
      </c>
      <c r="U14" s="113">
        <f>VLOOKUP(B14,'[1]FlCX Trim_RI (final)'!$B$5:$E$76,2,FALSE)</f>
        <v>111956</v>
      </c>
      <c r="V14" s="113">
        <v>-65976</v>
      </c>
      <c r="W14" s="113">
        <v>117355</v>
      </c>
      <c r="X14" s="113">
        <v>206553</v>
      </c>
      <c r="Y14" s="113">
        <v>-312814</v>
      </c>
      <c r="Z14" s="113">
        <v>-171311</v>
      </c>
      <c r="AA14" s="113">
        <v>-115107</v>
      </c>
    </row>
    <row r="15" spans="2:27" ht="15.75">
      <c r="B15" s="265" t="s">
        <v>275</v>
      </c>
      <c r="C15" s="113">
        <v>7273</v>
      </c>
      <c r="D15" s="113">
        <v>7276</v>
      </c>
      <c r="E15" s="114">
        <v>7274</v>
      </c>
      <c r="F15" s="114">
        <v>7273</v>
      </c>
      <c r="G15" s="113">
        <v>8694</v>
      </c>
      <c r="H15" s="113">
        <v>-2889</v>
      </c>
      <c r="I15" s="113">
        <v>977</v>
      </c>
      <c r="J15" s="113">
        <v>85135</v>
      </c>
      <c r="K15" s="113">
        <v>21451</v>
      </c>
      <c r="L15" s="113">
        <v>21453</v>
      </c>
      <c r="M15" s="113">
        <v>21452</v>
      </c>
      <c r="N15" s="113">
        <v>21387</v>
      </c>
      <c r="O15" s="113">
        <v>21520</v>
      </c>
      <c r="P15" s="113">
        <v>21535</v>
      </c>
      <c r="Q15" s="113">
        <v>21527</v>
      </c>
      <c r="R15" s="113">
        <v>25110</v>
      </c>
      <c r="S15" s="113">
        <v>24352</v>
      </c>
      <c r="T15" s="113">
        <v>24355</v>
      </c>
      <c r="U15" s="113">
        <f>VLOOKUP(B15,'[1]FlCX Trim_RI (final)'!$B$5:$E$76,2,FALSE)</f>
        <v>24350</v>
      </c>
      <c r="V15" s="113">
        <v>-308024</v>
      </c>
      <c r="W15" s="113">
        <v>27816</v>
      </c>
      <c r="X15" s="113">
        <v>27816</v>
      </c>
      <c r="Y15" s="113">
        <v>27817</v>
      </c>
      <c r="Z15" s="113">
        <v>27814</v>
      </c>
      <c r="AA15" s="113">
        <v>24468</v>
      </c>
    </row>
    <row r="16" spans="2:27" ht="15.75">
      <c r="B16" s="265" t="s">
        <v>135</v>
      </c>
      <c r="C16" s="113">
        <v>295</v>
      </c>
      <c r="D16" s="113">
        <v>-441</v>
      </c>
      <c r="E16" s="114">
        <v>-1101</v>
      </c>
      <c r="F16" s="114">
        <v>2198</v>
      </c>
      <c r="G16" s="113">
        <v>0</v>
      </c>
      <c r="H16" s="113">
        <v>0</v>
      </c>
      <c r="I16" s="113">
        <v>0</v>
      </c>
      <c r="J16" s="113">
        <v>0</v>
      </c>
      <c r="K16" s="113">
        <v>0</v>
      </c>
      <c r="L16" s="113">
        <v>0</v>
      </c>
      <c r="M16" s="113">
        <v>0</v>
      </c>
      <c r="N16" s="113">
        <v>0</v>
      </c>
      <c r="O16" s="113">
        <v>0</v>
      </c>
      <c r="P16" s="113">
        <v>0</v>
      </c>
      <c r="Q16" s="113">
        <v>0</v>
      </c>
      <c r="R16" s="113">
        <v>0</v>
      </c>
      <c r="S16" s="113">
        <v>0</v>
      </c>
      <c r="T16" s="113">
        <v>0</v>
      </c>
      <c r="U16" s="113">
        <v>0</v>
      </c>
      <c r="V16" s="113">
        <v>0</v>
      </c>
      <c r="W16" s="113">
        <v>0</v>
      </c>
      <c r="X16" s="113">
        <v>0</v>
      </c>
      <c r="Y16" s="113">
        <v>0</v>
      </c>
      <c r="Z16" s="113">
        <v>0</v>
      </c>
      <c r="AA16" s="113">
        <v>0</v>
      </c>
    </row>
    <row r="17" spans="2:29" ht="15.75">
      <c r="B17" s="265" t="s">
        <v>406</v>
      </c>
      <c r="C17" s="113">
        <v>0</v>
      </c>
      <c r="D17" s="113">
        <v>0</v>
      </c>
      <c r="E17" s="113">
        <v>0</v>
      </c>
      <c r="F17" s="113">
        <v>0</v>
      </c>
      <c r="G17" s="113">
        <v>0</v>
      </c>
      <c r="H17" s="113">
        <v>0</v>
      </c>
      <c r="I17" s="113">
        <v>0</v>
      </c>
      <c r="J17" s="113">
        <v>0</v>
      </c>
      <c r="K17" s="113">
        <v>0</v>
      </c>
      <c r="L17" s="113">
        <v>0</v>
      </c>
      <c r="M17" s="113">
        <v>0</v>
      </c>
      <c r="N17" s="113">
        <v>0</v>
      </c>
      <c r="O17" s="113">
        <v>0</v>
      </c>
      <c r="P17" s="113">
        <v>0</v>
      </c>
      <c r="Q17" s="113">
        <v>0</v>
      </c>
      <c r="R17" s="113">
        <v>0</v>
      </c>
      <c r="S17" s="113">
        <v>0</v>
      </c>
      <c r="T17" s="113">
        <v>0</v>
      </c>
      <c r="U17" s="113">
        <v>0</v>
      </c>
      <c r="V17" s="113">
        <v>44896</v>
      </c>
      <c r="W17" s="113">
        <v>104949</v>
      </c>
      <c r="X17" s="113">
        <v>-21976</v>
      </c>
      <c r="Y17" s="113">
        <v>-67108</v>
      </c>
      <c r="Z17" s="113">
        <v>-31128</v>
      </c>
      <c r="AA17" s="113">
        <v>-306</v>
      </c>
    </row>
    <row r="18" spans="2:29" s="118" customFormat="1" ht="15.75">
      <c r="B18" s="109" t="s">
        <v>17</v>
      </c>
      <c r="C18" s="116">
        <v>684469</v>
      </c>
      <c r="D18" s="116">
        <v>769415</v>
      </c>
      <c r="E18" s="117">
        <v>581410</v>
      </c>
      <c r="F18" s="117">
        <v>524014</v>
      </c>
      <c r="G18" s="116">
        <v>654860</v>
      </c>
      <c r="H18" s="116">
        <v>608467</v>
      </c>
      <c r="I18" s="116">
        <v>711234</v>
      </c>
      <c r="J18" s="116">
        <v>1650392</v>
      </c>
      <c r="K18" s="116">
        <v>490381</v>
      </c>
      <c r="L18" s="116">
        <v>583253</v>
      </c>
      <c r="M18" s="269">
        <v>455274</v>
      </c>
      <c r="N18" s="269">
        <v>224464</v>
      </c>
      <c r="O18" s="269">
        <v>487109</v>
      </c>
      <c r="P18" s="269">
        <v>285739</v>
      </c>
      <c r="Q18" s="269">
        <v>984679</v>
      </c>
      <c r="R18" s="269">
        <v>1309053</v>
      </c>
      <c r="S18" s="269">
        <v>2154243</v>
      </c>
      <c r="T18" s="269">
        <v>3769587</v>
      </c>
      <c r="U18" s="269">
        <f>VLOOKUP(B18,'[1]FlCX Trim_RI (final)'!$B$5:$E$76,2,FALSE)</f>
        <v>3060675</v>
      </c>
      <c r="V18" s="269">
        <v>2012243</v>
      </c>
      <c r="W18" s="269">
        <v>1834419</v>
      </c>
      <c r="X18" s="269">
        <v>2215311</v>
      </c>
      <c r="Y18" s="269">
        <v>803418</v>
      </c>
      <c r="Z18" s="269">
        <v>513033</v>
      </c>
      <c r="AA18" s="269">
        <v>876559</v>
      </c>
      <c r="AB18"/>
      <c r="AC18"/>
    </row>
    <row r="19" spans="2:29" ht="6.75" customHeight="1">
      <c r="B19" s="112"/>
      <c r="C19" s="113"/>
      <c r="D19" s="113"/>
      <c r="E19" s="114"/>
      <c r="F19" s="114"/>
      <c r="G19" s="113"/>
      <c r="H19" s="113"/>
      <c r="I19" s="113"/>
      <c r="J19" s="113"/>
      <c r="K19" s="113"/>
      <c r="L19" s="113"/>
      <c r="M19" s="113"/>
      <c r="N19" s="113"/>
      <c r="O19" s="113"/>
      <c r="P19" s="113"/>
    </row>
    <row r="20" spans="2:29" ht="15.75">
      <c r="B20" s="109" t="s">
        <v>136</v>
      </c>
      <c r="C20" s="110"/>
      <c r="D20" s="111"/>
      <c r="E20" s="110"/>
      <c r="F20" s="110"/>
      <c r="G20" s="110"/>
      <c r="H20" s="111"/>
      <c r="I20" s="111"/>
      <c r="J20" s="111"/>
      <c r="K20" s="111"/>
      <c r="L20" s="111"/>
      <c r="M20" s="111"/>
      <c r="N20" s="111"/>
      <c r="O20" s="111"/>
      <c r="P20" s="111"/>
      <c r="Q20" s="291"/>
      <c r="R20" s="291"/>
      <c r="S20" s="291"/>
      <c r="T20" s="291"/>
      <c r="U20" s="291"/>
      <c r="V20" s="291"/>
      <c r="W20" s="113"/>
      <c r="X20" s="113"/>
      <c r="Y20" s="113"/>
      <c r="Z20" s="113"/>
      <c r="AA20" s="113"/>
    </row>
    <row r="21" spans="2:29" ht="15.75">
      <c r="B21" s="112" t="s">
        <v>137</v>
      </c>
      <c r="C21" s="113">
        <v>-85924</v>
      </c>
      <c r="D21" s="113">
        <v>-166760</v>
      </c>
      <c r="E21" s="114">
        <v>-61653</v>
      </c>
      <c r="F21" s="114">
        <v>-222373</v>
      </c>
      <c r="G21" s="113">
        <v>-188053</v>
      </c>
      <c r="H21" s="113">
        <v>-8337</v>
      </c>
      <c r="I21" s="113">
        <v>-200477</v>
      </c>
      <c r="J21" s="113">
        <v>83552</v>
      </c>
      <c r="K21" s="113">
        <v>175413</v>
      </c>
      <c r="L21" s="113">
        <v>-234385</v>
      </c>
      <c r="M21" s="113">
        <v>71221</v>
      </c>
      <c r="N21" s="113">
        <v>-105903</v>
      </c>
      <c r="O21" s="113">
        <v>-321324</v>
      </c>
      <c r="P21" s="113">
        <v>508472</v>
      </c>
      <c r="Q21" s="113">
        <v>-642386</v>
      </c>
      <c r="R21" s="113">
        <v>32590</v>
      </c>
      <c r="S21" s="113">
        <v>-911799</v>
      </c>
      <c r="T21" s="113">
        <v>-368020</v>
      </c>
      <c r="U21" s="113">
        <f>VLOOKUP(B21,'[1]FlCX Trim_RI (final)'!$B$5:$E$76,2,FALSE)</f>
        <v>-256823</v>
      </c>
      <c r="V21" s="113">
        <v>375729</v>
      </c>
      <c r="W21" s="113">
        <v>-286373</v>
      </c>
      <c r="X21" s="113">
        <v>-402875</v>
      </c>
      <c r="Y21" s="113">
        <v>1024549</v>
      </c>
      <c r="Z21" s="113">
        <v>137784</v>
      </c>
      <c r="AA21" s="113">
        <v>84949</v>
      </c>
    </row>
    <row r="22" spans="2:29" ht="15.75">
      <c r="B22" s="112" t="s">
        <v>138</v>
      </c>
      <c r="C22" s="113">
        <v>-253094</v>
      </c>
      <c r="D22" s="113">
        <v>-52898</v>
      </c>
      <c r="E22" s="114">
        <v>9021</v>
      </c>
      <c r="F22" s="114">
        <v>28312</v>
      </c>
      <c r="G22" s="113">
        <v>-241758</v>
      </c>
      <c r="H22" s="113">
        <v>-516601</v>
      </c>
      <c r="I22" s="113">
        <v>-115693</v>
      </c>
      <c r="J22" s="113">
        <v>-204639</v>
      </c>
      <c r="K22" s="113">
        <v>11309</v>
      </c>
      <c r="L22" s="113">
        <v>-258443</v>
      </c>
      <c r="M22" s="113">
        <v>-79158</v>
      </c>
      <c r="N22" s="113">
        <v>405797</v>
      </c>
      <c r="O22" s="113">
        <v>61773</v>
      </c>
      <c r="P22" s="113">
        <v>-199142</v>
      </c>
      <c r="Q22" s="113">
        <v>372292</v>
      </c>
      <c r="R22" s="113">
        <v>-321273</v>
      </c>
      <c r="S22" s="113">
        <v>-900390</v>
      </c>
      <c r="T22" s="113">
        <v>-1157806</v>
      </c>
      <c r="U22" s="113">
        <f>VLOOKUP(B22,'[1]FlCX Trim_RI (final)'!$B$5:$E$76,2,FALSE)</f>
        <v>-1156324</v>
      </c>
      <c r="V22" s="113">
        <v>-341823</v>
      </c>
      <c r="W22" s="113">
        <v>-26830</v>
      </c>
      <c r="X22" s="113">
        <v>-2469821</v>
      </c>
      <c r="Y22" s="113">
        <v>-207659</v>
      </c>
      <c r="Z22" s="113">
        <v>207742</v>
      </c>
      <c r="AA22" s="113">
        <v>178962</v>
      </c>
    </row>
    <row r="23" spans="2:29" ht="15.75">
      <c r="B23" s="112" t="s">
        <v>139</v>
      </c>
      <c r="C23" s="113">
        <v>2125</v>
      </c>
      <c r="D23" s="113">
        <v>49529</v>
      </c>
      <c r="E23" s="114">
        <v>-13890</v>
      </c>
      <c r="F23" s="114">
        <v>-33110</v>
      </c>
      <c r="G23" s="113">
        <v>40170</v>
      </c>
      <c r="H23" s="113">
        <v>-55064</v>
      </c>
      <c r="I23" s="113">
        <v>142206</v>
      </c>
      <c r="J23" s="113">
        <v>-887008</v>
      </c>
      <c r="K23" s="113">
        <v>2968</v>
      </c>
      <c r="L23" s="113">
        <v>-108768</v>
      </c>
      <c r="M23" s="113">
        <v>-53526</v>
      </c>
      <c r="N23" s="113">
        <v>-42330</v>
      </c>
      <c r="O23" s="113">
        <v>-38981</v>
      </c>
      <c r="P23" s="113">
        <v>-67996</v>
      </c>
      <c r="Q23" s="113">
        <v>-21754</v>
      </c>
      <c r="R23" s="113">
        <v>-76700</v>
      </c>
      <c r="S23" s="113">
        <v>-94275</v>
      </c>
      <c r="T23" s="113">
        <v>73799</v>
      </c>
      <c r="U23" s="113">
        <f>VLOOKUP(B23,'[1]FlCX Trim_RI (final)'!$B$5:$E$76,2,FALSE)</f>
        <v>-334826</v>
      </c>
      <c r="V23" s="113">
        <v>-69238</v>
      </c>
      <c r="W23" s="113">
        <v>7786</v>
      </c>
      <c r="X23" s="113">
        <v>-180797</v>
      </c>
      <c r="Y23" s="113">
        <v>-240580</v>
      </c>
      <c r="Z23" s="113">
        <v>-132266</v>
      </c>
      <c r="AA23" s="113">
        <v>-8128</v>
      </c>
    </row>
    <row r="24" spans="2:29" ht="15.75">
      <c r="B24" s="112" t="s">
        <v>140</v>
      </c>
      <c r="C24" s="113">
        <v>-16947</v>
      </c>
      <c r="D24" s="113">
        <v>-13218</v>
      </c>
      <c r="E24" s="114">
        <v>-9392</v>
      </c>
      <c r="F24" s="114">
        <v>20475</v>
      </c>
      <c r="G24" s="113">
        <v>-75993</v>
      </c>
      <c r="H24" s="113">
        <v>-11758</v>
      </c>
      <c r="I24" s="113">
        <v>67071</v>
      </c>
      <c r="J24" s="113">
        <v>54267</v>
      </c>
      <c r="K24" s="113">
        <v>-9867</v>
      </c>
      <c r="L24" s="113">
        <v>-30758</v>
      </c>
      <c r="M24" s="113">
        <v>-7626</v>
      </c>
      <c r="N24" s="113">
        <v>-13578</v>
      </c>
      <c r="O24" s="113">
        <v>-18392</v>
      </c>
      <c r="P24" s="113">
        <v>-1319</v>
      </c>
      <c r="Q24" s="113">
        <v>9178</v>
      </c>
      <c r="R24" s="113">
        <v>-3816</v>
      </c>
      <c r="S24" s="113">
        <v>-3097</v>
      </c>
      <c r="T24" s="113">
        <v>26146</v>
      </c>
      <c r="U24" s="113">
        <f>VLOOKUP(B24,'[1]FlCX Trim_RI (final)'!$B$5:$E$76,2,FALSE)</f>
        <v>2673</v>
      </c>
      <c r="V24" s="113">
        <v>15450</v>
      </c>
      <c r="W24" s="113">
        <v>-5555</v>
      </c>
      <c r="X24" s="113">
        <v>-3653</v>
      </c>
      <c r="Y24" s="113">
        <v>-5838</v>
      </c>
      <c r="Z24" s="113">
        <v>-7197</v>
      </c>
      <c r="AA24" s="113">
        <v>-6150</v>
      </c>
    </row>
    <row r="25" spans="2:29" ht="15.75">
      <c r="B25" s="112" t="s">
        <v>276</v>
      </c>
      <c r="C25" s="113"/>
      <c r="D25" s="113"/>
      <c r="E25" s="114"/>
      <c r="F25" s="114"/>
      <c r="G25" s="113"/>
      <c r="H25" s="113"/>
      <c r="I25" s="113"/>
      <c r="J25" s="281">
        <v>-676023</v>
      </c>
      <c r="K25" s="113"/>
      <c r="L25" s="113"/>
      <c r="M25" s="113"/>
      <c r="N25" s="113">
        <v>751404</v>
      </c>
      <c r="O25" s="113">
        <v>0</v>
      </c>
      <c r="P25" s="113">
        <v>0</v>
      </c>
      <c r="Q25" s="113">
        <v>311534</v>
      </c>
      <c r="R25" s="113">
        <v>0</v>
      </c>
      <c r="S25" s="113">
        <v>0</v>
      </c>
      <c r="T25" s="113">
        <v>0</v>
      </c>
      <c r="U25" s="113">
        <v>0</v>
      </c>
      <c r="V25" s="113">
        <v>0</v>
      </c>
      <c r="W25" s="113">
        <v>0</v>
      </c>
      <c r="X25" s="113">
        <v>0</v>
      </c>
      <c r="Y25" s="113">
        <v>0</v>
      </c>
      <c r="Z25" s="113">
        <v>0</v>
      </c>
      <c r="AA25" s="113">
        <v>0</v>
      </c>
    </row>
    <row r="26" spans="2:29" ht="15.75">
      <c r="B26" s="112" t="s">
        <v>141</v>
      </c>
      <c r="C26" s="113">
        <v>219</v>
      </c>
      <c r="D26" s="113">
        <v>321</v>
      </c>
      <c r="E26" s="114">
        <v>-26</v>
      </c>
      <c r="F26" s="114">
        <v>181</v>
      </c>
      <c r="G26" s="113">
        <v>195</v>
      </c>
      <c r="H26" s="113">
        <v>138</v>
      </c>
      <c r="I26" s="113">
        <v>188</v>
      </c>
      <c r="J26" s="113">
        <v>284</v>
      </c>
      <c r="K26" s="113">
        <v>225</v>
      </c>
      <c r="L26" s="113">
        <v>240</v>
      </c>
      <c r="M26" s="113">
        <v>303</v>
      </c>
      <c r="N26" s="113">
        <v>-77</v>
      </c>
      <c r="O26" s="113">
        <v>1651</v>
      </c>
      <c r="P26" s="113">
        <v>0</v>
      </c>
      <c r="Q26" s="113">
        <v>0</v>
      </c>
      <c r="R26" s="113">
        <v>0</v>
      </c>
      <c r="S26" s="113">
        <v>0</v>
      </c>
      <c r="T26" s="113">
        <v>0</v>
      </c>
      <c r="U26" s="113">
        <v>0</v>
      </c>
      <c r="V26" s="113">
        <v>0</v>
      </c>
      <c r="W26" s="113">
        <v>0</v>
      </c>
      <c r="X26" s="113">
        <v>0</v>
      </c>
      <c r="Y26" s="113">
        <v>0</v>
      </c>
      <c r="Z26" s="113">
        <v>0</v>
      </c>
      <c r="AA26" s="113">
        <v>0</v>
      </c>
    </row>
    <row r="27" spans="2:29" ht="15.75">
      <c r="B27" s="112" t="s">
        <v>142</v>
      </c>
      <c r="C27" s="113">
        <v>25957</v>
      </c>
      <c r="D27" s="113">
        <v>-208586</v>
      </c>
      <c r="E27" s="114">
        <v>191388</v>
      </c>
      <c r="F27" s="114">
        <v>-22388</v>
      </c>
      <c r="G27" s="113">
        <v>-26854</v>
      </c>
      <c r="H27" s="113">
        <v>-8917</v>
      </c>
      <c r="I27" s="113">
        <v>15268</v>
      </c>
      <c r="J27" s="281">
        <v>51853</v>
      </c>
      <c r="K27" s="113">
        <v>-70588</v>
      </c>
      <c r="L27" s="113">
        <v>-39304</v>
      </c>
      <c r="M27" s="113">
        <v>-23911</v>
      </c>
      <c r="N27" s="113">
        <v>74318</v>
      </c>
      <c r="O27" s="113">
        <v>-93632</v>
      </c>
      <c r="P27" s="113">
        <v>-23080</v>
      </c>
      <c r="Q27" s="113">
        <v>-32384</v>
      </c>
      <c r="R27" s="113">
        <v>-189853</v>
      </c>
      <c r="S27" s="113">
        <v>-205573</v>
      </c>
      <c r="T27" s="113">
        <v>22291</v>
      </c>
      <c r="U27" s="113">
        <f>VLOOKUP(B27,'[1]FlCX Trim_RI (final)'!$B$5:$E$76,2,FALSE)</f>
        <v>-3334</v>
      </c>
      <c r="V27" s="113">
        <v>68339</v>
      </c>
      <c r="W27" s="113">
        <v>-123677</v>
      </c>
      <c r="X27" s="113">
        <v>-455179</v>
      </c>
      <c r="Y27" s="113">
        <v>-42618</v>
      </c>
      <c r="Z27" s="113">
        <v>-89837</v>
      </c>
      <c r="AA27" s="113">
        <v>643635</v>
      </c>
    </row>
    <row r="28" spans="2:29" s="118" customFormat="1" ht="15.75">
      <c r="B28" s="109" t="s">
        <v>17</v>
      </c>
      <c r="C28" s="116">
        <v>-327664</v>
      </c>
      <c r="D28" s="116">
        <v>-391612</v>
      </c>
      <c r="E28" s="117">
        <v>115448</v>
      </c>
      <c r="F28" s="117">
        <v>-228903</v>
      </c>
      <c r="G28" s="116">
        <v>-492293</v>
      </c>
      <c r="H28" s="116">
        <v>-600539</v>
      </c>
      <c r="I28" s="116">
        <v>-91437</v>
      </c>
      <c r="J28" s="116">
        <v>-1577714</v>
      </c>
      <c r="K28" s="116">
        <v>109460</v>
      </c>
      <c r="L28" s="116">
        <v>-671418</v>
      </c>
      <c r="M28" s="269">
        <v>-92697</v>
      </c>
      <c r="N28" s="269">
        <v>1069631</v>
      </c>
      <c r="O28" s="269">
        <v>-408905</v>
      </c>
      <c r="P28" s="269">
        <v>216935</v>
      </c>
      <c r="Q28" s="269">
        <v>-3520</v>
      </c>
      <c r="R28" s="269">
        <v>1309053</v>
      </c>
      <c r="S28" s="269">
        <v>-2115134</v>
      </c>
      <c r="T28" s="269">
        <v>-1403590</v>
      </c>
      <c r="U28" s="269">
        <v>-1748634</v>
      </c>
      <c r="V28" s="269">
        <v>48457</v>
      </c>
      <c r="W28" s="269">
        <v>-434649</v>
      </c>
      <c r="X28" s="269">
        <v>-3512325</v>
      </c>
      <c r="Y28" s="269">
        <v>527854</v>
      </c>
      <c r="Z28" s="269">
        <v>116226</v>
      </c>
      <c r="AA28" s="113">
        <v>893268</v>
      </c>
      <c r="AB28"/>
      <c r="AC28"/>
    </row>
    <row r="29" spans="2:29" ht="6" customHeight="1">
      <c r="B29" s="112"/>
      <c r="C29" s="113"/>
      <c r="D29" s="113"/>
      <c r="E29" s="114"/>
      <c r="F29" s="114"/>
      <c r="G29" s="113"/>
      <c r="H29" s="113"/>
      <c r="I29" s="113"/>
      <c r="J29" s="113"/>
      <c r="K29" s="113"/>
      <c r="L29" s="113"/>
      <c r="M29" s="113"/>
      <c r="N29" s="113"/>
      <c r="O29" s="113"/>
      <c r="P29" s="113"/>
      <c r="Q29" s="292"/>
      <c r="R29" s="292"/>
      <c r="S29" s="292"/>
      <c r="T29" s="292"/>
      <c r="U29" s="292"/>
      <c r="V29" s="292"/>
      <c r="W29" s="292"/>
      <c r="X29" s="292"/>
      <c r="Y29" s="292"/>
      <c r="Z29" s="292"/>
      <c r="AA29" s="292"/>
    </row>
    <row r="30" spans="2:29" s="118" customFormat="1" ht="15.75">
      <c r="B30" s="109" t="s">
        <v>143</v>
      </c>
      <c r="C30" s="116"/>
      <c r="D30" s="116"/>
      <c r="E30" s="117"/>
      <c r="F30" s="117"/>
      <c r="G30" s="116"/>
      <c r="H30" s="116"/>
      <c r="I30" s="116"/>
      <c r="J30" s="116"/>
      <c r="K30" s="116"/>
      <c r="L30" s="116"/>
      <c r="M30" s="116"/>
      <c r="N30" s="116"/>
      <c r="O30" s="116"/>
      <c r="P30" s="116"/>
      <c r="Q30" s="292"/>
      <c r="R30" s="292"/>
      <c r="S30" s="292"/>
      <c r="T30" s="292"/>
      <c r="U30" s="292"/>
      <c r="V30" s="292"/>
      <c r="W30" s="292"/>
      <c r="X30" s="292"/>
      <c r="Y30" s="292"/>
      <c r="Z30" s="292"/>
      <c r="AA30" s="292"/>
      <c r="AB30"/>
      <c r="AC30"/>
    </row>
    <row r="31" spans="2:29" ht="15.75">
      <c r="B31" s="112" t="s">
        <v>310</v>
      </c>
      <c r="C31" s="113">
        <v>-163220</v>
      </c>
      <c r="D31" s="113">
        <v>20281</v>
      </c>
      <c r="E31" s="114">
        <v>34819</v>
      </c>
      <c r="F31" s="114">
        <v>238660</v>
      </c>
      <c r="G31" s="113">
        <v>130378</v>
      </c>
      <c r="H31" s="113">
        <v>-21032</v>
      </c>
      <c r="I31" s="113">
        <v>397014</v>
      </c>
      <c r="J31" s="113">
        <v>-349514</v>
      </c>
      <c r="K31" s="113">
        <v>15817</v>
      </c>
      <c r="L31" s="113">
        <v>16470</v>
      </c>
      <c r="M31" s="113">
        <v>327598</v>
      </c>
      <c r="N31" s="113">
        <v>24622</v>
      </c>
      <c r="O31" s="113">
        <v>-7307</v>
      </c>
      <c r="P31" s="113">
        <v>-432704</v>
      </c>
      <c r="Q31" s="113">
        <v>554878</v>
      </c>
      <c r="R31" s="113">
        <v>284553</v>
      </c>
      <c r="S31" s="113">
        <v>219533</v>
      </c>
      <c r="T31" s="113">
        <v>40503</v>
      </c>
      <c r="U31" s="113">
        <f>VLOOKUP(B31,'[1]FlCX Trim_RI (final)'!$B$5:$E$76,2,FALSE)</f>
        <v>504528</v>
      </c>
      <c r="V31" s="113">
        <v>-51962</v>
      </c>
      <c r="W31" s="113">
        <v>85291</v>
      </c>
      <c r="X31" s="113">
        <v>1292647</v>
      </c>
      <c r="Y31" s="374">
        <v>-1165805</v>
      </c>
      <c r="Z31" s="374">
        <v>-111792</v>
      </c>
      <c r="AA31" s="374">
        <v>-453559</v>
      </c>
    </row>
    <row r="32" spans="2:29" ht="15.75">
      <c r="B32" s="112" t="s">
        <v>145</v>
      </c>
      <c r="C32" s="113">
        <v>-23086</v>
      </c>
      <c r="D32" s="113">
        <v>4409</v>
      </c>
      <c r="E32" s="114">
        <v>4558</v>
      </c>
      <c r="F32" s="114">
        <v>4020</v>
      </c>
      <c r="G32" s="113">
        <v>-8917</v>
      </c>
      <c r="H32" s="113">
        <v>0</v>
      </c>
      <c r="I32" s="113">
        <v>0</v>
      </c>
      <c r="J32" s="113">
        <v>1</v>
      </c>
      <c r="K32" s="113">
        <v>-12416</v>
      </c>
      <c r="L32" s="113">
        <v>0</v>
      </c>
      <c r="M32" s="113">
        <v>0</v>
      </c>
      <c r="N32" s="113">
        <v>0</v>
      </c>
      <c r="O32" s="113">
        <v>-14184</v>
      </c>
      <c r="P32" s="113">
        <v>0</v>
      </c>
      <c r="Q32" s="113">
        <v>0</v>
      </c>
      <c r="R32" s="113">
        <v>-27612</v>
      </c>
      <c r="S32" s="113">
        <v>2711</v>
      </c>
      <c r="T32" s="113">
        <v>2802</v>
      </c>
      <c r="U32" s="113">
        <f>VLOOKUP(B32,'[1]FlCX Trim_RI (final)'!$B$5:$E$76,2,FALSE)</f>
        <v>2898</v>
      </c>
      <c r="V32" s="113">
        <v>2995</v>
      </c>
      <c r="W32" s="113">
        <v>-25450</v>
      </c>
      <c r="X32" s="113">
        <v>2235</v>
      </c>
      <c r="Y32" s="113">
        <v>2311</v>
      </c>
      <c r="Z32" s="113">
        <v>2389</v>
      </c>
      <c r="AA32" s="113">
        <v>-26077</v>
      </c>
    </row>
    <row r="33" spans="2:29" ht="15.75">
      <c r="B33" s="112" t="s">
        <v>146</v>
      </c>
      <c r="C33" s="113">
        <v>19288</v>
      </c>
      <c r="D33" s="113">
        <v>-1736</v>
      </c>
      <c r="E33" s="114">
        <v>-13751</v>
      </c>
      <c r="F33" s="114">
        <v>41787</v>
      </c>
      <c r="G33" s="113">
        <v>18721</v>
      </c>
      <c r="H33" s="113">
        <v>5290</v>
      </c>
      <c r="I33" s="113">
        <v>-29388</v>
      </c>
      <c r="J33" s="113">
        <v>-12533</v>
      </c>
      <c r="K33" s="113">
        <v>8695</v>
      </c>
      <c r="L33" s="113">
        <v>-15008</v>
      </c>
      <c r="M33" s="113">
        <v>43080</v>
      </c>
      <c r="N33" s="113">
        <v>-42494</v>
      </c>
      <c r="O33" s="113">
        <v>10147</v>
      </c>
      <c r="P33" s="113">
        <v>-8371</v>
      </c>
      <c r="Q33" s="113">
        <v>56159</v>
      </c>
      <c r="R33" s="113">
        <v>23986</v>
      </c>
      <c r="S33" s="113">
        <v>12790</v>
      </c>
      <c r="T33" s="113">
        <v>23767</v>
      </c>
      <c r="U33" s="113">
        <f>VLOOKUP(B33,'[1]FlCX Trim_RI (final)'!$B$5:$E$76,2,FALSE)</f>
        <v>-80861</v>
      </c>
      <c r="V33" s="113">
        <v>58893</v>
      </c>
      <c r="W33" s="113">
        <v>-211</v>
      </c>
      <c r="X33" s="113">
        <v>-60573</v>
      </c>
      <c r="Y33" s="113">
        <v>18418</v>
      </c>
      <c r="Z33" s="113">
        <v>-3088</v>
      </c>
      <c r="AA33" s="113">
        <v>-56082</v>
      </c>
    </row>
    <row r="34" spans="2:29" ht="18">
      <c r="B34" s="112" t="s">
        <v>147</v>
      </c>
      <c r="C34" s="113">
        <v>57850</v>
      </c>
      <c r="D34" s="113">
        <v>1671</v>
      </c>
      <c r="E34" s="114">
        <v>-35432</v>
      </c>
      <c r="F34" s="114">
        <v>12553</v>
      </c>
      <c r="G34" s="113">
        <v>-64649</v>
      </c>
      <c r="H34" s="113">
        <v>20541</v>
      </c>
      <c r="I34" s="113">
        <v>-93923</v>
      </c>
      <c r="J34" s="113">
        <v>113025</v>
      </c>
      <c r="K34" s="113">
        <v>60598</v>
      </c>
      <c r="L34" s="113">
        <v>123546</v>
      </c>
      <c r="M34" s="113">
        <v>138141</v>
      </c>
      <c r="N34" s="113">
        <v>201724</v>
      </c>
      <c r="O34" s="113">
        <v>125002</v>
      </c>
      <c r="P34" s="113">
        <v>93625</v>
      </c>
      <c r="Q34" s="113">
        <v>198965</v>
      </c>
      <c r="R34" s="113">
        <v>209714</v>
      </c>
      <c r="S34" s="113">
        <v>252468</v>
      </c>
      <c r="T34" s="113">
        <v>252613</v>
      </c>
      <c r="U34" s="113">
        <f>VLOOKUP(B34,'[1]FlCX Trim_RI (final)'!$B$5:$E$76,2,FALSE)</f>
        <v>580576</v>
      </c>
      <c r="V34" s="113">
        <v>32009</v>
      </c>
      <c r="W34" s="113">
        <v>159363</v>
      </c>
      <c r="X34" s="113">
        <v>131963</v>
      </c>
      <c r="Y34" s="113">
        <v>136787</v>
      </c>
      <c r="Z34" s="113">
        <v>124654</v>
      </c>
      <c r="AA34" s="113">
        <v>244917</v>
      </c>
      <c r="AC34" s="348"/>
    </row>
    <row r="35" spans="2:29" ht="18">
      <c r="B35" s="112" t="s">
        <v>148</v>
      </c>
      <c r="C35" s="113">
        <v>249782</v>
      </c>
      <c r="D35" s="113">
        <v>-279310</v>
      </c>
      <c r="E35" s="114">
        <v>-126108</v>
      </c>
      <c r="F35" s="114">
        <v>273917</v>
      </c>
      <c r="G35" s="113">
        <v>52102</v>
      </c>
      <c r="H35" s="113">
        <v>-59182</v>
      </c>
      <c r="I35" s="113">
        <v>38384</v>
      </c>
      <c r="J35" s="113">
        <v>459372</v>
      </c>
      <c r="K35" s="113">
        <v>28341</v>
      </c>
      <c r="L35" s="113">
        <v>-82003</v>
      </c>
      <c r="M35" s="113">
        <v>3518</v>
      </c>
      <c r="N35" s="113">
        <v>-301980</v>
      </c>
      <c r="O35" s="113">
        <v>102528</v>
      </c>
      <c r="P35" s="113">
        <v>223348</v>
      </c>
      <c r="Q35" s="113">
        <v>-12495</v>
      </c>
      <c r="R35" s="113">
        <v>-46473</v>
      </c>
      <c r="S35" s="113">
        <v>-59973</v>
      </c>
      <c r="T35" s="113">
        <v>-57507</v>
      </c>
      <c r="U35" s="113">
        <f>VLOOKUP(B35,'[1]FlCX Trim_RI (final)'!$B$5:$E$76,2,FALSE)</f>
        <v>222835</v>
      </c>
      <c r="V35" s="113">
        <v>-268012</v>
      </c>
      <c r="W35" s="113">
        <v>-154195</v>
      </c>
      <c r="X35" s="113">
        <v>331602</v>
      </c>
      <c r="Y35" s="374">
        <v>34176</v>
      </c>
      <c r="Z35" s="374">
        <v>5492</v>
      </c>
      <c r="AA35" s="374">
        <v>298614</v>
      </c>
      <c r="AC35" s="348"/>
    </row>
    <row r="36" spans="2:29" ht="18">
      <c r="B36" s="112" t="s">
        <v>149</v>
      </c>
      <c r="C36" s="113">
        <v>-59582</v>
      </c>
      <c r="D36" s="113">
        <v>-65724</v>
      </c>
      <c r="E36" s="114">
        <v>-49107</v>
      </c>
      <c r="F36" s="114">
        <v>-55919</v>
      </c>
      <c r="G36" s="113">
        <v>-34343</v>
      </c>
      <c r="H36" s="113">
        <v>-50744</v>
      </c>
      <c r="I36" s="113">
        <v>-52525</v>
      </c>
      <c r="J36" s="113">
        <v>-60188</v>
      </c>
      <c r="K36" s="113">
        <v>-54201</v>
      </c>
      <c r="L36" s="113">
        <v>-57142</v>
      </c>
      <c r="M36" s="113">
        <v>-4599</v>
      </c>
      <c r="N36" s="113">
        <v>-15800</v>
      </c>
      <c r="O36" s="113">
        <v>-5742</v>
      </c>
      <c r="P36" s="113">
        <v>-11030</v>
      </c>
      <c r="Q36" s="113">
        <v>0</v>
      </c>
      <c r="R36" s="113">
        <v>-7804</v>
      </c>
      <c r="S36" s="113">
        <v>-8396</v>
      </c>
      <c r="T36" s="113">
        <v>-14116</v>
      </c>
      <c r="U36" s="113">
        <f>VLOOKUP(B36,'[1]FlCX Trim_RI (final)'!$B$5:$E$76,2,FALSE)</f>
        <v>-9534</v>
      </c>
      <c r="V36" s="113">
        <v>-19252</v>
      </c>
      <c r="W36" s="113">
        <v>-10621</v>
      </c>
      <c r="X36" s="113">
        <v>-39880</v>
      </c>
      <c r="Y36" s="113">
        <v>-13988</v>
      </c>
      <c r="Z36" s="113">
        <v>-11879</v>
      </c>
      <c r="AA36" s="113">
        <v>-14026</v>
      </c>
      <c r="AC36" s="348"/>
    </row>
    <row r="37" spans="2:29" ht="15.75">
      <c r="B37" s="112" t="s">
        <v>285</v>
      </c>
      <c r="C37" s="113">
        <v>0</v>
      </c>
      <c r="D37" s="113">
        <v>0</v>
      </c>
      <c r="E37" s="114">
        <v>0</v>
      </c>
      <c r="F37" s="114">
        <v>0</v>
      </c>
      <c r="G37" s="113">
        <v>0</v>
      </c>
      <c r="H37" s="113">
        <v>0</v>
      </c>
      <c r="I37" s="113">
        <v>0</v>
      </c>
      <c r="J37" s="113">
        <v>0</v>
      </c>
      <c r="K37" s="113">
        <v>0</v>
      </c>
      <c r="L37" s="113">
        <v>0</v>
      </c>
      <c r="M37" s="113">
        <v>0</v>
      </c>
      <c r="N37" s="113">
        <v>0</v>
      </c>
      <c r="O37" s="113">
        <v>393933</v>
      </c>
      <c r="P37" s="113">
        <v>0</v>
      </c>
      <c r="Q37" s="113">
        <v>0</v>
      </c>
      <c r="R37" s="113">
        <v>-3728</v>
      </c>
      <c r="S37" s="113">
        <v>0</v>
      </c>
      <c r="T37" s="113">
        <v>0</v>
      </c>
      <c r="U37" s="113">
        <v>0</v>
      </c>
      <c r="V37" s="113">
        <v>0</v>
      </c>
      <c r="W37" s="113">
        <v>0</v>
      </c>
      <c r="X37" s="113">
        <v>0</v>
      </c>
      <c r="Y37" s="113">
        <v>0</v>
      </c>
      <c r="Z37" s="113">
        <v>0</v>
      </c>
      <c r="AA37" s="113">
        <v>0</v>
      </c>
    </row>
    <row r="38" spans="2:29" ht="18">
      <c r="B38" s="112" t="s">
        <v>142</v>
      </c>
      <c r="C38" s="113">
        <v>-3782</v>
      </c>
      <c r="D38" s="113">
        <v>-1578</v>
      </c>
      <c r="E38" s="114">
        <v>-31376</v>
      </c>
      <c r="F38" s="114">
        <v>-113920</v>
      </c>
      <c r="G38" s="113">
        <v>23266</v>
      </c>
      <c r="H38" s="113">
        <v>-29428</v>
      </c>
      <c r="I38" s="113">
        <v>-49990</v>
      </c>
      <c r="J38" s="113">
        <v>-83326</v>
      </c>
      <c r="K38" s="113">
        <v>16783</v>
      </c>
      <c r="L38" s="113">
        <v>27216</v>
      </c>
      <c r="M38" s="113">
        <v>-63178</v>
      </c>
      <c r="N38" s="113">
        <v>-114245</v>
      </c>
      <c r="O38" s="113">
        <v>29277</v>
      </c>
      <c r="P38" s="113">
        <v>64598</v>
      </c>
      <c r="Q38" s="113">
        <v>-17103</v>
      </c>
      <c r="R38" s="113">
        <v>138399</v>
      </c>
      <c r="S38" s="113">
        <v>200691</v>
      </c>
      <c r="T38" s="113">
        <v>-237749</v>
      </c>
      <c r="U38" s="113">
        <v>-58129</v>
      </c>
      <c r="V38" s="113">
        <v>102149</v>
      </c>
      <c r="W38" s="113">
        <v>-135432</v>
      </c>
      <c r="X38" s="113">
        <v>66449</v>
      </c>
      <c r="Y38" s="113">
        <v>89583</v>
      </c>
      <c r="Z38" s="113">
        <v>-46404</v>
      </c>
      <c r="AA38" s="113">
        <v>-153690</v>
      </c>
      <c r="AC38" s="348"/>
    </row>
    <row r="39" spans="2:29" s="118" customFormat="1" ht="18">
      <c r="B39" s="109" t="s">
        <v>17</v>
      </c>
      <c r="C39" s="116">
        <v>77250</v>
      </c>
      <c r="D39" s="116">
        <v>-321987</v>
      </c>
      <c r="E39" s="117">
        <v>-216397</v>
      </c>
      <c r="F39" s="117">
        <v>401098</v>
      </c>
      <c r="G39" s="116">
        <v>116558</v>
      </c>
      <c r="H39" s="116">
        <v>-134555</v>
      </c>
      <c r="I39" s="116">
        <v>209572</v>
      </c>
      <c r="J39" s="116">
        <v>66837</v>
      </c>
      <c r="K39" s="116">
        <v>63617</v>
      </c>
      <c r="L39" s="116">
        <v>13076</v>
      </c>
      <c r="M39" s="269">
        <v>444560</v>
      </c>
      <c r="N39" s="269">
        <v>-248173</v>
      </c>
      <c r="O39" s="269">
        <v>633654</v>
      </c>
      <c r="P39" s="269">
        <v>-70534</v>
      </c>
      <c r="Q39" s="269">
        <v>780404</v>
      </c>
      <c r="R39" s="269">
        <v>1309053</v>
      </c>
      <c r="S39" s="269">
        <v>619824</v>
      </c>
      <c r="T39" s="269">
        <v>10313</v>
      </c>
      <c r="U39" s="269">
        <v>1162313</v>
      </c>
      <c r="V39" s="269">
        <v>-143180</v>
      </c>
      <c r="W39" s="269">
        <v>-81255</v>
      </c>
      <c r="X39" s="269">
        <v>1724443</v>
      </c>
      <c r="Y39" s="269">
        <v>-898518</v>
      </c>
      <c r="Z39" s="269">
        <v>-40628</v>
      </c>
      <c r="AA39" s="269">
        <v>-159903</v>
      </c>
      <c r="AB39"/>
      <c r="AC39" s="349"/>
    </row>
    <row r="40" spans="2:29" ht="5.25" customHeight="1">
      <c r="B40" s="112"/>
      <c r="C40" s="113"/>
      <c r="D40" s="113"/>
      <c r="E40" s="114"/>
      <c r="F40" s="114"/>
      <c r="G40" s="113"/>
      <c r="H40" s="113"/>
      <c r="I40" s="113"/>
      <c r="J40" s="113"/>
      <c r="K40" s="113"/>
      <c r="L40" s="113"/>
      <c r="M40" s="113"/>
      <c r="N40" s="113"/>
      <c r="O40" s="113"/>
      <c r="P40" s="113"/>
    </row>
    <row r="41" spans="2:29" ht="18">
      <c r="B41" s="119" t="s">
        <v>150</v>
      </c>
      <c r="C41" s="120">
        <v>434055</v>
      </c>
      <c r="D41" s="120">
        <v>55816</v>
      </c>
      <c r="E41" s="121">
        <v>480461</v>
      </c>
      <c r="F41" s="121">
        <v>696209</v>
      </c>
      <c r="G41" s="120">
        <v>279125</v>
      </c>
      <c r="H41" s="120">
        <v>-126627</v>
      </c>
      <c r="I41" s="120">
        <v>829369</v>
      </c>
      <c r="J41" s="120">
        <v>139515</v>
      </c>
      <c r="K41" s="120">
        <v>663458</v>
      </c>
      <c r="L41" s="120">
        <v>-75089</v>
      </c>
      <c r="M41" s="120">
        <v>807137</v>
      </c>
      <c r="N41" s="120">
        <v>1045922</v>
      </c>
      <c r="O41" s="120">
        <v>711858</v>
      </c>
      <c r="P41" s="120">
        <v>432140</v>
      </c>
      <c r="Q41" s="120">
        <v>1761563</v>
      </c>
      <c r="R41" s="120">
        <v>1321036</v>
      </c>
      <c r="S41" s="120">
        <v>658933</v>
      </c>
      <c r="T41" s="120">
        <v>2376310</v>
      </c>
      <c r="U41" s="120">
        <f>VLOOKUP(B41,'[1]FlCX Trim_RI (final)'!$B$5:$E$76,2,FALSE)</f>
        <v>2474354</v>
      </c>
      <c r="V41" s="120">
        <v>1918242</v>
      </c>
      <c r="W41" s="120">
        <v>1318515</v>
      </c>
      <c r="X41" s="120">
        <v>427429</v>
      </c>
      <c r="Y41" s="120">
        <v>432754</v>
      </c>
      <c r="Z41" s="120">
        <v>588631</v>
      </c>
      <c r="AA41" s="120">
        <v>1609924</v>
      </c>
      <c r="AC41" s="348"/>
    </row>
    <row r="42" spans="2:29" ht="7.5" customHeight="1">
      <c r="B42" s="112"/>
      <c r="C42" s="113"/>
      <c r="D42" s="113"/>
      <c r="E42" s="114"/>
      <c r="F42" s="114"/>
      <c r="G42" s="113"/>
      <c r="H42" s="113"/>
      <c r="I42" s="113"/>
      <c r="J42" s="113"/>
      <c r="K42" s="113"/>
      <c r="L42" s="113"/>
      <c r="M42" s="113"/>
      <c r="N42" s="113"/>
      <c r="O42" s="113"/>
      <c r="P42" s="113"/>
    </row>
    <row r="43" spans="2:29" ht="18">
      <c r="B43" s="112" t="s">
        <v>151</v>
      </c>
      <c r="C43" s="113">
        <v>-234033</v>
      </c>
      <c r="D43" s="113">
        <v>-183716</v>
      </c>
      <c r="E43" s="114">
        <v>-199331</v>
      </c>
      <c r="F43" s="114">
        <v>-147170</v>
      </c>
      <c r="G43" s="113">
        <v>-148319</v>
      </c>
      <c r="H43" s="113">
        <v>-129948</v>
      </c>
      <c r="I43" s="113">
        <v>-131169</v>
      </c>
      <c r="J43" s="113">
        <v>-124068</v>
      </c>
      <c r="K43" s="113">
        <v>-121257</v>
      </c>
      <c r="L43" s="113">
        <v>-125406</v>
      </c>
      <c r="M43" s="113">
        <v>-93484</v>
      </c>
      <c r="N43" s="113">
        <v>-24269</v>
      </c>
      <c r="O43" s="113">
        <v>-152559</v>
      </c>
      <c r="P43" s="113">
        <v>-4694</v>
      </c>
      <c r="Q43" s="113">
        <v>-172893</v>
      </c>
      <c r="R43" s="113">
        <v>-6913</v>
      </c>
      <c r="S43" s="113">
        <v>-162357</v>
      </c>
      <c r="T43" s="113">
        <v>-418</v>
      </c>
      <c r="U43" s="113">
        <f>VLOOKUP(B43,'[1]FlCX Trim_RI (final)'!$B$5:$E$76,2,FALSE)</f>
        <v>-180709</v>
      </c>
      <c r="V43" s="113">
        <v>-365</v>
      </c>
      <c r="W43" s="113">
        <v>-236205</v>
      </c>
      <c r="X43" s="113">
        <v>-19138</v>
      </c>
      <c r="Y43" s="113">
        <v>-224210</v>
      </c>
      <c r="Z43" s="113">
        <v>-104878</v>
      </c>
      <c r="AA43" s="113">
        <v>-121618</v>
      </c>
      <c r="AC43" s="348"/>
    </row>
    <row r="44" spans="2:29" ht="18">
      <c r="B44" s="112" t="s">
        <v>344</v>
      </c>
      <c r="C44" s="113">
        <v>-14760</v>
      </c>
      <c r="D44" s="113">
        <v>-5637</v>
      </c>
      <c r="E44" s="114">
        <v>-2100</v>
      </c>
      <c r="F44" s="114">
        <v>-2765</v>
      </c>
      <c r="G44" s="113">
        <v>-17672</v>
      </c>
      <c r="H44" s="113">
        <v>-12714</v>
      </c>
      <c r="I44" s="113">
        <v>-39217</v>
      </c>
      <c r="J44" s="113">
        <v>-8657</v>
      </c>
      <c r="K44" s="113">
        <v>-11291</v>
      </c>
      <c r="L44" s="113">
        <v>-31708</v>
      </c>
      <c r="M44" s="113">
        <v>-33469</v>
      </c>
      <c r="N44" s="113">
        <v>-28720</v>
      </c>
      <c r="O44" s="113">
        <v>-41860</v>
      </c>
      <c r="P44" s="113">
        <v>-49227</v>
      </c>
      <c r="Q44" s="113">
        <v>-51616</v>
      </c>
      <c r="R44" s="113">
        <v>-87326</v>
      </c>
      <c r="S44" s="113">
        <v>-493107</v>
      </c>
      <c r="T44" s="113">
        <v>-310614</v>
      </c>
      <c r="U44" s="113">
        <f>VLOOKUP(B44,'[1]FlCX Trim_RI (final)'!$B$5:$E$76,2,FALSE)</f>
        <v>-772474</v>
      </c>
      <c r="V44" s="113">
        <v>-192284</v>
      </c>
      <c r="W44" s="113">
        <v>-981294</v>
      </c>
      <c r="X44" s="113">
        <v>-54981</v>
      </c>
      <c r="Y44" s="113">
        <v>-104532</v>
      </c>
      <c r="Z44" s="113">
        <v>-44973</v>
      </c>
      <c r="AA44" s="113">
        <v>-124053</v>
      </c>
      <c r="AC44" s="348"/>
    </row>
    <row r="45" spans="2:29" ht="5.25" customHeight="1">
      <c r="B45" s="112"/>
      <c r="C45" s="113"/>
      <c r="D45" s="113"/>
      <c r="E45" s="114"/>
      <c r="F45" s="114"/>
      <c r="G45" s="113"/>
      <c r="H45" s="113"/>
      <c r="I45" s="113"/>
      <c r="J45" s="113"/>
      <c r="K45" s="113"/>
      <c r="L45" s="113"/>
      <c r="M45" s="113"/>
      <c r="N45" s="113"/>
      <c r="O45" s="113"/>
      <c r="P45" s="113"/>
    </row>
    <row r="46" spans="2:29" ht="18">
      <c r="B46" s="119" t="s">
        <v>153</v>
      </c>
      <c r="C46" s="120">
        <v>185262</v>
      </c>
      <c r="D46" s="120">
        <v>-133537</v>
      </c>
      <c r="E46" s="121">
        <v>279030</v>
      </c>
      <c r="F46" s="121">
        <v>546274</v>
      </c>
      <c r="G46" s="120">
        <v>113134</v>
      </c>
      <c r="H46" s="120">
        <v>-269289</v>
      </c>
      <c r="I46" s="120">
        <v>658983</v>
      </c>
      <c r="J46" s="120">
        <v>6790</v>
      </c>
      <c r="K46" s="120">
        <v>530910</v>
      </c>
      <c r="L46" s="120">
        <v>-232203</v>
      </c>
      <c r="M46" s="120">
        <v>680184</v>
      </c>
      <c r="N46" s="120">
        <v>992933</v>
      </c>
      <c r="O46" s="120">
        <v>517439</v>
      </c>
      <c r="P46" s="120">
        <v>378219</v>
      </c>
      <c r="Q46" s="120">
        <v>1537054</v>
      </c>
      <c r="R46" s="120">
        <v>1226797</v>
      </c>
      <c r="S46" s="120">
        <v>3469</v>
      </c>
      <c r="T46" s="120">
        <v>2065278</v>
      </c>
      <c r="U46" s="120">
        <f>VLOOKUP(B46,'[1]FlCX Trim_RI (final)'!$B$5:$E$76,2,FALSE)</f>
        <v>1521171</v>
      </c>
      <c r="V46" s="120">
        <v>1725593</v>
      </c>
      <c r="W46" s="120">
        <v>101016</v>
      </c>
      <c r="X46" s="366">
        <v>353310</v>
      </c>
      <c r="Y46" s="366">
        <v>104012</v>
      </c>
      <c r="Z46" s="366">
        <v>438780</v>
      </c>
      <c r="AA46" s="366">
        <v>1364253</v>
      </c>
      <c r="AB46" s="348"/>
      <c r="AC46" s="348"/>
    </row>
    <row r="47" spans="2:29" ht="6" customHeight="1">
      <c r="B47" s="112"/>
      <c r="C47" s="113"/>
      <c r="D47" s="113"/>
      <c r="E47" s="114"/>
      <c r="F47" s="114"/>
      <c r="G47" s="113"/>
      <c r="H47" s="113"/>
      <c r="I47" s="113"/>
      <c r="J47" s="113"/>
      <c r="K47" s="113"/>
      <c r="L47" s="113"/>
      <c r="M47" s="113"/>
      <c r="N47" s="113"/>
      <c r="O47" s="113"/>
      <c r="P47" s="113"/>
    </row>
    <row r="48" spans="2:29" ht="15.75">
      <c r="B48" s="112" t="s">
        <v>154</v>
      </c>
      <c r="C48" s="113"/>
      <c r="D48" s="113"/>
      <c r="E48" s="114"/>
      <c r="F48" s="114"/>
      <c r="G48" s="113"/>
      <c r="H48" s="113"/>
      <c r="I48" s="113"/>
      <c r="J48" s="113"/>
      <c r="K48" s="113"/>
      <c r="L48" s="113"/>
      <c r="M48" s="113"/>
      <c r="N48" s="113"/>
      <c r="O48" s="113"/>
      <c r="P48" s="113"/>
      <c r="Q48" s="113"/>
      <c r="R48" s="113"/>
      <c r="S48" s="113"/>
      <c r="T48" s="113"/>
      <c r="U48" s="113"/>
      <c r="V48" s="113"/>
      <c r="W48" s="113"/>
      <c r="X48" s="113"/>
      <c r="Y48" s="113"/>
      <c r="Z48" s="113"/>
      <c r="AA48" s="113"/>
    </row>
    <row r="49" spans="2:29" ht="18">
      <c r="B49" s="112" t="s">
        <v>155</v>
      </c>
      <c r="C49" s="113">
        <v>1025604</v>
      </c>
      <c r="D49" s="113">
        <v>-394014</v>
      </c>
      <c r="E49" s="114">
        <v>-67174</v>
      </c>
      <c r="F49" s="114">
        <v>429453</v>
      </c>
      <c r="G49" s="113">
        <v>122218</v>
      </c>
      <c r="H49" s="113">
        <v>-103553</v>
      </c>
      <c r="I49" s="113">
        <v>-60481</v>
      </c>
      <c r="J49" s="113">
        <v>-1028</v>
      </c>
      <c r="K49" s="113">
        <v>-24188</v>
      </c>
      <c r="L49" s="113">
        <v>-134754</v>
      </c>
      <c r="M49" s="113">
        <v>-170059</v>
      </c>
      <c r="N49" s="113">
        <v>247385</v>
      </c>
      <c r="O49" s="113">
        <v>97235</v>
      </c>
      <c r="P49" s="113">
        <v>-256521</v>
      </c>
      <c r="Q49" s="113">
        <v>-482767</v>
      </c>
      <c r="R49" s="113">
        <v>-296588</v>
      </c>
      <c r="S49" s="113">
        <v>1010097</v>
      </c>
      <c r="T49" s="113">
        <v>-1708584</v>
      </c>
      <c r="U49" s="113">
        <f>VLOOKUP(B49,'[1]FlCX Trim_RI (final)'!$B$5:$E$76,2,FALSE)</f>
        <v>698550</v>
      </c>
      <c r="V49" s="113">
        <v>924221</v>
      </c>
      <c r="W49" s="113">
        <v>-471335</v>
      </c>
      <c r="X49" s="113">
        <v>77701</v>
      </c>
      <c r="Y49" s="113">
        <v>185744</v>
      </c>
      <c r="Z49" s="113">
        <v>-1265892</v>
      </c>
      <c r="AA49" s="113">
        <v>895151</v>
      </c>
      <c r="AB49" s="348"/>
      <c r="AC49" s="348"/>
    </row>
    <row r="50" spans="2:29" ht="15.75">
      <c r="B50" s="112" t="s">
        <v>262</v>
      </c>
      <c r="C50" s="113">
        <v>0</v>
      </c>
      <c r="D50" s="113">
        <v>0</v>
      </c>
      <c r="E50" s="264">
        <v>0</v>
      </c>
      <c r="F50" s="264">
        <v>0</v>
      </c>
      <c r="G50" s="264">
        <v>0</v>
      </c>
      <c r="H50" s="264">
        <v>0</v>
      </c>
      <c r="I50" s="264">
        <v>0</v>
      </c>
      <c r="J50" s="264">
        <v>0</v>
      </c>
      <c r="K50" s="113">
        <v>-9</v>
      </c>
      <c r="L50" s="113">
        <v>0</v>
      </c>
      <c r="M50" s="113">
        <v>0</v>
      </c>
      <c r="N50" s="113">
        <v>-17</v>
      </c>
      <c r="O50" s="113">
        <v>0</v>
      </c>
      <c r="P50" s="113">
        <v>0</v>
      </c>
      <c r="Q50" s="113">
        <v>0</v>
      </c>
      <c r="R50" s="113">
        <v>0</v>
      </c>
      <c r="S50" s="113">
        <v>0</v>
      </c>
      <c r="T50" s="113">
        <v>0</v>
      </c>
      <c r="U50" s="113">
        <v>0</v>
      </c>
      <c r="V50" s="113">
        <v>0</v>
      </c>
      <c r="W50" s="113">
        <v>0</v>
      </c>
      <c r="X50" s="113">
        <v>0</v>
      </c>
      <c r="Y50" s="113">
        <v>0</v>
      </c>
      <c r="Z50" s="113">
        <v>-67</v>
      </c>
      <c r="AA50" s="113">
        <v>0</v>
      </c>
    </row>
    <row r="51" spans="2:29" ht="18">
      <c r="B51" s="112" t="s">
        <v>156</v>
      </c>
      <c r="C51" s="113">
        <v>-22674</v>
      </c>
      <c r="D51" s="113">
        <v>-32362</v>
      </c>
      <c r="E51" s="114">
        <v>-50168</v>
      </c>
      <c r="F51" s="114">
        <v>-103267</v>
      </c>
      <c r="G51" s="113">
        <v>-61629</v>
      </c>
      <c r="H51" s="113">
        <v>-62683</v>
      </c>
      <c r="I51" s="113">
        <v>-85200</v>
      </c>
      <c r="J51" s="113">
        <v>-195629</v>
      </c>
      <c r="K51" s="113">
        <v>-81487</v>
      </c>
      <c r="L51" s="113">
        <v>-98869</v>
      </c>
      <c r="M51" s="113">
        <v>-135534</v>
      </c>
      <c r="N51" s="113">
        <v>-330346</v>
      </c>
      <c r="O51" s="113">
        <v>-175821</v>
      </c>
      <c r="P51" s="113">
        <v>-188135</v>
      </c>
      <c r="Q51" s="113">
        <v>-173407</v>
      </c>
      <c r="R51" s="113">
        <v>-231344</v>
      </c>
      <c r="S51" s="113">
        <v>-229952</v>
      </c>
      <c r="T51" s="113">
        <v>-330799</v>
      </c>
      <c r="U51" s="113">
        <f>VLOOKUP(B51,'[1]FlCX Trim_RI (final)'!$B$5:$E$76,2,FALSE)</f>
        <v>-296911</v>
      </c>
      <c r="V51" s="113">
        <v>-532065</v>
      </c>
      <c r="W51" s="113">
        <v>-282975</v>
      </c>
      <c r="X51" s="113">
        <v>-418760</v>
      </c>
      <c r="Y51" s="113">
        <v>-585631</v>
      </c>
      <c r="Z51" s="113">
        <v>-739270</v>
      </c>
      <c r="AA51" s="113">
        <v>-575609</v>
      </c>
      <c r="AC51" s="348"/>
    </row>
    <row r="52" spans="2:29" ht="18">
      <c r="B52" s="112" t="s">
        <v>311</v>
      </c>
      <c r="C52" s="113">
        <v>1693</v>
      </c>
      <c r="D52" s="113">
        <v>1</v>
      </c>
      <c r="E52" s="114">
        <v>818</v>
      </c>
      <c r="F52" s="114">
        <v>6135</v>
      </c>
      <c r="G52" s="113">
        <v>19652</v>
      </c>
      <c r="H52" s="113">
        <v>335</v>
      </c>
      <c r="I52" s="113">
        <v>10354</v>
      </c>
      <c r="J52" s="113">
        <v>9171</v>
      </c>
      <c r="K52" s="113">
        <v>1300</v>
      </c>
      <c r="L52" s="113">
        <v>6506</v>
      </c>
      <c r="M52" s="113">
        <v>1432</v>
      </c>
      <c r="N52" s="113">
        <v>-97</v>
      </c>
      <c r="O52" s="113">
        <v>881</v>
      </c>
      <c r="P52" s="113">
        <v>18916</v>
      </c>
      <c r="Q52" s="113">
        <v>4551</v>
      </c>
      <c r="R52" s="113">
        <v>96933</v>
      </c>
      <c r="S52" s="113">
        <v>50379</v>
      </c>
      <c r="T52" s="113">
        <v>53668</v>
      </c>
      <c r="U52" s="113">
        <f>VLOOKUP(B52,'[1]FlCX Trim_RI (final)'!$B$5:$E$76,2,FALSE)</f>
        <v>-958</v>
      </c>
      <c r="V52" s="113">
        <v>1952</v>
      </c>
      <c r="W52" s="113">
        <v>8748</v>
      </c>
      <c r="X52" s="113">
        <v>38643</v>
      </c>
      <c r="Y52" s="113">
        <v>2967</v>
      </c>
      <c r="Z52" s="113">
        <v>37215</v>
      </c>
      <c r="AA52" s="113">
        <v>0</v>
      </c>
      <c r="AB52" s="348"/>
      <c r="AC52" s="348"/>
    </row>
    <row r="53" spans="2:29" ht="18">
      <c r="B53" s="265" t="s">
        <v>157</v>
      </c>
      <c r="C53" s="113">
        <v>1274</v>
      </c>
      <c r="D53" s="113">
        <v>12543</v>
      </c>
      <c r="E53" s="114">
        <v>-10578</v>
      </c>
      <c r="F53" s="114">
        <v>23261</v>
      </c>
      <c r="G53" s="113">
        <v>128013</v>
      </c>
      <c r="H53" s="113">
        <v>1039</v>
      </c>
      <c r="I53" s="113">
        <v>-2485</v>
      </c>
      <c r="J53" s="113">
        <v>214388</v>
      </c>
      <c r="K53" s="113">
        <v>1544</v>
      </c>
      <c r="L53" s="113">
        <v>1458</v>
      </c>
      <c r="M53" s="113">
        <v>1266</v>
      </c>
      <c r="N53" s="113">
        <v>220678</v>
      </c>
      <c r="O53" s="113">
        <v>2093</v>
      </c>
      <c r="P53" s="113">
        <v>1909</v>
      </c>
      <c r="Q53" s="113">
        <v>2819</v>
      </c>
      <c r="R53" s="113">
        <v>130081</v>
      </c>
      <c r="S53" s="113">
        <v>4592</v>
      </c>
      <c r="T53" s="113">
        <v>3160</v>
      </c>
      <c r="U53" s="113">
        <f>VLOOKUP(B53,'[1]FlCX Trim_RI (final)'!$B$5:$E$76,2,FALSE)</f>
        <v>4215</v>
      </c>
      <c r="V53" s="113">
        <v>116268</v>
      </c>
      <c r="W53" s="113">
        <v>2950</v>
      </c>
      <c r="X53" s="113">
        <v>4525</v>
      </c>
      <c r="Y53" s="113">
        <v>6525</v>
      </c>
      <c r="Z53" s="113">
        <v>123255</v>
      </c>
      <c r="AA53" s="113">
        <v>3378</v>
      </c>
      <c r="AB53" s="348"/>
      <c r="AC53" s="348"/>
    </row>
    <row r="54" spans="2:29" ht="18">
      <c r="B54" s="265" t="s">
        <v>312</v>
      </c>
      <c r="C54" s="113">
        <v>-683</v>
      </c>
      <c r="D54" s="113">
        <v>-1689</v>
      </c>
      <c r="E54" s="114">
        <v>-1534</v>
      </c>
      <c r="F54" s="114">
        <v>-3793</v>
      </c>
      <c r="G54" s="113">
        <v>-3238</v>
      </c>
      <c r="H54" s="113">
        <v>-4092</v>
      </c>
      <c r="I54" s="113">
        <v>-5120</v>
      </c>
      <c r="J54" s="113">
        <v>-15932</v>
      </c>
      <c r="K54" s="113">
        <v>-2154</v>
      </c>
      <c r="L54" s="113">
        <v>-6472</v>
      </c>
      <c r="M54" s="113">
        <v>-4518</v>
      </c>
      <c r="N54" s="113">
        <v>-22071</v>
      </c>
      <c r="O54" s="113">
        <v>-6645</v>
      </c>
      <c r="P54" s="113">
        <v>-4738</v>
      </c>
      <c r="Q54" s="113">
        <v>-5439</v>
      </c>
      <c r="R54" s="113">
        <v>-13150</v>
      </c>
      <c r="S54" s="113">
        <v>-8665</v>
      </c>
      <c r="T54" s="113">
        <v>-4384</v>
      </c>
      <c r="U54" s="113">
        <f>VLOOKUP(B54,'[1]FlCX Trim_RI (final)'!$B$5:$E$76,2,FALSE)</f>
        <v>-7865</v>
      </c>
      <c r="V54" s="113">
        <v>-72648</v>
      </c>
      <c r="W54" s="113">
        <v>-1972</v>
      </c>
      <c r="X54" s="113">
        <v>-9397</v>
      </c>
      <c r="Y54" s="113">
        <v>-18864</v>
      </c>
      <c r="Z54" s="113">
        <v>-35007</v>
      </c>
      <c r="AA54" s="113">
        <v>-4857</v>
      </c>
      <c r="AB54" s="348"/>
      <c r="AC54" s="348"/>
    </row>
    <row r="55" spans="2:29" ht="3.75" customHeight="1">
      <c r="B55" s="112"/>
      <c r="C55" s="113"/>
      <c r="D55" s="113"/>
      <c r="E55" s="114"/>
      <c r="F55" s="114"/>
      <c r="G55" s="113"/>
      <c r="H55" s="113"/>
      <c r="I55" s="113"/>
      <c r="J55" s="113"/>
      <c r="K55" s="113"/>
      <c r="L55" s="113"/>
      <c r="M55" s="113"/>
      <c r="N55" s="113"/>
      <c r="O55" s="113"/>
      <c r="P55" s="113"/>
      <c r="Q55" s="126"/>
      <c r="R55" s="126" t="e">
        <v>#N/A</v>
      </c>
      <c r="S55" s="126"/>
      <c r="T55" s="126" t="e">
        <v>#N/A</v>
      </c>
      <c r="U55" s="126"/>
      <c r="V55" s="126">
        <v>0</v>
      </c>
      <c r="W55" s="336"/>
      <c r="X55" s="336"/>
      <c r="Y55" s="336">
        <v>6525</v>
      </c>
      <c r="Z55" s="336">
        <v>123255</v>
      </c>
      <c r="AA55" s="336"/>
      <c r="AB55">
        <v>6525</v>
      </c>
    </row>
    <row r="56" spans="2:29">
      <c r="B56" s="119" t="s">
        <v>158</v>
      </c>
      <c r="C56" s="120">
        <v>1005214</v>
      </c>
      <c r="D56" s="120">
        <v>-415521</v>
      </c>
      <c r="E56" s="121">
        <v>-128636</v>
      </c>
      <c r="F56" s="121">
        <v>351789</v>
      </c>
      <c r="G56" s="120">
        <v>205016</v>
      </c>
      <c r="H56" s="120">
        <v>-168954</v>
      </c>
      <c r="I56" s="120">
        <v>-142932</v>
      </c>
      <c r="J56" s="120">
        <v>10970</v>
      </c>
      <c r="K56" s="120">
        <v>-104994</v>
      </c>
      <c r="L56" s="120">
        <v>-232131</v>
      </c>
      <c r="M56" s="120">
        <v>-307413</v>
      </c>
      <c r="N56" s="120">
        <v>115532</v>
      </c>
      <c r="O56" s="120">
        <v>-82257</v>
      </c>
      <c r="P56" s="120">
        <v>-428569</v>
      </c>
      <c r="Q56" s="120">
        <v>-654243</v>
      </c>
      <c r="R56" s="120">
        <v>-314090</v>
      </c>
      <c r="S56" s="120">
        <v>826451</v>
      </c>
      <c r="T56" s="120">
        <v>-1986939</v>
      </c>
      <c r="U56" s="120">
        <f>VLOOKUP(B56,'[1]FlCX Trim_RI (final)'!$B$5:$E$76,2,FALSE)</f>
        <v>397031</v>
      </c>
      <c r="V56" s="120">
        <v>437728</v>
      </c>
      <c r="W56" s="120">
        <v>-744584</v>
      </c>
      <c r="X56" s="120">
        <v>-307288</v>
      </c>
      <c r="Y56" s="120">
        <v>-409259</v>
      </c>
      <c r="Z56" s="120">
        <v>-1879766</v>
      </c>
      <c r="AA56" s="120">
        <v>318063</v>
      </c>
    </row>
    <row r="57" spans="2:29" ht="6.75" customHeight="1">
      <c r="B57" s="112"/>
      <c r="C57" s="113"/>
      <c r="D57" s="113"/>
      <c r="E57" s="114"/>
      <c r="F57" s="114"/>
      <c r="G57" s="113"/>
      <c r="H57" s="113"/>
      <c r="I57" s="113"/>
      <c r="J57" s="113"/>
      <c r="K57" s="113"/>
      <c r="L57" s="113"/>
      <c r="M57" s="113"/>
      <c r="N57" s="113"/>
      <c r="O57" s="113"/>
      <c r="P57" s="113"/>
      <c r="Q57" s="113"/>
      <c r="R57" s="113"/>
      <c r="S57" s="113"/>
      <c r="T57" s="113"/>
      <c r="U57" s="113"/>
      <c r="V57" s="113"/>
      <c r="W57" s="113"/>
      <c r="X57" s="113"/>
      <c r="Y57" s="113"/>
      <c r="Z57" s="113"/>
      <c r="AA57" s="113"/>
    </row>
    <row r="58" spans="2:29" s="118" customFormat="1" ht="15.75">
      <c r="B58" s="109" t="s">
        <v>159</v>
      </c>
      <c r="C58" s="116"/>
      <c r="D58" s="116"/>
      <c r="E58" s="117"/>
      <c r="F58" s="117"/>
      <c r="G58" s="116"/>
      <c r="H58" s="116"/>
      <c r="I58" s="116">
        <v>0</v>
      </c>
      <c r="J58" s="116"/>
      <c r="K58" s="116"/>
      <c r="L58" s="116"/>
      <c r="M58" s="116"/>
      <c r="N58" s="116"/>
      <c r="O58" s="116"/>
      <c r="P58" s="116"/>
      <c r="Q58" s="116"/>
      <c r="R58" s="116"/>
      <c r="S58" s="116"/>
      <c r="T58" s="116"/>
      <c r="U58" s="116"/>
      <c r="V58" s="116"/>
      <c r="W58" s="113"/>
      <c r="X58" s="113"/>
      <c r="Y58" s="113"/>
      <c r="Z58" s="113"/>
      <c r="AA58" s="113"/>
    </row>
    <row r="59" spans="2:29" s="118" customFormat="1" ht="15.75">
      <c r="B59" s="123" t="s">
        <v>269</v>
      </c>
      <c r="C59" s="116">
        <v>0</v>
      </c>
      <c r="D59" s="116">
        <v>0</v>
      </c>
      <c r="E59" s="117">
        <v>0</v>
      </c>
      <c r="F59" s="117">
        <v>0</v>
      </c>
      <c r="G59" s="116">
        <v>0</v>
      </c>
      <c r="H59" s="116">
        <v>0</v>
      </c>
      <c r="I59" s="116">
        <v>0</v>
      </c>
      <c r="J59" s="116">
        <v>0</v>
      </c>
      <c r="K59" s="116">
        <v>0</v>
      </c>
      <c r="L59" s="116">
        <v>0</v>
      </c>
      <c r="M59" s="113">
        <v>2811557</v>
      </c>
      <c r="N59" s="113">
        <v>2000000</v>
      </c>
      <c r="O59" s="113">
        <v>0</v>
      </c>
      <c r="P59" s="113">
        <v>0</v>
      </c>
      <c r="Q59" s="113">
        <v>0</v>
      </c>
      <c r="R59" s="113">
        <v>0</v>
      </c>
      <c r="S59" s="113">
        <v>0</v>
      </c>
      <c r="T59" s="113">
        <v>0</v>
      </c>
      <c r="U59" s="113">
        <v>0</v>
      </c>
      <c r="V59" s="113">
        <v>0</v>
      </c>
      <c r="W59" s="113">
        <v>0</v>
      </c>
      <c r="X59" s="113">
        <v>700000</v>
      </c>
      <c r="Y59" s="113">
        <v>0</v>
      </c>
      <c r="Z59" s="113">
        <v>1500000</v>
      </c>
      <c r="AA59" s="113">
        <v>0</v>
      </c>
    </row>
    <row r="60" spans="2:29" ht="18">
      <c r="B60" s="112" t="s">
        <v>278</v>
      </c>
      <c r="C60" s="113">
        <v>-4892</v>
      </c>
      <c r="D60" s="113">
        <v>-8065</v>
      </c>
      <c r="E60" s="114">
        <v>-3327</v>
      </c>
      <c r="F60" s="114">
        <v>-293496</v>
      </c>
      <c r="G60" s="113">
        <v>-939455</v>
      </c>
      <c r="H60" s="113">
        <v>-7220</v>
      </c>
      <c r="I60" s="113">
        <v>-2298</v>
      </c>
      <c r="J60" s="113">
        <v>-2233</v>
      </c>
      <c r="K60" s="113">
        <v>-369534</v>
      </c>
      <c r="L60" s="113">
        <v>-7252</v>
      </c>
      <c r="M60" s="113">
        <v>-2744344</v>
      </c>
      <c r="N60" s="113">
        <v>-2729374</v>
      </c>
      <c r="O60" s="113">
        <v>-3391</v>
      </c>
      <c r="P60" s="113">
        <v>-6651</v>
      </c>
      <c r="Q60" s="113">
        <v>-1074</v>
      </c>
      <c r="R60" s="113">
        <v>-38915</v>
      </c>
      <c r="S60" s="113">
        <v>-1943</v>
      </c>
      <c r="T60" s="113">
        <v>-1923</v>
      </c>
      <c r="U60" s="113">
        <f>VLOOKUP(B60,'[1]FlCX Trim_RI (final)'!$B$5:$E$76,2,FALSE)</f>
        <v>-1913</v>
      </c>
      <c r="V60" s="113">
        <v>-1830</v>
      </c>
      <c r="W60" s="113">
        <v>-1769</v>
      </c>
      <c r="X60" s="113">
        <v>-701761</v>
      </c>
      <c r="Y60" s="113">
        <v>-1749</v>
      </c>
      <c r="Z60" s="113">
        <v>-1301747</v>
      </c>
      <c r="AA60" s="113">
        <v>-823</v>
      </c>
      <c r="AB60" s="348"/>
      <c r="AC60" s="348"/>
    </row>
    <row r="61" spans="2:29" ht="18">
      <c r="B61" s="112" t="s">
        <v>160</v>
      </c>
      <c r="C61" s="113">
        <v>-335</v>
      </c>
      <c r="D61" s="113">
        <v>-341</v>
      </c>
      <c r="E61" s="114">
        <v>-345</v>
      </c>
      <c r="F61" s="114">
        <v>-3321</v>
      </c>
      <c r="G61" s="113">
        <v>-132</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C61" s="348"/>
    </row>
    <row r="62" spans="2:29" ht="18">
      <c r="B62" s="112" t="s">
        <v>407</v>
      </c>
      <c r="C62" s="113">
        <v>0</v>
      </c>
      <c r="D62" s="113">
        <v>0</v>
      </c>
      <c r="E62" s="114">
        <v>0</v>
      </c>
      <c r="F62" s="114">
        <v>0</v>
      </c>
      <c r="G62" s="113"/>
      <c r="H62" s="113">
        <v>0</v>
      </c>
      <c r="I62" s="113">
        <v>0</v>
      </c>
      <c r="J62" s="113">
        <v>0</v>
      </c>
      <c r="K62" s="113">
        <v>0</v>
      </c>
      <c r="L62" s="113">
        <v>0</v>
      </c>
      <c r="M62" s="113">
        <v>0</v>
      </c>
      <c r="N62" s="113">
        <v>0</v>
      </c>
      <c r="O62" s="113">
        <v>0</v>
      </c>
      <c r="P62" s="113">
        <v>0</v>
      </c>
      <c r="Q62" s="113">
        <v>0</v>
      </c>
      <c r="R62" s="113">
        <v>0</v>
      </c>
      <c r="S62" s="113"/>
      <c r="T62" s="113">
        <v>0</v>
      </c>
      <c r="U62" s="113"/>
      <c r="V62" s="113">
        <v>-8909</v>
      </c>
      <c r="W62" s="113">
        <v>-11318</v>
      </c>
      <c r="X62" s="113">
        <v>-12600</v>
      </c>
      <c r="Y62" s="113">
        <v>-13067</v>
      </c>
      <c r="Z62" s="113">
        <v>-19276</v>
      </c>
      <c r="AA62" s="113">
        <v>-12056</v>
      </c>
      <c r="AB62" s="348"/>
      <c r="AC62" s="348"/>
    </row>
    <row r="63" spans="2:29" ht="18">
      <c r="B63" s="112" t="s">
        <v>161</v>
      </c>
      <c r="C63" s="113">
        <v>-2525</v>
      </c>
      <c r="D63" s="113">
        <v>-199</v>
      </c>
      <c r="E63" s="114">
        <v>-1366</v>
      </c>
      <c r="F63" s="114">
        <v>-2886</v>
      </c>
      <c r="G63" s="113">
        <v>0</v>
      </c>
      <c r="H63" s="113">
        <v>14</v>
      </c>
      <c r="I63" s="113">
        <v>0</v>
      </c>
      <c r="J63" s="113">
        <v>0</v>
      </c>
      <c r="K63" s="113">
        <v>0</v>
      </c>
      <c r="L63" s="113">
        <v>356</v>
      </c>
      <c r="M63" s="113">
        <v>-5863</v>
      </c>
      <c r="N63" s="113">
        <v>0</v>
      </c>
      <c r="O63" s="113">
        <v>0</v>
      </c>
      <c r="P63" s="113">
        <v>-9309</v>
      </c>
      <c r="Q63" s="113">
        <v>-143720</v>
      </c>
      <c r="R63" s="113">
        <v>-18443</v>
      </c>
      <c r="S63" s="113">
        <v>0</v>
      </c>
      <c r="T63" s="113">
        <v>0</v>
      </c>
      <c r="U63" s="113">
        <v>0</v>
      </c>
      <c r="V63" s="113">
        <v>-23089</v>
      </c>
      <c r="W63" s="113">
        <v>-98267</v>
      </c>
      <c r="X63" s="113">
        <v>-21307</v>
      </c>
      <c r="Y63" s="113">
        <v>67872</v>
      </c>
      <c r="Z63" s="113">
        <v>60184</v>
      </c>
      <c r="AA63" s="113">
        <v>0</v>
      </c>
      <c r="AB63" s="348"/>
      <c r="AC63" s="348"/>
    </row>
    <row r="64" spans="2:29" ht="18">
      <c r="B64" s="112" t="s">
        <v>162</v>
      </c>
      <c r="C64" s="113">
        <v>0</v>
      </c>
      <c r="D64" s="113">
        <v>-3643</v>
      </c>
      <c r="E64" s="114">
        <v>-21862</v>
      </c>
      <c r="F64" s="114">
        <v>0</v>
      </c>
      <c r="G64" s="113">
        <v>0</v>
      </c>
      <c r="H64" s="113">
        <v>-123287</v>
      </c>
      <c r="I64" s="113">
        <v>-4</v>
      </c>
      <c r="J64" s="113">
        <v>-2178</v>
      </c>
      <c r="K64" s="113">
        <v>0</v>
      </c>
      <c r="L64" s="113">
        <v>-190917</v>
      </c>
      <c r="M64" s="113">
        <v>-31965</v>
      </c>
      <c r="N64" s="113">
        <v>-32582</v>
      </c>
      <c r="O64" s="113">
        <v>-5</v>
      </c>
      <c r="P64" s="113">
        <v>-59418</v>
      </c>
      <c r="Q64" s="113">
        <v>0</v>
      </c>
      <c r="R64" s="113">
        <v>-8660</v>
      </c>
      <c r="S64" s="113">
        <v>-48192</v>
      </c>
      <c r="T64" s="113">
        <v>-320640</v>
      </c>
      <c r="U64" s="113">
        <f>VLOOKUP(B64,'[1]FlCX Trim_RI (final)'!$B$5:$E$76,2,FALSE)</f>
        <v>75</v>
      </c>
      <c r="V64" s="113">
        <v>-1480507</v>
      </c>
      <c r="W64" s="113">
        <v>-9</v>
      </c>
      <c r="X64" s="113">
        <v>-1044286</v>
      </c>
      <c r="Y64" s="113">
        <v>-56863</v>
      </c>
      <c r="Z64" s="113">
        <v>-132065</v>
      </c>
      <c r="AA64" s="113">
        <v>-19</v>
      </c>
      <c r="AB64" s="348"/>
      <c r="AC64" s="348"/>
    </row>
    <row r="65" spans="2:29" ht="15.75">
      <c r="B65" s="112" t="s">
        <v>163</v>
      </c>
      <c r="C65" s="113">
        <v>0</v>
      </c>
      <c r="D65" s="113">
        <v>-300000</v>
      </c>
      <c r="E65" s="114">
        <v>0</v>
      </c>
      <c r="F65" s="114">
        <v>0</v>
      </c>
      <c r="G65" s="113">
        <v>0</v>
      </c>
      <c r="H65" s="113">
        <v>0</v>
      </c>
      <c r="I65" s="113">
        <v>0</v>
      </c>
      <c r="J65" s="113">
        <v>0</v>
      </c>
      <c r="K65" s="113">
        <v>0</v>
      </c>
      <c r="L65" s="113">
        <v>0</v>
      </c>
      <c r="M65" s="113">
        <v>0</v>
      </c>
      <c r="N65" s="113">
        <v>0</v>
      </c>
      <c r="O65" s="113">
        <v>0</v>
      </c>
      <c r="P65" s="113">
        <v>0</v>
      </c>
      <c r="Q65" s="126">
        <v>0</v>
      </c>
      <c r="R65" s="126">
        <v>0</v>
      </c>
      <c r="S65" s="126">
        <v>0</v>
      </c>
      <c r="T65" s="126">
        <v>0</v>
      </c>
      <c r="U65" s="126">
        <v>0</v>
      </c>
      <c r="V65" s="126">
        <v>0</v>
      </c>
      <c r="W65" s="126">
        <v>0</v>
      </c>
      <c r="X65" s="126">
        <v>0</v>
      </c>
      <c r="Y65" s="126">
        <v>0</v>
      </c>
      <c r="Z65" s="126">
        <v>0</v>
      </c>
      <c r="AA65" s="126">
        <v>0</v>
      </c>
    </row>
    <row r="66" spans="2:29" ht="18">
      <c r="B66" s="119" t="s">
        <v>164</v>
      </c>
      <c r="C66" s="120">
        <v>-7752</v>
      </c>
      <c r="D66" s="120">
        <v>-312248</v>
      </c>
      <c r="E66" s="121">
        <v>-26900</v>
      </c>
      <c r="F66" s="121">
        <v>-299703</v>
      </c>
      <c r="G66" s="120">
        <v>-939587</v>
      </c>
      <c r="H66" s="120">
        <v>-130493</v>
      </c>
      <c r="I66" s="120">
        <v>-2302</v>
      </c>
      <c r="J66" s="120">
        <v>-4411</v>
      </c>
      <c r="K66" s="120">
        <v>-369534</v>
      </c>
      <c r="L66" s="120">
        <v>-197813</v>
      </c>
      <c r="M66" s="120">
        <v>29385</v>
      </c>
      <c r="N66" s="120">
        <v>-761956</v>
      </c>
      <c r="O66" s="120">
        <v>-3396</v>
      </c>
      <c r="P66" s="120">
        <v>-75378</v>
      </c>
      <c r="Q66" s="120">
        <v>-144794</v>
      </c>
      <c r="R66" s="120">
        <v>-66018</v>
      </c>
      <c r="S66" s="120">
        <v>-60166</v>
      </c>
      <c r="T66" s="120">
        <v>-322563</v>
      </c>
      <c r="U66" s="120">
        <f>VLOOKUP(B66,'[1]FlCX Trim_RI (final)'!$B$5:$E$76,2,FALSE)</f>
        <v>-1838</v>
      </c>
      <c r="V66" s="120">
        <v>-1514335</v>
      </c>
      <c r="W66" s="120">
        <v>-111363</v>
      </c>
      <c r="X66" s="120">
        <v>-1079954</v>
      </c>
      <c r="Y66" s="120">
        <v>-3807</v>
      </c>
      <c r="Z66" s="120">
        <v>107096</v>
      </c>
      <c r="AA66" s="120">
        <v>-12898</v>
      </c>
      <c r="AB66" s="348"/>
      <c r="AC66" s="348"/>
    </row>
    <row r="67" spans="2:29" ht="4.5" customHeight="1">
      <c r="B67" s="109"/>
      <c r="C67" s="122"/>
      <c r="D67" s="122"/>
      <c r="E67" s="114"/>
      <c r="F67" s="114"/>
      <c r="G67" s="122"/>
      <c r="H67" s="122"/>
      <c r="I67" s="122"/>
      <c r="J67" s="122"/>
      <c r="K67" s="122"/>
      <c r="L67" s="122"/>
      <c r="M67" s="122"/>
      <c r="N67" s="122"/>
      <c r="O67" s="122"/>
      <c r="P67" s="122"/>
      <c r="Q67" s="122"/>
      <c r="R67" s="122"/>
      <c r="S67" s="122"/>
      <c r="T67" s="122"/>
      <c r="U67" s="122"/>
      <c r="V67" s="122"/>
      <c r="W67" s="122"/>
      <c r="X67" s="364"/>
      <c r="Y67" s="364"/>
      <c r="Z67" s="364"/>
      <c r="AA67" s="364"/>
    </row>
    <row r="68" spans="2:29" ht="18">
      <c r="B68" s="119" t="s">
        <v>165</v>
      </c>
      <c r="C68" s="120">
        <v>1063</v>
      </c>
      <c r="D68" s="120">
        <v>2941</v>
      </c>
      <c r="E68" s="121">
        <v>-3904</v>
      </c>
      <c r="F68" s="121">
        <v>7331</v>
      </c>
      <c r="G68" s="120">
        <v>-8084</v>
      </c>
      <c r="H68" s="120">
        <v>6246</v>
      </c>
      <c r="I68" s="120">
        <v>4033</v>
      </c>
      <c r="J68" s="120">
        <v>-2903</v>
      </c>
      <c r="K68" s="120">
        <v>-1127</v>
      </c>
      <c r="L68" s="120">
        <v>-287</v>
      </c>
      <c r="M68" s="120">
        <v>5086</v>
      </c>
      <c r="N68" s="120">
        <v>-396</v>
      </c>
      <c r="O68" s="120">
        <v>117774</v>
      </c>
      <c r="P68" s="120">
        <v>1955</v>
      </c>
      <c r="Q68" s="120">
        <v>7304</v>
      </c>
      <c r="R68" s="120">
        <v>-9475</v>
      </c>
      <c r="S68" s="120">
        <v>-26658</v>
      </c>
      <c r="T68" s="120">
        <v>-12150</v>
      </c>
      <c r="U68" s="120">
        <f>VLOOKUP(B68,'[1]FlCX Trim_RI (final)'!$B$5:$E$76,2,FALSE)</f>
        <v>22375</v>
      </c>
      <c r="V68" s="120">
        <v>5282</v>
      </c>
      <c r="W68" s="120">
        <v>-135824</v>
      </c>
      <c r="X68" s="120">
        <v>104193</v>
      </c>
      <c r="Y68" s="120">
        <v>35407</v>
      </c>
      <c r="Z68" s="120">
        <v>3061</v>
      </c>
      <c r="AA68" s="120">
        <v>-9835</v>
      </c>
      <c r="AB68" s="348"/>
      <c r="AC68" s="348"/>
    </row>
    <row r="69" spans="2:29" ht="6" customHeight="1">
      <c r="B69" s="109"/>
      <c r="C69" s="122"/>
      <c r="D69" s="122"/>
      <c r="E69" s="114"/>
      <c r="F69" s="114"/>
      <c r="G69" s="122"/>
      <c r="H69" s="122"/>
      <c r="I69" s="122"/>
      <c r="J69" s="122"/>
      <c r="K69" s="122"/>
      <c r="L69" s="122"/>
      <c r="M69" s="122"/>
      <c r="N69" s="122"/>
      <c r="O69" s="122"/>
      <c r="P69" s="122"/>
      <c r="Q69" s="122"/>
      <c r="R69" s="122"/>
      <c r="S69" s="122">
        <v>0</v>
      </c>
      <c r="T69" s="122"/>
      <c r="U69" s="122"/>
      <c r="V69" s="122"/>
      <c r="W69" s="122"/>
      <c r="X69" s="364"/>
      <c r="Y69" s="364"/>
      <c r="Z69" s="364"/>
      <c r="AA69" s="364"/>
    </row>
    <row r="70" spans="2:29">
      <c r="B70" s="119" t="s">
        <v>166</v>
      </c>
      <c r="C70" s="120">
        <v>1183787</v>
      </c>
      <c r="D70" s="120">
        <v>-858365</v>
      </c>
      <c r="E70" s="121">
        <v>119590</v>
      </c>
      <c r="F70" s="121">
        <v>605691</v>
      </c>
      <c r="G70" s="120">
        <v>-629521</v>
      </c>
      <c r="H70" s="120">
        <v>-562490</v>
      </c>
      <c r="I70" s="120">
        <v>517782</v>
      </c>
      <c r="J70" s="120">
        <v>10446</v>
      </c>
      <c r="K70" s="120">
        <v>55255</v>
      </c>
      <c r="L70" s="120">
        <v>-662434</v>
      </c>
      <c r="M70" s="120">
        <v>407242</v>
      </c>
      <c r="N70" s="120">
        <v>346113</v>
      </c>
      <c r="O70" s="120">
        <v>549560</v>
      </c>
      <c r="P70" s="120">
        <v>-123773</v>
      </c>
      <c r="Q70" s="120">
        <v>745321</v>
      </c>
      <c r="R70" s="120">
        <v>837214</v>
      </c>
      <c r="S70" s="120">
        <v>743096</v>
      </c>
      <c r="T70" s="120">
        <v>-256374</v>
      </c>
      <c r="U70" s="120">
        <f>VLOOKUP(B70,'[1]FlCX Trim_RI (final)'!$B$5:$E$76,2,FALSE)</f>
        <v>1938739</v>
      </c>
      <c r="V70" s="120">
        <v>654268</v>
      </c>
      <c r="W70" s="120">
        <v>-890755</v>
      </c>
      <c r="X70" s="120">
        <v>-929739</v>
      </c>
      <c r="Y70" s="120">
        <v>-273647</v>
      </c>
      <c r="Z70" s="120">
        <v>-1330829</v>
      </c>
      <c r="AA70" s="120">
        <v>1659583</v>
      </c>
    </row>
    <row r="71" spans="2:29" ht="6" customHeight="1">
      <c r="B71" s="112"/>
      <c r="C71" s="122"/>
      <c r="D71" s="122"/>
      <c r="E71" s="114"/>
      <c r="F71" s="114"/>
      <c r="G71" s="122"/>
      <c r="H71" s="122"/>
      <c r="I71" s="122"/>
      <c r="J71" s="122"/>
      <c r="K71" s="122"/>
      <c r="L71" s="122"/>
      <c r="M71" s="122"/>
      <c r="N71" s="122"/>
      <c r="O71" s="122"/>
      <c r="P71" s="122"/>
      <c r="Q71" s="122"/>
      <c r="R71" s="122"/>
      <c r="S71" s="122"/>
      <c r="T71" s="122"/>
      <c r="U71" s="122"/>
      <c r="V71" s="122"/>
      <c r="W71" s="122"/>
      <c r="X71" s="122"/>
      <c r="Y71" s="122"/>
      <c r="Z71" s="122"/>
      <c r="AA71" s="122"/>
    </row>
    <row r="72" spans="2:29" ht="18">
      <c r="B72" s="123" t="s">
        <v>167</v>
      </c>
      <c r="C72" s="113">
        <v>719870</v>
      </c>
      <c r="D72" s="113">
        <v>1903657</v>
      </c>
      <c r="E72" s="124">
        <v>1045292</v>
      </c>
      <c r="F72" s="124">
        <v>1164882</v>
      </c>
      <c r="G72" s="113">
        <v>1770573</v>
      </c>
      <c r="H72" s="113">
        <v>1141052</v>
      </c>
      <c r="I72" s="113">
        <v>578562</v>
      </c>
      <c r="J72" s="113">
        <v>1096344</v>
      </c>
      <c r="K72" s="113">
        <v>1106790</v>
      </c>
      <c r="L72" s="113">
        <v>1162045</v>
      </c>
      <c r="M72" s="113">
        <v>499611</v>
      </c>
      <c r="N72" s="113">
        <v>906853</v>
      </c>
      <c r="O72" s="113">
        <v>1252966</v>
      </c>
      <c r="P72" s="113">
        <v>1802526</v>
      </c>
      <c r="Q72" s="113">
        <v>1678753</v>
      </c>
      <c r="R72" s="113">
        <v>2424074</v>
      </c>
      <c r="S72" s="113">
        <v>3261288</v>
      </c>
      <c r="T72" s="113">
        <v>4004384</v>
      </c>
      <c r="U72" s="113">
        <f>VLOOKUP(B72,'[1]FlCX Trim_RI (final)'!$B$5:$E$76,2,FALSE)</f>
        <v>3748010</v>
      </c>
      <c r="V72" s="113">
        <v>5686749</v>
      </c>
      <c r="W72" s="113">
        <v>6341017</v>
      </c>
      <c r="X72" s="113">
        <v>5450262</v>
      </c>
      <c r="Y72" s="113">
        <v>4520523</v>
      </c>
      <c r="Z72" s="113">
        <v>4246876</v>
      </c>
      <c r="AA72" s="113">
        <v>2916047</v>
      </c>
      <c r="AB72" s="348"/>
      <c r="AC72" s="348"/>
    </row>
    <row r="73" spans="2:29" ht="18">
      <c r="B73" s="123" t="s">
        <v>168</v>
      </c>
      <c r="C73" s="113">
        <v>1903657</v>
      </c>
      <c r="D73" s="113">
        <v>1045292</v>
      </c>
      <c r="E73" s="124">
        <v>1164882</v>
      </c>
      <c r="F73" s="124">
        <v>1770573</v>
      </c>
      <c r="G73" s="113">
        <v>1141052</v>
      </c>
      <c r="H73" s="113">
        <v>578562</v>
      </c>
      <c r="I73" s="113">
        <v>1096344</v>
      </c>
      <c r="J73" s="113">
        <v>1106790</v>
      </c>
      <c r="K73" s="113">
        <v>1162045</v>
      </c>
      <c r="L73" s="113">
        <v>499611</v>
      </c>
      <c r="M73" s="113">
        <v>906853</v>
      </c>
      <c r="N73" s="113">
        <v>1252966</v>
      </c>
      <c r="O73" s="113">
        <v>1802526</v>
      </c>
      <c r="P73" s="113">
        <v>1678753</v>
      </c>
      <c r="Q73" s="113">
        <v>2424074</v>
      </c>
      <c r="R73" s="113">
        <v>3261288</v>
      </c>
      <c r="S73" s="113">
        <v>4004384</v>
      </c>
      <c r="T73" s="113">
        <v>3748010</v>
      </c>
      <c r="U73" s="113">
        <f>VLOOKUP(B73,'[1]FlCX Trim_RI (final)'!$B$5:$E$76,2,FALSE)</f>
        <v>5686749</v>
      </c>
      <c r="V73" s="113">
        <v>6341017</v>
      </c>
      <c r="W73" s="113">
        <v>5450262</v>
      </c>
      <c r="X73" s="113">
        <v>4520523</v>
      </c>
      <c r="Y73" s="113">
        <v>4246876</v>
      </c>
      <c r="Z73" s="113">
        <v>2916047</v>
      </c>
      <c r="AA73" s="113">
        <v>4575630</v>
      </c>
      <c r="AB73" s="348"/>
      <c r="AC73" s="348"/>
    </row>
    <row r="74" spans="2:29" ht="7.5" customHeight="1">
      <c r="B74" s="125"/>
      <c r="C74" s="126"/>
      <c r="D74" s="126"/>
      <c r="E74" s="127"/>
      <c r="F74" s="127"/>
      <c r="G74" s="126"/>
      <c r="H74" s="126"/>
      <c r="I74" s="126"/>
      <c r="J74" s="126"/>
      <c r="K74" s="126"/>
      <c r="L74" s="126"/>
      <c r="M74" s="126"/>
      <c r="N74" s="126"/>
      <c r="O74" s="126"/>
      <c r="P74" s="126"/>
      <c r="Q74" s="126"/>
      <c r="R74" s="126"/>
      <c r="S74" s="126"/>
      <c r="T74" s="126"/>
      <c r="U74" s="126"/>
      <c r="V74" s="126"/>
      <c r="W74" s="122"/>
      <c r="X74" s="122"/>
      <c r="Y74" s="122"/>
      <c r="Z74" s="122"/>
      <c r="AA74" s="122"/>
    </row>
    <row r="75" spans="2:29">
      <c r="B75" s="128" t="s">
        <v>169</v>
      </c>
      <c r="C75" s="129"/>
      <c r="D75" s="129"/>
      <c r="E75" s="130"/>
      <c r="F75" s="130"/>
      <c r="G75" s="129"/>
      <c r="H75" s="129"/>
      <c r="I75" s="129"/>
      <c r="J75" s="129"/>
      <c r="K75" s="129"/>
      <c r="L75" s="129"/>
      <c r="M75" s="129"/>
      <c r="N75" s="129">
        <v>0</v>
      </c>
      <c r="O75" s="129"/>
      <c r="P75" s="129"/>
      <c r="Q75" s="129"/>
      <c r="R75" s="129"/>
      <c r="S75" s="129"/>
      <c r="T75" s="129"/>
      <c r="U75" s="129"/>
      <c r="V75" s="129"/>
      <c r="W75" s="129"/>
      <c r="X75" s="129"/>
      <c r="Y75" s="129"/>
      <c r="Z75" s="129"/>
      <c r="AA75" s="129"/>
    </row>
    <row r="76" spans="2:29" ht="15.75">
      <c r="B76" s="131" t="s">
        <v>170</v>
      </c>
      <c r="C76" s="132">
        <v>719870</v>
      </c>
      <c r="D76" s="132">
        <v>1903657</v>
      </c>
      <c r="E76" s="133">
        <v>1045292</v>
      </c>
      <c r="F76" s="133">
        <v>1164882</v>
      </c>
      <c r="G76" s="132">
        <v>1770573</v>
      </c>
      <c r="H76" s="132">
        <v>1141052</v>
      </c>
      <c r="I76" s="132">
        <v>578562</v>
      </c>
      <c r="J76" s="132">
        <v>1096344</v>
      </c>
      <c r="K76" s="132">
        <v>1770573</v>
      </c>
      <c r="L76" s="132">
        <v>1162045</v>
      </c>
      <c r="M76" s="132">
        <v>499611</v>
      </c>
      <c r="N76" s="132">
        <v>906853</v>
      </c>
      <c r="O76" s="132">
        <v>1252966</v>
      </c>
      <c r="P76" s="132">
        <v>1802526</v>
      </c>
      <c r="Q76" s="132">
        <v>1678753</v>
      </c>
      <c r="R76" s="132">
        <v>2424074</v>
      </c>
      <c r="S76" s="132">
        <v>3261288</v>
      </c>
      <c r="T76" s="132">
        <v>4004384</v>
      </c>
      <c r="U76" s="132">
        <f>VLOOKUP(B76,'[1]FlCX Trim_RI (final)'!$B$5:$E$76,2,FALSE)</f>
        <v>3748010</v>
      </c>
      <c r="V76" s="132">
        <v>5686749</v>
      </c>
      <c r="W76" s="132">
        <v>6341017</v>
      </c>
      <c r="X76" s="132">
        <v>5450262</v>
      </c>
      <c r="Y76" s="132">
        <v>4520523</v>
      </c>
      <c r="Z76" s="132">
        <v>4246876</v>
      </c>
      <c r="AA76" s="132">
        <v>2916047</v>
      </c>
    </row>
    <row r="77" spans="2:29" ht="15.75">
      <c r="B77" s="131" t="s">
        <v>171</v>
      </c>
      <c r="C77" s="132">
        <v>1537584</v>
      </c>
      <c r="D77" s="132">
        <v>511980</v>
      </c>
      <c r="E77" s="133">
        <v>905994</v>
      </c>
      <c r="F77" s="133">
        <v>973168</v>
      </c>
      <c r="G77" s="132">
        <v>543715</v>
      </c>
      <c r="H77" s="132">
        <v>421497</v>
      </c>
      <c r="I77" s="132">
        <v>525050</v>
      </c>
      <c r="J77" s="132">
        <v>585531</v>
      </c>
      <c r="K77" s="132">
        <v>543715</v>
      </c>
      <c r="L77" s="132">
        <v>610747</v>
      </c>
      <c r="M77" s="132">
        <v>745501</v>
      </c>
      <c r="N77" s="132">
        <v>915560</v>
      </c>
      <c r="O77" s="132">
        <v>668175</v>
      </c>
      <c r="P77" s="132">
        <v>570940</v>
      </c>
      <c r="Q77" s="132">
        <v>827461</v>
      </c>
      <c r="R77" s="132">
        <v>1310228</v>
      </c>
      <c r="S77" s="132">
        <v>1606816</v>
      </c>
      <c r="T77" s="132">
        <v>596719</v>
      </c>
      <c r="U77" s="132">
        <f>VLOOKUP(B77,'[1]FlCX Trim_RI (final)'!$B$5:$E$76,2,FALSE)</f>
        <v>2305303</v>
      </c>
      <c r="V77" s="132">
        <v>1606753</v>
      </c>
      <c r="W77" s="132">
        <v>682532</v>
      </c>
      <c r="X77" s="132">
        <v>1153867</v>
      </c>
      <c r="Y77" s="132">
        <v>1076166</v>
      </c>
      <c r="Z77" s="132">
        <v>890422</v>
      </c>
      <c r="AA77" s="132">
        <v>2156314</v>
      </c>
    </row>
    <row r="78" spans="2:29">
      <c r="B78" s="134" t="s">
        <v>172</v>
      </c>
      <c r="C78" s="135">
        <v>2257454</v>
      </c>
      <c r="D78" s="135">
        <v>2415637</v>
      </c>
      <c r="E78" s="136">
        <v>1951286</v>
      </c>
      <c r="F78" s="136">
        <v>2138050</v>
      </c>
      <c r="G78" s="135">
        <v>2314288</v>
      </c>
      <c r="H78" s="135">
        <v>1562549</v>
      </c>
      <c r="I78" s="135">
        <v>1103612</v>
      </c>
      <c r="J78" s="135">
        <v>1681875</v>
      </c>
      <c r="K78" s="135">
        <v>2314288</v>
      </c>
      <c r="L78" s="135">
        <v>1772792</v>
      </c>
      <c r="M78" s="135">
        <v>1245112</v>
      </c>
      <c r="N78" s="135">
        <v>1822413</v>
      </c>
      <c r="O78" s="135">
        <v>1921141</v>
      </c>
      <c r="P78" s="135">
        <v>2373466</v>
      </c>
      <c r="Q78" s="135">
        <v>2506214</v>
      </c>
      <c r="R78" s="135">
        <v>3734302</v>
      </c>
      <c r="S78" s="135">
        <v>4868104</v>
      </c>
      <c r="T78" s="135">
        <v>4601103</v>
      </c>
      <c r="U78" s="135">
        <f>VLOOKUP(B78,'[1]FlCX Trim_RI (final)'!$B$5:$E$76,2,FALSE)</f>
        <v>6053313</v>
      </c>
      <c r="V78" s="135">
        <v>7293502</v>
      </c>
      <c r="W78" s="135">
        <v>7023549</v>
      </c>
      <c r="X78" s="135">
        <v>6604129</v>
      </c>
      <c r="Y78" s="135">
        <v>5596689</v>
      </c>
      <c r="Z78" s="135">
        <v>5137298</v>
      </c>
      <c r="AA78" s="135">
        <v>5072361</v>
      </c>
    </row>
    <row r="79" spans="2:29">
      <c r="B79" s="131" t="s">
        <v>166</v>
      </c>
      <c r="C79" s="137">
        <v>1183787</v>
      </c>
      <c r="D79" s="137">
        <v>-858365</v>
      </c>
      <c r="E79" s="133">
        <v>119590</v>
      </c>
      <c r="F79" s="133">
        <v>605691</v>
      </c>
      <c r="G79" s="137">
        <v>-629521</v>
      </c>
      <c r="H79" s="137">
        <v>-562490</v>
      </c>
      <c r="I79" s="137">
        <v>517782</v>
      </c>
      <c r="J79" s="137">
        <v>10446</v>
      </c>
      <c r="K79" s="137">
        <v>-629521</v>
      </c>
      <c r="L79" s="137">
        <v>-662434</v>
      </c>
      <c r="M79" s="137">
        <v>407242</v>
      </c>
      <c r="N79" s="137">
        <v>346113</v>
      </c>
      <c r="O79" s="137">
        <v>549560</v>
      </c>
      <c r="P79" s="137">
        <v>-123773</v>
      </c>
      <c r="Q79" s="137">
        <v>745321</v>
      </c>
      <c r="R79" s="137">
        <v>837214</v>
      </c>
      <c r="S79" s="137">
        <v>743096</v>
      </c>
      <c r="T79" s="137">
        <v>-256374</v>
      </c>
      <c r="U79" s="137">
        <f>VLOOKUP(B79,'[1]FlCX Trim_RI (final)'!$B$5:$E$76,2,FALSE)</f>
        <v>1938739</v>
      </c>
      <c r="V79" s="137">
        <v>654268</v>
      </c>
      <c r="W79" s="137">
        <v>-890755</v>
      </c>
      <c r="X79" s="137">
        <v>-929739</v>
      </c>
      <c r="Y79" s="137">
        <v>-273647</v>
      </c>
      <c r="Z79" s="137">
        <v>-1330829</v>
      </c>
      <c r="AA79" s="137">
        <v>1659583</v>
      </c>
    </row>
    <row r="80" spans="2:29">
      <c r="B80" s="131" t="s">
        <v>279</v>
      </c>
      <c r="C80" s="137">
        <v>-1025604</v>
      </c>
      <c r="D80" s="137">
        <v>394014</v>
      </c>
      <c r="E80" s="133">
        <v>67174</v>
      </c>
      <c r="F80" s="133">
        <v>-429453</v>
      </c>
      <c r="G80" s="137">
        <v>-122218</v>
      </c>
      <c r="H80" s="137">
        <v>103553</v>
      </c>
      <c r="I80" s="137">
        <v>60481</v>
      </c>
      <c r="J80" s="137">
        <v>1028</v>
      </c>
      <c r="K80" s="137">
        <v>-122218</v>
      </c>
      <c r="L80" s="137">
        <v>134754</v>
      </c>
      <c r="M80" s="137">
        <v>170059</v>
      </c>
      <c r="N80" s="137">
        <v>-247385</v>
      </c>
      <c r="O80" s="137">
        <v>-97235</v>
      </c>
      <c r="P80" s="137">
        <v>256521</v>
      </c>
      <c r="Q80" s="137">
        <v>482767</v>
      </c>
      <c r="R80" s="137">
        <v>296588</v>
      </c>
      <c r="S80" s="137">
        <v>-1010097</v>
      </c>
      <c r="T80" s="137">
        <v>1708584</v>
      </c>
      <c r="U80" s="137">
        <f>VLOOKUP(B80,'[1]FlCX Trim_RI (final)'!$B$5:$E$76,2,FALSE)</f>
        <v>-698550</v>
      </c>
      <c r="V80" s="137">
        <v>-924221</v>
      </c>
      <c r="W80" s="137">
        <v>471335</v>
      </c>
      <c r="X80" s="137">
        <v>-77701</v>
      </c>
      <c r="Y80" s="137">
        <v>-185744</v>
      </c>
      <c r="Z80" s="137">
        <v>1265892</v>
      </c>
      <c r="AA80" s="137">
        <v>-895151</v>
      </c>
    </row>
    <row r="81" spans="2:27" ht="5.25" customHeight="1">
      <c r="B81" s="138"/>
      <c r="C81" s="139"/>
      <c r="D81" s="139"/>
      <c r="E81" s="140"/>
      <c r="F81" s="140"/>
      <c r="G81" s="139"/>
      <c r="H81" s="139"/>
      <c r="I81" s="139"/>
      <c r="J81" s="139"/>
      <c r="K81" s="139"/>
      <c r="L81" s="139"/>
      <c r="M81" s="139"/>
      <c r="N81" s="139"/>
      <c r="O81" s="139"/>
      <c r="P81" s="139"/>
      <c r="Q81" s="139"/>
      <c r="R81" s="139"/>
      <c r="S81" s="139"/>
      <c r="T81" s="139"/>
      <c r="U81" s="139"/>
      <c r="V81" s="139"/>
      <c r="W81" s="137"/>
      <c r="X81" s="137"/>
      <c r="Y81" s="137"/>
      <c r="Z81" s="137"/>
      <c r="AA81" s="137"/>
    </row>
    <row r="82" spans="2:27" ht="15.75">
      <c r="B82" s="131" t="s">
        <v>173</v>
      </c>
      <c r="C82" s="132">
        <v>1903657</v>
      </c>
      <c r="D82" s="132">
        <v>1045292</v>
      </c>
      <c r="E82" s="141">
        <v>1164882</v>
      </c>
      <c r="F82" s="141">
        <v>1770573</v>
      </c>
      <c r="G82" s="132">
        <v>1141052</v>
      </c>
      <c r="H82" s="132">
        <v>578562</v>
      </c>
      <c r="I82" s="132">
        <v>1096344</v>
      </c>
      <c r="J82" s="132">
        <v>1106790</v>
      </c>
      <c r="K82" s="132">
        <v>1141052</v>
      </c>
      <c r="L82" s="132">
        <v>499611</v>
      </c>
      <c r="M82" s="132">
        <v>906853</v>
      </c>
      <c r="N82" s="132">
        <v>1252966</v>
      </c>
      <c r="O82" s="132">
        <v>1802526</v>
      </c>
      <c r="P82" s="132">
        <v>1678753</v>
      </c>
      <c r="Q82" s="132">
        <v>2424074</v>
      </c>
      <c r="R82" s="132">
        <v>3261288</v>
      </c>
      <c r="S82" s="132">
        <v>4004384</v>
      </c>
      <c r="T82" s="132">
        <v>3748010</v>
      </c>
      <c r="U82" s="132">
        <f>VLOOKUP(B82,'[1]FlCX Trim_RI (final)'!$B$5:$E$76,2,FALSE)</f>
        <v>5686749</v>
      </c>
      <c r="V82" s="132">
        <v>6341017</v>
      </c>
      <c r="W82" s="132">
        <v>5450262</v>
      </c>
      <c r="X82" s="137">
        <v>4520523</v>
      </c>
      <c r="Y82" s="137">
        <v>4246876</v>
      </c>
      <c r="Z82" s="137">
        <v>2916047</v>
      </c>
      <c r="AA82" s="137">
        <v>4575630</v>
      </c>
    </row>
    <row r="83" spans="2:27" ht="15.75">
      <c r="B83" s="131" t="s">
        <v>280</v>
      </c>
      <c r="C83" s="132">
        <v>511980</v>
      </c>
      <c r="D83" s="132">
        <v>905994</v>
      </c>
      <c r="E83" s="141">
        <v>973168</v>
      </c>
      <c r="F83" s="141">
        <v>543715</v>
      </c>
      <c r="G83" s="132">
        <v>421497</v>
      </c>
      <c r="H83" s="132">
        <v>525050</v>
      </c>
      <c r="I83" s="132">
        <v>585531</v>
      </c>
      <c r="J83" s="132">
        <v>586559</v>
      </c>
      <c r="K83" s="132">
        <v>421497</v>
      </c>
      <c r="L83" s="132">
        <v>745501</v>
      </c>
      <c r="M83" s="132">
        <v>915560</v>
      </c>
      <c r="N83" s="132">
        <v>668175</v>
      </c>
      <c r="O83" s="132">
        <v>570940</v>
      </c>
      <c r="P83" s="132">
        <v>827461</v>
      </c>
      <c r="Q83" s="132">
        <v>1310228</v>
      </c>
      <c r="R83" s="132">
        <v>1606816</v>
      </c>
      <c r="S83" s="132">
        <v>596719</v>
      </c>
      <c r="T83" s="132">
        <v>2305303</v>
      </c>
      <c r="U83" s="132">
        <f>VLOOKUP(B83,'[1]FlCX Trim_RI (final)'!$B$5:$E$76,2,FALSE)</f>
        <v>1606753</v>
      </c>
      <c r="V83" s="132">
        <v>682532</v>
      </c>
      <c r="W83" s="132">
        <v>1153867</v>
      </c>
      <c r="X83" s="137">
        <v>1076166</v>
      </c>
      <c r="Y83" s="137">
        <v>890422</v>
      </c>
      <c r="Z83" s="137">
        <v>2156314</v>
      </c>
      <c r="AA83" s="137">
        <v>1261163</v>
      </c>
    </row>
    <row r="84" spans="2:27">
      <c r="B84" s="134" t="s">
        <v>174</v>
      </c>
      <c r="C84" s="135">
        <v>2415637</v>
      </c>
      <c r="D84" s="135">
        <v>1951286</v>
      </c>
      <c r="E84" s="142">
        <v>2138050</v>
      </c>
      <c r="F84" s="142">
        <v>2314288</v>
      </c>
      <c r="G84" s="135">
        <v>1562549</v>
      </c>
      <c r="H84" s="135">
        <v>1103612</v>
      </c>
      <c r="I84" s="135">
        <v>1681875</v>
      </c>
      <c r="J84" s="135">
        <v>1693349</v>
      </c>
      <c r="K84" s="135">
        <v>1562549</v>
      </c>
      <c r="L84" s="135">
        <v>1245112</v>
      </c>
      <c r="M84" s="135">
        <v>1822413</v>
      </c>
      <c r="N84" s="135">
        <v>1921141</v>
      </c>
      <c r="O84" s="135">
        <v>2373466</v>
      </c>
      <c r="P84" s="135">
        <v>2506214</v>
      </c>
      <c r="Q84" s="135">
        <v>3734302</v>
      </c>
      <c r="R84" s="135">
        <v>4868104</v>
      </c>
      <c r="S84" s="135">
        <v>4601103</v>
      </c>
      <c r="T84" s="135">
        <v>6053313</v>
      </c>
      <c r="U84" s="135">
        <f>VLOOKUP(B84,'[1]FlCX Trim_RI (final)'!$B$5:$E$76,2,FALSE)</f>
        <v>7293502</v>
      </c>
      <c r="V84" s="135">
        <v>7023549</v>
      </c>
      <c r="W84" s="135">
        <v>6604129</v>
      </c>
      <c r="X84" s="135">
        <v>5596689</v>
      </c>
      <c r="Y84" s="135">
        <v>5137298</v>
      </c>
      <c r="Z84" s="135">
        <v>5072361</v>
      </c>
      <c r="AA84" s="135">
        <v>5836793</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rgb="FF92D050"/>
  </sheetPr>
  <dimension ref="B2:O89"/>
  <sheetViews>
    <sheetView showGridLines="0" topLeftCell="B1" zoomScale="70" zoomScaleNormal="70" workbookViewId="0">
      <selection activeCell="AH23" sqref="AH23"/>
    </sheetView>
  </sheetViews>
  <sheetFormatPr defaultRowHeight="15"/>
  <cols>
    <col min="1" max="1" width="3.42578125" customWidth="1"/>
    <col min="2" max="2" width="70.85546875" bestFit="1" customWidth="1"/>
    <col min="3" max="3" width="17.5703125" bestFit="1" customWidth="1"/>
    <col min="4" max="4" width="17.42578125" bestFit="1" customWidth="1"/>
    <col min="5" max="5" width="17.5703125" bestFit="1" customWidth="1"/>
    <col min="6" max="7" width="18.42578125" bestFit="1" customWidth="1"/>
    <col min="8" max="8" width="18.140625" bestFit="1" customWidth="1"/>
    <col min="9" max="10" width="18.140625" customWidth="1"/>
    <col min="11" max="11" width="18.85546875" bestFit="1" customWidth="1"/>
    <col min="12" max="12" width="18.140625" customWidth="1"/>
    <col min="13" max="13" width="11.28515625" customWidth="1"/>
    <col min="14" max="14" width="10.5703125" customWidth="1"/>
    <col min="15" max="15" width="8.42578125" customWidth="1"/>
    <col min="16" max="16" width="9" customWidth="1"/>
  </cols>
  <sheetData>
    <row r="2" spans="2:12" ht="57" customHeight="1"/>
    <row r="3" spans="2:12">
      <c r="B3" s="103" t="s">
        <v>68</v>
      </c>
      <c r="C3" s="104">
        <v>2013</v>
      </c>
      <c r="D3" s="104">
        <v>2014</v>
      </c>
      <c r="E3" s="104">
        <v>2015</v>
      </c>
      <c r="F3" s="143">
        <v>2016</v>
      </c>
      <c r="G3" s="104">
        <v>2017</v>
      </c>
      <c r="H3" s="104">
        <v>2018</v>
      </c>
      <c r="I3" s="104">
        <v>2019</v>
      </c>
      <c r="J3" s="104">
        <v>2020</v>
      </c>
      <c r="K3" s="104">
        <v>2021</v>
      </c>
      <c r="L3" s="104">
        <v>2022</v>
      </c>
    </row>
    <row r="5" spans="2:12" s="118" customFormat="1" ht="15.75">
      <c r="B5" s="109" t="s">
        <v>127</v>
      </c>
      <c r="C5" s="116"/>
      <c r="D5" s="116"/>
      <c r="E5" s="117"/>
      <c r="F5" s="117"/>
      <c r="G5" s="116"/>
      <c r="H5" s="116"/>
      <c r="I5" s="116"/>
      <c r="J5" s="116"/>
      <c r="K5" s="116"/>
      <c r="L5" s="116"/>
    </row>
    <row r="6" spans="2:12" ht="15.75">
      <c r="B6" s="112" t="s">
        <v>268</v>
      </c>
      <c r="C6" s="113">
        <v>16791</v>
      </c>
      <c r="D6" s="113">
        <v>208479</v>
      </c>
      <c r="E6" s="114">
        <v>-3684977</v>
      </c>
      <c r="F6" s="114">
        <v>-576843</v>
      </c>
      <c r="G6" s="113">
        <v>315080</v>
      </c>
      <c r="H6" s="113">
        <v>828695</v>
      </c>
      <c r="I6" s="113">
        <v>376691</v>
      </c>
      <c r="J6" s="113">
        <v>1291743</v>
      </c>
      <c r="K6" s="113">
        <v>10059954</v>
      </c>
      <c r="L6" s="113">
        <v>2092889</v>
      </c>
    </row>
    <row r="7" spans="2:12" ht="15.75">
      <c r="B7" s="112" t="s">
        <v>128</v>
      </c>
      <c r="C7" s="113">
        <v>805437</v>
      </c>
      <c r="D7" s="113">
        <v>565923</v>
      </c>
      <c r="E7" s="114">
        <v>1364544</v>
      </c>
      <c r="F7" s="114">
        <v>33433</v>
      </c>
      <c r="G7" s="113">
        <v>200702</v>
      </c>
      <c r="H7" s="113">
        <v>346360</v>
      </c>
      <c r="I7" s="113">
        <v>47416</v>
      </c>
      <c r="J7" s="113">
        <v>924273</v>
      </c>
      <c r="K7" s="113">
        <v>-815507</v>
      </c>
      <c r="L7" s="113">
        <v>-216839</v>
      </c>
    </row>
    <row r="8" spans="2:12" ht="15.75">
      <c r="B8" s="112" t="s">
        <v>129</v>
      </c>
      <c r="C8" s="113">
        <v>242325</v>
      </c>
      <c r="D8" s="113">
        <v>204557</v>
      </c>
      <c r="E8" s="114">
        <v>253545</v>
      </c>
      <c r="F8" s="114">
        <v>451913</v>
      </c>
      <c r="G8" s="113">
        <v>636934</v>
      </c>
      <c r="H8" s="113">
        <v>392031</v>
      </c>
      <c r="I8" s="113">
        <v>375479</v>
      </c>
      <c r="J8" s="113">
        <v>312863</v>
      </c>
      <c r="K8" s="113">
        <v>259972</v>
      </c>
      <c r="L8" s="113">
        <v>363995</v>
      </c>
    </row>
    <row r="9" spans="2:12" ht="15.75">
      <c r="B9" s="112" t="s">
        <v>130</v>
      </c>
      <c r="C9" s="113">
        <v>1072433</v>
      </c>
      <c r="D9" s="113">
        <v>1114597</v>
      </c>
      <c r="E9" s="114">
        <v>1311699</v>
      </c>
      <c r="F9" s="114">
        <v>1216491</v>
      </c>
      <c r="G9" s="113">
        <v>1171851</v>
      </c>
      <c r="H9" s="113">
        <v>1029535</v>
      </c>
      <c r="I9" s="113">
        <v>991785</v>
      </c>
      <c r="J9" s="113">
        <v>1000223</v>
      </c>
      <c r="K9" s="113">
        <v>982741</v>
      </c>
      <c r="L9" s="113">
        <v>902681</v>
      </c>
    </row>
    <row r="10" spans="2:12" ht="15.75">
      <c r="B10" s="112" t="s">
        <v>175</v>
      </c>
      <c r="C10" s="113">
        <v>-44427</v>
      </c>
      <c r="D10" s="113">
        <v>-54270</v>
      </c>
      <c r="E10" s="114">
        <v>54259</v>
      </c>
      <c r="F10" s="114">
        <v>25331</v>
      </c>
      <c r="G10" s="113">
        <v>1183</v>
      </c>
      <c r="H10" s="113">
        <v>267</v>
      </c>
      <c r="I10" s="113">
        <v>-5687</v>
      </c>
      <c r="J10" s="113">
        <v>-174766</v>
      </c>
      <c r="K10" s="113">
        <v>-64974</v>
      </c>
      <c r="L10" s="113">
        <v>-74212</v>
      </c>
    </row>
    <row r="11" spans="2:12" ht="15.75">
      <c r="B11" s="112" t="s">
        <v>176</v>
      </c>
      <c r="C11" s="113">
        <v>-181201</v>
      </c>
      <c r="D11" s="113">
        <v>-183780</v>
      </c>
      <c r="E11" s="114">
        <v>-67020</v>
      </c>
      <c r="F11" s="114">
        <v>-142861</v>
      </c>
      <c r="G11" s="113">
        <v>-154896</v>
      </c>
      <c r="H11" s="113">
        <v>-260350</v>
      </c>
      <c r="I11" s="113">
        <v>-180735</v>
      </c>
      <c r="J11" s="113">
        <v>-159759</v>
      </c>
      <c r="K11" s="113">
        <v>-218788</v>
      </c>
      <c r="L11" s="113">
        <v>-220925</v>
      </c>
    </row>
    <row r="12" spans="2:12" ht="15.75">
      <c r="B12" s="112" t="s">
        <v>132</v>
      </c>
      <c r="C12" s="113">
        <v>0</v>
      </c>
      <c r="D12" s="113">
        <v>0</v>
      </c>
      <c r="E12" s="114">
        <v>2558512</v>
      </c>
      <c r="F12" s="114">
        <v>-343006</v>
      </c>
      <c r="G12" s="113">
        <v>74892</v>
      </c>
      <c r="H12" s="113">
        <v>472787</v>
      </c>
      <c r="I12" s="113">
        <v>16426</v>
      </c>
      <c r="J12" s="113">
        <v>-730654</v>
      </c>
      <c r="K12" s="113">
        <v>397257</v>
      </c>
      <c r="L12" s="113">
        <v>1396784</v>
      </c>
    </row>
    <row r="13" spans="2:12" ht="15.75">
      <c r="B13" s="112" t="s">
        <v>177</v>
      </c>
      <c r="C13" s="113">
        <v>-479164</v>
      </c>
      <c r="D13" s="113">
        <v>-43987</v>
      </c>
      <c r="E13" s="114">
        <v>-1207204</v>
      </c>
      <c r="F13" s="114">
        <v>307144</v>
      </c>
      <c r="G13" s="113">
        <v>46832</v>
      </c>
      <c r="H13" s="113">
        <v>308393</v>
      </c>
      <c r="I13" s="113">
        <v>-72979</v>
      </c>
      <c r="J13" s="113">
        <v>-130384</v>
      </c>
      <c r="K13" s="113">
        <v>-56015</v>
      </c>
      <c r="L13" s="113">
        <v>532639</v>
      </c>
    </row>
    <row r="14" spans="2:12" ht="15.75">
      <c r="B14" s="112" t="s">
        <v>134</v>
      </c>
      <c r="C14" s="113">
        <v>62648</v>
      </c>
      <c r="D14" s="113">
        <v>90479</v>
      </c>
      <c r="E14" s="114">
        <v>113507</v>
      </c>
      <c r="F14" s="114">
        <v>66120</v>
      </c>
      <c r="G14" s="113">
        <v>236683</v>
      </c>
      <c r="H14" s="113">
        <v>415318</v>
      </c>
      <c r="I14" s="113">
        <v>119233</v>
      </c>
      <c r="J14" s="113">
        <v>743228</v>
      </c>
      <c r="K14" s="113">
        <v>-1550175</v>
      </c>
      <c r="L14" s="113">
        <v>-160217</v>
      </c>
    </row>
    <row r="15" spans="2:12" ht="15.75">
      <c r="B15" s="112" t="s">
        <v>281</v>
      </c>
      <c r="C15" s="113">
        <v>48257</v>
      </c>
      <c r="D15" s="113">
        <v>5157</v>
      </c>
      <c r="E15" s="114">
        <v>16502</v>
      </c>
      <c r="F15" s="114">
        <v>-1480</v>
      </c>
      <c r="G15" s="113">
        <v>29096</v>
      </c>
      <c r="H15" s="113">
        <v>91917</v>
      </c>
      <c r="I15" s="113">
        <v>85743</v>
      </c>
      <c r="J15" s="113">
        <v>89692</v>
      </c>
      <c r="K15" s="113">
        <v>-234967</v>
      </c>
      <c r="L15" s="113">
        <v>111263</v>
      </c>
    </row>
    <row r="16" spans="2:12" ht="15.75">
      <c r="B16" s="112" t="s">
        <v>178</v>
      </c>
      <c r="C16" s="113">
        <v>9073</v>
      </c>
      <c r="D16" s="113">
        <v>5217</v>
      </c>
      <c r="E16" s="114">
        <v>8340</v>
      </c>
      <c r="F16" s="114">
        <v>-2881</v>
      </c>
      <c r="G16" s="113">
        <v>951</v>
      </c>
      <c r="H16" s="113">
        <v>0</v>
      </c>
      <c r="I16" s="113">
        <v>0</v>
      </c>
      <c r="J16" s="113">
        <v>0</v>
      </c>
      <c r="K16" s="113">
        <v>0</v>
      </c>
      <c r="L16" s="113">
        <v>0</v>
      </c>
    </row>
    <row r="17" spans="2:15" s="118" customFormat="1" ht="15.75">
      <c r="B17" s="109" t="s">
        <v>17</v>
      </c>
      <c r="C17" s="116">
        <v>1552172</v>
      </c>
      <c r="D17" s="116">
        <v>1912372</v>
      </c>
      <c r="E17" s="117">
        <v>721707</v>
      </c>
      <c r="F17" s="117">
        <v>1033361</v>
      </c>
      <c r="G17" s="116">
        <v>2559308</v>
      </c>
      <c r="H17" s="116">
        <v>3624953</v>
      </c>
      <c r="I17" s="116">
        <v>1753372</v>
      </c>
      <c r="J17" s="116">
        <v>3166459</v>
      </c>
      <c r="K17" s="116">
        <v>8759498</v>
      </c>
      <c r="L17" s="116">
        <v>4728058</v>
      </c>
    </row>
    <row r="18" spans="2:15" ht="6" customHeight="1">
      <c r="B18" s="112"/>
      <c r="C18" s="113"/>
      <c r="D18" s="113"/>
      <c r="E18" s="114"/>
      <c r="F18" s="114"/>
      <c r="G18" s="113"/>
      <c r="H18" s="113"/>
      <c r="I18" s="113"/>
      <c r="J18" s="113"/>
      <c r="K18" s="113"/>
      <c r="L18" s="113"/>
    </row>
    <row r="19" spans="2:15" s="118" customFormat="1" ht="15.75">
      <c r="B19" s="109" t="s">
        <v>136</v>
      </c>
      <c r="C19" s="116"/>
      <c r="D19" s="116"/>
      <c r="E19" s="117"/>
      <c r="F19" s="117"/>
      <c r="G19" s="116"/>
      <c r="H19" s="116"/>
      <c r="I19" s="116"/>
      <c r="J19" s="116"/>
    </row>
    <row r="20" spans="2:15" ht="15.75">
      <c r="B20" s="112" t="s">
        <v>137</v>
      </c>
      <c r="C20" s="113">
        <v>-120154</v>
      </c>
      <c r="D20" s="113">
        <v>390456</v>
      </c>
      <c r="E20" s="114">
        <v>-196978</v>
      </c>
      <c r="F20" s="114">
        <v>199287</v>
      </c>
      <c r="G20" s="113">
        <v>-536710</v>
      </c>
      <c r="H20" s="113">
        <v>-313315</v>
      </c>
      <c r="I20" s="113">
        <v>-93654</v>
      </c>
      <c r="J20" s="113">
        <v>-422648</v>
      </c>
      <c r="K20" s="113">
        <v>-1160913</v>
      </c>
      <c r="L20" s="113">
        <v>473085</v>
      </c>
      <c r="M20" s="118"/>
    </row>
    <row r="21" spans="2:15" ht="15.75">
      <c r="B21" s="112" t="s">
        <v>138</v>
      </c>
      <c r="C21" s="113">
        <v>-128475</v>
      </c>
      <c r="D21" s="113">
        <v>343697</v>
      </c>
      <c r="E21" s="114">
        <v>622127</v>
      </c>
      <c r="F21" s="114">
        <v>163648</v>
      </c>
      <c r="G21" s="113">
        <v>-268659</v>
      </c>
      <c r="H21" s="113">
        <v>-1078691</v>
      </c>
      <c r="I21" s="113">
        <v>79505</v>
      </c>
      <c r="J21" s="113">
        <v>-86350</v>
      </c>
      <c r="K21" s="113">
        <v>-3695605</v>
      </c>
      <c r="L21" s="113">
        <v>-2496568</v>
      </c>
    </row>
    <row r="22" spans="2:15" ht="15.75">
      <c r="B22" s="112" t="s">
        <v>139</v>
      </c>
      <c r="C22" s="113">
        <v>-11748</v>
      </c>
      <c r="D22" s="113">
        <v>47938</v>
      </c>
      <c r="E22" s="114">
        <v>-7610</v>
      </c>
      <c r="F22" s="114">
        <v>24583</v>
      </c>
      <c r="G22" s="113">
        <v>4654</v>
      </c>
      <c r="H22" s="113">
        <v>-759696</v>
      </c>
      <c r="I22" s="113">
        <v>-201656</v>
      </c>
      <c r="J22" s="113">
        <v>-205431</v>
      </c>
      <c r="K22" s="113">
        <v>-424540</v>
      </c>
      <c r="L22" s="113">
        <v>-545857</v>
      </c>
      <c r="O22" s="65"/>
    </row>
    <row r="23" spans="2:15" ht="15.75">
      <c r="B23" s="112" t="s">
        <v>140</v>
      </c>
      <c r="C23" s="113">
        <v>18419</v>
      </c>
      <c r="D23" s="113">
        <v>-1130</v>
      </c>
      <c r="E23" s="114">
        <v>-31642</v>
      </c>
      <c r="F23" s="114">
        <v>-72282</v>
      </c>
      <c r="G23" s="113">
        <v>-19082</v>
      </c>
      <c r="H23" s="113">
        <v>33587</v>
      </c>
      <c r="I23" s="113">
        <v>-61829</v>
      </c>
      <c r="J23" s="113">
        <v>-14349</v>
      </c>
      <c r="K23" s="113">
        <v>41172</v>
      </c>
      <c r="L23" s="113">
        <v>-22243</v>
      </c>
    </row>
    <row r="24" spans="2:15" ht="15.75">
      <c r="B24" s="112" t="s">
        <v>276</v>
      </c>
      <c r="C24" s="113"/>
      <c r="D24" s="113"/>
      <c r="E24" s="114"/>
      <c r="F24" s="114"/>
      <c r="G24" s="113"/>
      <c r="H24" s="113">
        <v>-676023</v>
      </c>
      <c r="I24" s="113">
        <v>751404</v>
      </c>
      <c r="J24" s="113">
        <v>311534</v>
      </c>
      <c r="K24" s="113">
        <v>0</v>
      </c>
      <c r="L24" s="113">
        <v>0</v>
      </c>
    </row>
    <row r="25" spans="2:15" ht="15.75">
      <c r="B25" s="112" t="s">
        <v>141</v>
      </c>
      <c r="C25" s="113">
        <v>-1195</v>
      </c>
      <c r="D25" s="113">
        <v>-1552</v>
      </c>
      <c r="E25" s="114">
        <v>17971</v>
      </c>
      <c r="F25" s="114">
        <v>570</v>
      </c>
      <c r="G25" s="113">
        <v>695</v>
      </c>
      <c r="H25" s="113">
        <v>805</v>
      </c>
      <c r="I25" s="113">
        <v>691</v>
      </c>
      <c r="J25" s="113">
        <v>1651</v>
      </c>
      <c r="K25" s="113">
        <v>0</v>
      </c>
      <c r="L25" s="113">
        <v>0</v>
      </c>
    </row>
    <row r="26" spans="2:15" ht="15.75">
      <c r="B26" s="112" t="s">
        <v>142</v>
      </c>
      <c r="C26" s="113">
        <v>148690</v>
      </c>
      <c r="D26" s="113">
        <v>-95711</v>
      </c>
      <c r="E26" s="114">
        <v>1715</v>
      </c>
      <c r="F26" s="114">
        <v>82118</v>
      </c>
      <c r="G26" s="113">
        <v>-13629</v>
      </c>
      <c r="H26" s="113">
        <v>31350</v>
      </c>
      <c r="I26" s="113">
        <v>-59485</v>
      </c>
      <c r="J26" s="113">
        <v>-338949</v>
      </c>
      <c r="K26" s="113">
        <v>-118277</v>
      </c>
      <c r="L26" s="113">
        <v>-711311</v>
      </c>
    </row>
    <row r="27" spans="2:15" s="118" customFormat="1" ht="15.75">
      <c r="B27" s="109" t="s">
        <v>17</v>
      </c>
      <c r="C27" s="116">
        <v>-94463</v>
      </c>
      <c r="D27" s="116">
        <v>683698</v>
      </c>
      <c r="E27" s="117">
        <v>405583</v>
      </c>
      <c r="F27" s="117">
        <v>397924</v>
      </c>
      <c r="G27" s="116">
        <v>-832731</v>
      </c>
      <c r="H27" s="116">
        <v>-2761983</v>
      </c>
      <c r="I27" s="116">
        <v>414976</v>
      </c>
      <c r="J27" s="116">
        <v>-754542</v>
      </c>
      <c r="K27" s="116">
        <v>-5358163</v>
      </c>
      <c r="L27" s="116">
        <v>-3302894</v>
      </c>
      <c r="M27"/>
    </row>
    <row r="28" spans="2:15" ht="6" customHeight="1">
      <c r="B28" s="112"/>
      <c r="C28" s="113"/>
      <c r="D28" s="113"/>
      <c r="E28" s="114"/>
      <c r="F28" s="114"/>
      <c r="G28" s="113"/>
      <c r="H28" s="113"/>
      <c r="I28" s="113"/>
      <c r="J28" s="113"/>
      <c r="K28" s="113"/>
      <c r="L28" s="113"/>
    </row>
    <row r="29" spans="2:15" ht="15.75">
      <c r="B29" s="112" t="s">
        <v>143</v>
      </c>
      <c r="C29" s="113"/>
      <c r="D29" s="113"/>
      <c r="E29" s="114"/>
      <c r="F29" s="114"/>
      <c r="G29" s="113"/>
      <c r="H29" s="113"/>
      <c r="I29" s="113"/>
      <c r="J29" s="113"/>
      <c r="K29" s="113"/>
      <c r="L29" s="113"/>
    </row>
    <row r="30" spans="2:15" ht="15.75">
      <c r="B30" s="112" t="s">
        <v>144</v>
      </c>
      <c r="C30" s="113">
        <v>149060</v>
      </c>
      <c r="D30" s="113">
        <v>-473280</v>
      </c>
      <c r="E30" s="114">
        <v>-484266</v>
      </c>
      <c r="F30" s="114">
        <v>25806</v>
      </c>
      <c r="G30" s="113">
        <v>130540</v>
      </c>
      <c r="H30" s="113">
        <v>156846</v>
      </c>
      <c r="I30" s="113">
        <v>384507</v>
      </c>
      <c r="J30" s="113">
        <v>399420</v>
      </c>
      <c r="K30" s="113">
        <v>715105</v>
      </c>
      <c r="L30" s="113">
        <v>97592</v>
      </c>
    </row>
    <row r="31" spans="2:15" ht="15.75">
      <c r="B31" s="112" t="s">
        <v>145</v>
      </c>
      <c r="C31" s="113">
        <v>-55432</v>
      </c>
      <c r="D31" s="113">
        <v>198315</v>
      </c>
      <c r="E31" s="114">
        <v>162957</v>
      </c>
      <c r="F31" s="114">
        <v>-9688</v>
      </c>
      <c r="G31" s="113">
        <v>-10099</v>
      </c>
      <c r="H31" s="113">
        <v>-8916</v>
      </c>
      <c r="I31" s="113">
        <v>-12416</v>
      </c>
      <c r="J31" s="113">
        <v>-41796</v>
      </c>
      <c r="K31" s="113">
        <v>11406</v>
      </c>
      <c r="L31" s="113">
        <v>-18515</v>
      </c>
      <c r="N31" s="65"/>
    </row>
    <row r="32" spans="2:15" ht="15.75">
      <c r="B32" s="112" t="s">
        <v>146</v>
      </c>
      <c r="C32" s="113">
        <v>-97211</v>
      </c>
      <c r="D32" s="113">
        <v>-68130</v>
      </c>
      <c r="E32" s="114">
        <v>-69380</v>
      </c>
      <c r="F32" s="114">
        <v>-4993</v>
      </c>
      <c r="G32" s="113">
        <v>45588</v>
      </c>
      <c r="H32" s="113">
        <v>-17910</v>
      </c>
      <c r="I32" s="113">
        <v>-5727</v>
      </c>
      <c r="J32" s="113">
        <v>81921</v>
      </c>
      <c r="K32" s="113">
        <v>14589</v>
      </c>
      <c r="L32" s="113">
        <v>-45454</v>
      </c>
    </row>
    <row r="33" spans="2:13" ht="15.75">
      <c r="B33" s="112" t="s">
        <v>147</v>
      </c>
      <c r="C33" s="113">
        <v>19363</v>
      </c>
      <c r="D33" s="113">
        <v>-36893</v>
      </c>
      <c r="E33" s="114">
        <v>-8659</v>
      </c>
      <c r="F33" s="114">
        <v>-27100</v>
      </c>
      <c r="G33" s="113">
        <v>36642</v>
      </c>
      <c r="H33" s="113">
        <v>-25006</v>
      </c>
      <c r="I33" s="113">
        <v>524009</v>
      </c>
      <c r="J33" s="113">
        <v>627306</v>
      </c>
      <c r="K33" s="113">
        <v>1117666</v>
      </c>
      <c r="L33" s="113">
        <v>552767</v>
      </c>
    </row>
    <row r="34" spans="2:13" ht="15.75">
      <c r="B34" s="112" t="s">
        <v>148</v>
      </c>
      <c r="C34" s="113">
        <v>0</v>
      </c>
      <c r="D34" s="113">
        <v>0</v>
      </c>
      <c r="E34" s="114">
        <v>88125</v>
      </c>
      <c r="F34" s="114">
        <v>-399729</v>
      </c>
      <c r="G34" s="113">
        <v>118281</v>
      </c>
      <c r="H34" s="113">
        <v>490676</v>
      </c>
      <c r="I34" s="113">
        <v>-352124</v>
      </c>
      <c r="J34" s="113">
        <v>266908</v>
      </c>
      <c r="K34" s="374">
        <v>-165160</v>
      </c>
      <c r="L34" s="374">
        <v>219824</v>
      </c>
    </row>
    <row r="35" spans="2:13" ht="15.75">
      <c r="B35" s="112" t="s">
        <v>149</v>
      </c>
      <c r="C35" s="113">
        <v>-178234</v>
      </c>
      <c r="D35" s="113">
        <v>-201867</v>
      </c>
      <c r="E35" s="114">
        <v>-192216</v>
      </c>
      <c r="F35" s="114">
        <v>-213108</v>
      </c>
      <c r="G35" s="113">
        <v>-230332</v>
      </c>
      <c r="H35" s="113">
        <v>-197800</v>
      </c>
      <c r="I35" s="113">
        <v>-131742</v>
      </c>
      <c r="J35" s="113">
        <v>-24576</v>
      </c>
      <c r="K35" s="113">
        <v>-51298</v>
      </c>
      <c r="L35" s="113">
        <v>-76368</v>
      </c>
    </row>
    <row r="36" spans="2:13" ht="15.75">
      <c r="B36" s="112" t="s">
        <v>142</v>
      </c>
      <c r="C36" s="113">
        <v>540750</v>
      </c>
      <c r="D36" s="113">
        <v>-246774</v>
      </c>
      <c r="E36" s="114">
        <v>93321</v>
      </c>
      <c r="F36" s="114">
        <v>-198974</v>
      </c>
      <c r="G36" s="113">
        <v>-150656</v>
      </c>
      <c r="H36" s="113">
        <v>-139478</v>
      </c>
      <c r="I36" s="113">
        <v>-133427</v>
      </c>
      <c r="J36" s="113">
        <v>605376</v>
      </c>
      <c r="K36" s="374">
        <v>27925</v>
      </c>
      <c r="L36" s="374">
        <v>-25804</v>
      </c>
    </row>
    <row r="37" spans="2:13" s="118" customFormat="1" ht="15.75">
      <c r="B37" s="109" t="s">
        <v>17</v>
      </c>
      <c r="C37" s="116">
        <v>378296</v>
      </c>
      <c r="D37" s="116">
        <v>-828629</v>
      </c>
      <c r="E37" s="117">
        <v>-410118</v>
      </c>
      <c r="F37" s="117">
        <v>-827786</v>
      </c>
      <c r="G37" s="116">
        <v>-60036</v>
      </c>
      <c r="H37" s="116">
        <v>258412</v>
      </c>
      <c r="I37" s="116">
        <v>273080</v>
      </c>
      <c r="J37" s="116">
        <v>1914559</v>
      </c>
      <c r="K37" s="375">
        <v>1670233</v>
      </c>
      <c r="L37" s="375">
        <v>704042</v>
      </c>
    </row>
    <row r="38" spans="2:13" ht="7.5" customHeight="1">
      <c r="B38" s="112"/>
      <c r="C38" s="113"/>
      <c r="D38" s="113"/>
      <c r="E38" s="114"/>
      <c r="F38" s="114"/>
      <c r="G38" s="113"/>
      <c r="H38" s="113"/>
      <c r="I38" s="113"/>
      <c r="J38" s="113"/>
      <c r="K38" s="113"/>
      <c r="L38" s="113"/>
    </row>
    <row r="39" spans="2:13">
      <c r="B39" s="119" t="s">
        <v>179</v>
      </c>
      <c r="C39" s="120">
        <v>1836005</v>
      </c>
      <c r="D39" s="120">
        <v>1767441</v>
      </c>
      <c r="E39" s="121">
        <v>717172</v>
      </c>
      <c r="F39" s="121">
        <v>603499</v>
      </c>
      <c r="G39" s="120">
        <v>1666541</v>
      </c>
      <c r="H39" s="120">
        <v>1121382</v>
      </c>
      <c r="I39" s="120">
        <v>2441428</v>
      </c>
      <c r="J39" s="120">
        <v>4326476</v>
      </c>
      <c r="K39" s="120">
        <v>7448802</v>
      </c>
      <c r="L39" s="120">
        <v>2767329</v>
      </c>
    </row>
    <row r="40" spans="2:13" ht="9" customHeight="1">
      <c r="B40" s="112"/>
      <c r="C40" s="113"/>
      <c r="D40" s="113"/>
      <c r="E40" s="114"/>
      <c r="F40" s="114"/>
      <c r="G40" s="113"/>
      <c r="H40" s="113"/>
      <c r="I40" s="113"/>
      <c r="J40" s="113"/>
      <c r="K40" s="113"/>
      <c r="L40" s="113"/>
    </row>
    <row r="41" spans="2:13" ht="15.75">
      <c r="B41" s="112" t="s">
        <v>151</v>
      </c>
      <c r="C41" s="113">
        <v>-568571</v>
      </c>
      <c r="D41" s="113">
        <v>-482793</v>
      </c>
      <c r="E41" s="114">
        <v>-583286</v>
      </c>
      <c r="F41" s="114">
        <v>-897242</v>
      </c>
      <c r="G41" s="113">
        <v>-764250</v>
      </c>
      <c r="H41" s="113">
        <v>-533504</v>
      </c>
      <c r="I41" s="113">
        <v>-364416</v>
      </c>
      <c r="J41" s="113">
        <v>-337059</v>
      </c>
      <c r="K41" s="113">
        <v>-343849</v>
      </c>
      <c r="L41" s="113">
        <v>-584431</v>
      </c>
    </row>
    <row r="42" spans="2:13" ht="15.75">
      <c r="B42" s="112" t="s">
        <v>152</v>
      </c>
      <c r="C42" s="113">
        <v>-161141</v>
      </c>
      <c r="D42" s="113">
        <v>-66058</v>
      </c>
      <c r="E42" s="114">
        <v>-30472</v>
      </c>
      <c r="F42" s="114">
        <v>-16569</v>
      </c>
      <c r="G42" s="113">
        <v>-25262</v>
      </c>
      <c r="H42" s="113">
        <v>-78260</v>
      </c>
      <c r="I42" s="113">
        <v>-105188</v>
      </c>
      <c r="J42" s="113">
        <v>-230029</v>
      </c>
      <c r="K42" s="113">
        <v>-1768479</v>
      </c>
      <c r="L42" s="113">
        <v>-1185780</v>
      </c>
    </row>
    <row r="43" spans="2:13" ht="6.75" customHeight="1">
      <c r="B43" s="112"/>
      <c r="C43" s="113"/>
      <c r="D43" s="113"/>
      <c r="E43" s="114"/>
      <c r="F43" s="114"/>
      <c r="G43" s="113"/>
      <c r="H43" s="113"/>
      <c r="I43" s="113"/>
      <c r="J43" s="113"/>
      <c r="K43" s="113"/>
      <c r="L43" s="113"/>
    </row>
    <row r="44" spans="2:13" ht="30">
      <c r="B44" s="119" t="s">
        <v>153</v>
      </c>
      <c r="C44" s="120">
        <v>1106293</v>
      </c>
      <c r="D44" s="120">
        <v>1218590</v>
      </c>
      <c r="E44" s="121">
        <v>103414</v>
      </c>
      <c r="F44" s="121">
        <v>-310312</v>
      </c>
      <c r="G44" s="120">
        <v>877029</v>
      </c>
      <c r="H44" s="120">
        <v>509618</v>
      </c>
      <c r="I44" s="120">
        <v>1971824</v>
      </c>
      <c r="J44" s="120">
        <v>3759388</v>
      </c>
      <c r="K44" s="120">
        <v>5336474</v>
      </c>
      <c r="L44" s="120">
        <v>997118</v>
      </c>
    </row>
    <row r="45" spans="2:13" ht="15.75">
      <c r="B45" s="112"/>
      <c r="C45" s="113"/>
      <c r="D45" s="113"/>
      <c r="E45" s="114"/>
      <c r="F45" s="114"/>
      <c r="G45" s="113"/>
      <c r="H45" s="113"/>
      <c r="I45" s="113"/>
      <c r="J45" s="113"/>
      <c r="K45" s="113"/>
      <c r="L45" s="113"/>
      <c r="M45" s="65"/>
    </row>
    <row r="46" spans="2:13" s="118" customFormat="1" ht="15.75">
      <c r="B46" s="109" t="s">
        <v>154</v>
      </c>
      <c r="C46" s="116"/>
      <c r="D46" s="116"/>
      <c r="E46" s="117"/>
      <c r="F46" s="117"/>
      <c r="G46" s="116"/>
      <c r="H46" s="116"/>
      <c r="I46" s="116"/>
      <c r="J46" s="116"/>
      <c r="K46" s="116"/>
      <c r="L46" s="116"/>
    </row>
    <row r="47" spans="2:13" ht="15.75">
      <c r="B47" s="112" t="s">
        <v>155</v>
      </c>
      <c r="C47" s="113">
        <v>701929</v>
      </c>
      <c r="D47" s="113">
        <v>93538</v>
      </c>
      <c r="E47" s="114">
        <v>-482094</v>
      </c>
      <c r="F47" s="114">
        <v>-313399</v>
      </c>
      <c r="G47" s="113">
        <v>993869</v>
      </c>
      <c r="H47" s="113">
        <v>-42844</v>
      </c>
      <c r="I47" s="113">
        <v>-81616</v>
      </c>
      <c r="J47" s="113">
        <v>-938641</v>
      </c>
      <c r="K47" s="113">
        <v>924284</v>
      </c>
      <c r="L47" s="113">
        <v>-1473782</v>
      </c>
    </row>
    <row r="48" spans="2:13" ht="15.75">
      <c r="B48" s="112" t="s">
        <v>180</v>
      </c>
      <c r="C48" s="113">
        <v>135842</v>
      </c>
      <c r="D48" s="113">
        <v>26972</v>
      </c>
      <c r="E48" s="114">
        <v>0</v>
      </c>
      <c r="F48" s="114">
        <v>0</v>
      </c>
      <c r="G48" s="113">
        <v>0</v>
      </c>
      <c r="H48" s="113">
        <v>0</v>
      </c>
      <c r="I48" s="113">
        <v>0</v>
      </c>
      <c r="J48" s="113">
        <v>0</v>
      </c>
      <c r="K48" s="113">
        <v>0</v>
      </c>
      <c r="L48" s="113">
        <v>0</v>
      </c>
    </row>
    <row r="49" spans="2:12" ht="15.75">
      <c r="B49" s="112" t="s">
        <v>282</v>
      </c>
      <c r="C49" s="113"/>
      <c r="D49" s="113"/>
      <c r="E49" s="114"/>
      <c r="F49" s="114"/>
      <c r="G49" s="113"/>
      <c r="H49" s="113"/>
      <c r="I49" s="113">
        <v>-26</v>
      </c>
      <c r="J49" s="113">
        <v>-22</v>
      </c>
      <c r="K49" s="113">
        <v>0</v>
      </c>
      <c r="L49" s="113">
        <v>-67</v>
      </c>
    </row>
    <row r="50" spans="2:12" ht="15.75">
      <c r="B50" s="112" t="s">
        <v>181</v>
      </c>
      <c r="C50" s="113">
        <v>-206403</v>
      </c>
      <c r="D50" s="113">
        <v>-224439</v>
      </c>
      <c r="E50" s="114">
        <v>0</v>
      </c>
      <c r="F50" s="114">
        <v>0</v>
      </c>
      <c r="G50" s="113">
        <v>0</v>
      </c>
      <c r="H50" s="113">
        <v>0</v>
      </c>
      <c r="I50" s="113"/>
      <c r="J50" s="113">
        <v>0</v>
      </c>
      <c r="K50" s="113">
        <v>0</v>
      </c>
      <c r="L50" s="113">
        <v>0</v>
      </c>
    </row>
    <row r="51" spans="2:12" ht="15.75">
      <c r="B51" s="112" t="s">
        <v>182</v>
      </c>
      <c r="C51" s="113">
        <v>-956565</v>
      </c>
      <c r="D51" s="113">
        <v>-1086800</v>
      </c>
      <c r="E51" s="114">
        <v>-725030</v>
      </c>
      <c r="F51" s="114">
        <v>-207035</v>
      </c>
      <c r="G51" s="113">
        <v>-208471</v>
      </c>
      <c r="H51" s="113">
        <v>-405141</v>
      </c>
      <c r="I51" s="113">
        <v>-646236</v>
      </c>
      <c r="J51" s="113">
        <v>-768707</v>
      </c>
      <c r="K51" s="113">
        <v>-1389727</v>
      </c>
      <c r="L51" s="113">
        <v>-2026636</v>
      </c>
    </row>
    <row r="52" spans="2:12" ht="15.75">
      <c r="B52" s="112" t="s">
        <v>183</v>
      </c>
      <c r="C52" s="113">
        <v>36203</v>
      </c>
      <c r="D52" s="113">
        <v>86109</v>
      </c>
      <c r="E52" s="114">
        <v>16422</v>
      </c>
      <c r="F52" s="114">
        <v>5532</v>
      </c>
      <c r="G52" s="113">
        <v>8647</v>
      </c>
      <c r="H52" s="113">
        <v>39512</v>
      </c>
      <c r="I52" s="113">
        <v>9141</v>
      </c>
      <c r="J52" s="113">
        <v>121281</v>
      </c>
      <c r="K52" s="113">
        <v>105041</v>
      </c>
      <c r="L52" s="113">
        <v>87573</v>
      </c>
    </row>
    <row r="53" spans="2:12" ht="15.75">
      <c r="B53" s="112" t="s">
        <v>184</v>
      </c>
      <c r="C53" s="113">
        <v>-57265</v>
      </c>
      <c r="D53" s="113">
        <v>-62460</v>
      </c>
      <c r="E53" s="114">
        <v>0</v>
      </c>
      <c r="F53" s="114">
        <v>0</v>
      </c>
      <c r="G53" s="113">
        <v>0</v>
      </c>
      <c r="H53" s="113">
        <v>0</v>
      </c>
      <c r="I53" s="113">
        <v>0</v>
      </c>
      <c r="J53" s="113">
        <v>0</v>
      </c>
      <c r="K53" s="113">
        <v>0</v>
      </c>
      <c r="L53" s="113">
        <v>0</v>
      </c>
    </row>
    <row r="54" spans="2:12" ht="15.75">
      <c r="B54" s="112" t="s">
        <v>157</v>
      </c>
      <c r="C54" s="113">
        <v>203433</v>
      </c>
      <c r="D54" s="113">
        <v>193961</v>
      </c>
      <c r="E54" s="114">
        <v>121848</v>
      </c>
      <c r="F54" s="114">
        <v>96701</v>
      </c>
      <c r="G54" s="113">
        <v>26500</v>
      </c>
      <c r="H54" s="113">
        <v>340955</v>
      </c>
      <c r="I54" s="113">
        <v>224946</v>
      </c>
      <c r="J54" s="113">
        <v>136902</v>
      </c>
      <c r="K54" s="113">
        <v>128235</v>
      </c>
      <c r="L54" s="113">
        <v>137255</v>
      </c>
    </row>
    <row r="55" spans="2:12" ht="15.75">
      <c r="B55" s="112" t="s">
        <v>277</v>
      </c>
      <c r="C55" s="113">
        <v>-24825</v>
      </c>
      <c r="D55" s="113">
        <v>-23237</v>
      </c>
      <c r="E55" s="114">
        <v>-29334</v>
      </c>
      <c r="F55" s="114">
        <v>-15724</v>
      </c>
      <c r="G55" s="113">
        <v>-7699</v>
      </c>
      <c r="H55" s="113">
        <v>-28382</v>
      </c>
      <c r="I55" s="113">
        <v>-35215</v>
      </c>
      <c r="J55" s="113">
        <v>-29972</v>
      </c>
      <c r="K55" s="113">
        <v>-93562</v>
      </c>
      <c r="L55" s="113">
        <v>-65240</v>
      </c>
    </row>
    <row r="56" spans="2:12" ht="6.75" customHeight="1">
      <c r="B56" s="112"/>
      <c r="C56" s="113"/>
      <c r="D56" s="113"/>
      <c r="E56" s="114"/>
      <c r="F56" s="114"/>
      <c r="G56" s="113"/>
      <c r="H56" s="113"/>
      <c r="I56" s="113"/>
      <c r="J56" s="113"/>
      <c r="K56" s="113"/>
      <c r="L56" s="113"/>
    </row>
    <row r="57" spans="2:12" ht="30">
      <c r="B57" s="119" t="s">
        <v>158</v>
      </c>
      <c r="C57" s="120">
        <v>-167651</v>
      </c>
      <c r="D57" s="120">
        <v>-996356</v>
      </c>
      <c r="E57" s="121">
        <v>-1098188</v>
      </c>
      <c r="F57" s="121">
        <v>-433925</v>
      </c>
      <c r="G57" s="120">
        <v>812846</v>
      </c>
      <c r="H57" s="120">
        <v>-95900</v>
      </c>
      <c r="I57" s="120">
        <v>-529006</v>
      </c>
      <c r="J57" s="120">
        <v>-1479159</v>
      </c>
      <c r="K57" s="120">
        <v>-325729</v>
      </c>
      <c r="L57" s="120">
        <v>-3340897</v>
      </c>
    </row>
    <row r="58" spans="2:12" ht="5.25" customHeight="1">
      <c r="B58" s="112"/>
      <c r="C58" s="113"/>
      <c r="D58" s="113"/>
      <c r="E58" s="114"/>
      <c r="F58" s="114"/>
      <c r="G58" s="113"/>
      <c r="H58" s="113"/>
      <c r="I58" s="113"/>
      <c r="J58" s="113"/>
      <c r="K58" s="113"/>
      <c r="L58" s="113"/>
    </row>
    <row r="59" spans="2:12" s="118" customFormat="1" ht="15.75">
      <c r="B59" s="109" t="s">
        <v>159</v>
      </c>
      <c r="C59" s="116"/>
      <c r="D59" s="116"/>
      <c r="E59" s="117"/>
      <c r="F59" s="117"/>
      <c r="G59" s="116"/>
      <c r="H59" s="116"/>
      <c r="I59" s="116"/>
      <c r="J59" s="116"/>
      <c r="K59" s="116"/>
      <c r="L59" s="116"/>
    </row>
    <row r="60" spans="2:12" ht="15.75">
      <c r="B60" s="112" t="s">
        <v>185</v>
      </c>
      <c r="C60" s="113">
        <v>0</v>
      </c>
      <c r="D60" s="113">
        <v>0</v>
      </c>
      <c r="E60" s="114">
        <v>477357</v>
      </c>
      <c r="F60" s="114">
        <v>43832</v>
      </c>
      <c r="G60" s="113">
        <v>0</v>
      </c>
      <c r="H60" s="113">
        <v>0</v>
      </c>
      <c r="I60" s="113">
        <v>0</v>
      </c>
      <c r="J60" s="113">
        <v>0</v>
      </c>
      <c r="K60" s="113">
        <v>0</v>
      </c>
      <c r="L60" s="113">
        <v>0</v>
      </c>
    </row>
    <row r="61" spans="2:12" ht="15.75">
      <c r="B61" s="112" t="s">
        <v>186</v>
      </c>
      <c r="C61" s="113">
        <v>0</v>
      </c>
      <c r="D61" s="113">
        <v>0</v>
      </c>
      <c r="E61" s="114">
        <v>-593585</v>
      </c>
      <c r="F61" s="114">
        <v>-241294</v>
      </c>
      <c r="G61" s="113">
        <v>0</v>
      </c>
      <c r="H61" s="113">
        <v>0</v>
      </c>
      <c r="I61" s="113">
        <v>0</v>
      </c>
      <c r="J61" s="113">
        <v>0</v>
      </c>
      <c r="K61" s="113">
        <v>0</v>
      </c>
      <c r="L61" s="113">
        <v>0</v>
      </c>
    </row>
    <row r="62" spans="2:12" ht="30">
      <c r="B62" s="123" t="s">
        <v>269</v>
      </c>
      <c r="C62" s="113">
        <v>1478645</v>
      </c>
      <c r="D62" s="113">
        <v>913662</v>
      </c>
      <c r="E62" s="114">
        <v>1678529</v>
      </c>
      <c r="F62" s="114">
        <v>0</v>
      </c>
      <c r="G62" s="113">
        <v>0</v>
      </c>
      <c r="H62" s="113">
        <v>0</v>
      </c>
      <c r="I62" s="113">
        <v>4811557</v>
      </c>
      <c r="J62" s="113">
        <v>0</v>
      </c>
      <c r="K62" s="113">
        <v>0</v>
      </c>
      <c r="L62" s="113">
        <v>2200000</v>
      </c>
    </row>
    <row r="63" spans="2:12" ht="30">
      <c r="B63" s="123" t="s">
        <v>278</v>
      </c>
      <c r="C63" s="113">
        <v>-2995804</v>
      </c>
      <c r="D63" s="113">
        <v>-1414769</v>
      </c>
      <c r="E63" s="114">
        <v>-1852591</v>
      </c>
      <c r="F63" s="114">
        <v>-185431</v>
      </c>
      <c r="G63" s="113">
        <v>-309780</v>
      </c>
      <c r="H63" s="113">
        <v>-951206</v>
      </c>
      <c r="I63" s="113">
        <v>-5850504</v>
      </c>
      <c r="J63" s="113">
        <v>-50031</v>
      </c>
      <c r="K63" s="113">
        <v>-7609</v>
      </c>
      <c r="L63" s="113">
        <v>-2007026</v>
      </c>
    </row>
    <row r="64" spans="2:12" ht="15.75">
      <c r="B64" s="112" t="s">
        <v>187</v>
      </c>
      <c r="C64" s="113">
        <v>220972</v>
      </c>
      <c r="D64" s="113">
        <v>0</v>
      </c>
      <c r="E64" s="114">
        <v>0</v>
      </c>
      <c r="F64" s="114">
        <v>0</v>
      </c>
      <c r="G64" s="113">
        <v>0</v>
      </c>
      <c r="H64" s="113">
        <v>0</v>
      </c>
      <c r="I64" s="113">
        <v>0</v>
      </c>
      <c r="J64" s="113">
        <v>0</v>
      </c>
      <c r="K64" s="113">
        <v>0</v>
      </c>
      <c r="L64" s="113">
        <v>0</v>
      </c>
    </row>
    <row r="65" spans="2:12" ht="15.75">
      <c r="B65" s="112" t="s">
        <v>188</v>
      </c>
      <c r="C65" s="113">
        <v>0</v>
      </c>
      <c r="D65" s="113">
        <v>0</v>
      </c>
      <c r="E65" s="114">
        <v>0</v>
      </c>
      <c r="F65" s="114">
        <v>1050295</v>
      </c>
      <c r="G65" s="113">
        <v>0</v>
      </c>
      <c r="H65" s="113">
        <v>0</v>
      </c>
      <c r="I65" s="113">
        <v>0</v>
      </c>
      <c r="J65" s="113">
        <v>0</v>
      </c>
      <c r="K65" s="113">
        <v>0</v>
      </c>
      <c r="L65" s="113">
        <v>0</v>
      </c>
    </row>
    <row r="66" spans="2:12" ht="15.75">
      <c r="B66" s="112" t="s">
        <v>189</v>
      </c>
      <c r="C66" s="113">
        <v>-14958</v>
      </c>
      <c r="D66" s="113">
        <v>-67080</v>
      </c>
      <c r="E66" s="114">
        <v>-1178</v>
      </c>
      <c r="F66" s="114">
        <v>-1601</v>
      </c>
      <c r="G66" s="113">
        <v>-4342</v>
      </c>
      <c r="H66" s="113">
        <v>-132</v>
      </c>
      <c r="I66" s="113">
        <v>0</v>
      </c>
      <c r="J66" s="113">
        <v>0</v>
      </c>
      <c r="K66" s="113">
        <v>0</v>
      </c>
      <c r="L66" s="113">
        <v>0</v>
      </c>
    </row>
    <row r="67" spans="2:12" ht="15.75">
      <c r="B67" s="112" t="s">
        <v>420</v>
      </c>
      <c r="C67" s="113" t="s">
        <v>25</v>
      </c>
      <c r="D67" s="113" t="s">
        <v>25</v>
      </c>
      <c r="E67" s="113" t="s">
        <v>25</v>
      </c>
      <c r="F67" s="113" t="s">
        <v>25</v>
      </c>
      <c r="G67" s="113" t="s">
        <v>25</v>
      </c>
      <c r="H67" s="113" t="s">
        <v>25</v>
      </c>
      <c r="I67" s="113" t="s">
        <v>25</v>
      </c>
      <c r="J67" s="113" t="s">
        <v>25</v>
      </c>
      <c r="K67" s="113">
        <v>-39903</v>
      </c>
      <c r="L67" s="113">
        <v>-56261</v>
      </c>
    </row>
    <row r="68" spans="2:12" ht="15.75">
      <c r="B68" s="112" t="s">
        <v>161</v>
      </c>
      <c r="C68" s="113">
        <v>2417</v>
      </c>
      <c r="D68" s="113">
        <v>-33384</v>
      </c>
      <c r="E68" s="114">
        <v>-27165</v>
      </c>
      <c r="F68" s="114">
        <v>12240</v>
      </c>
      <c r="G68" s="113">
        <v>-6976</v>
      </c>
      <c r="H68" s="113">
        <v>14</v>
      </c>
      <c r="I68" s="113">
        <v>-5507</v>
      </c>
      <c r="J68" s="113">
        <v>-171472</v>
      </c>
      <c r="K68" s="113">
        <v>-23089</v>
      </c>
      <c r="L68" s="113">
        <v>8482</v>
      </c>
    </row>
    <row r="69" spans="2:12" ht="15.75">
      <c r="B69" s="112" t="s">
        <v>162</v>
      </c>
      <c r="C69" s="113">
        <v>-105804</v>
      </c>
      <c r="D69" s="113">
        <v>-152799</v>
      </c>
      <c r="E69" s="114">
        <v>-39295</v>
      </c>
      <c r="F69" s="114">
        <v>-3</v>
      </c>
      <c r="G69" s="113">
        <v>-25505</v>
      </c>
      <c r="H69" s="113">
        <v>-125469</v>
      </c>
      <c r="I69" s="113">
        <v>-255464</v>
      </c>
      <c r="J69" s="113">
        <v>-68083</v>
      </c>
      <c r="K69" s="113">
        <v>-1849264</v>
      </c>
      <c r="L69" s="113">
        <v>-1233223</v>
      </c>
    </row>
    <row r="70" spans="2:12" ht="15.75">
      <c r="B70" s="112" t="s">
        <v>190</v>
      </c>
      <c r="C70" s="113">
        <v>0</v>
      </c>
      <c r="D70" s="113">
        <v>0</v>
      </c>
      <c r="E70" s="114">
        <v>0</v>
      </c>
      <c r="F70" s="114">
        <v>0</v>
      </c>
      <c r="G70" s="113">
        <v>-300000</v>
      </c>
      <c r="H70" s="113">
        <v>0</v>
      </c>
      <c r="I70" s="113">
        <v>0</v>
      </c>
      <c r="J70" s="113">
        <v>0</v>
      </c>
      <c r="K70" s="113">
        <v>0</v>
      </c>
      <c r="L70" s="113">
        <v>0</v>
      </c>
    </row>
    <row r="71" spans="2:12" ht="30">
      <c r="B71" s="119" t="s">
        <v>164</v>
      </c>
      <c r="C71" s="120">
        <v>-1414532</v>
      </c>
      <c r="D71" s="120">
        <v>-754370</v>
      </c>
      <c r="E71" s="121">
        <v>-357928</v>
      </c>
      <c r="F71" s="121">
        <v>678038</v>
      </c>
      <c r="G71" s="120">
        <v>-646603</v>
      </c>
      <c r="H71" s="120">
        <v>-1076793</v>
      </c>
      <c r="I71" s="120">
        <v>-1299918</v>
      </c>
      <c r="J71" s="120">
        <v>-289586</v>
      </c>
      <c r="K71" s="120">
        <v>-1919865</v>
      </c>
      <c r="L71" s="120">
        <v>-1088028</v>
      </c>
    </row>
    <row r="72" spans="2:12" ht="5.25" customHeight="1">
      <c r="B72" s="109"/>
      <c r="C72" s="122"/>
      <c r="D72" s="122"/>
      <c r="E72" s="114"/>
      <c r="F72" s="114"/>
      <c r="G72" s="122"/>
      <c r="H72" s="122"/>
      <c r="I72" s="122"/>
      <c r="J72" s="122"/>
      <c r="K72" s="122"/>
      <c r="L72" s="122"/>
    </row>
    <row r="73" spans="2:12">
      <c r="B73" s="119" t="s">
        <v>191</v>
      </c>
      <c r="C73" s="120">
        <v>-14241</v>
      </c>
      <c r="D73" s="120">
        <v>8761</v>
      </c>
      <c r="E73" s="121">
        <v>43162</v>
      </c>
      <c r="F73" s="121">
        <v>-14203</v>
      </c>
      <c r="G73" s="120">
        <v>7431</v>
      </c>
      <c r="H73" s="120">
        <v>-708</v>
      </c>
      <c r="I73" s="120">
        <v>3276</v>
      </c>
      <c r="J73" s="120">
        <v>17679</v>
      </c>
      <c r="K73" s="120">
        <v>-11151</v>
      </c>
      <c r="L73" s="120">
        <v>6837</v>
      </c>
    </row>
    <row r="74" spans="2:12" ht="6.75" customHeight="1">
      <c r="B74" s="109"/>
      <c r="C74" s="122"/>
      <c r="D74" s="122"/>
      <c r="E74" s="114"/>
      <c r="F74" s="114"/>
      <c r="G74" s="122"/>
      <c r="H74" s="122"/>
      <c r="I74" s="122"/>
      <c r="J74" s="122"/>
      <c r="K74" s="122"/>
      <c r="L74" s="122"/>
    </row>
    <row r="75" spans="2:12" ht="30">
      <c r="B75" s="119" t="s">
        <v>166</v>
      </c>
      <c r="C75" s="120">
        <v>-490131</v>
      </c>
      <c r="D75" s="120">
        <v>-523375</v>
      </c>
      <c r="E75" s="121">
        <v>-1309540</v>
      </c>
      <c r="F75" s="121">
        <v>-80402</v>
      </c>
      <c r="G75" s="120">
        <v>1050703</v>
      </c>
      <c r="H75" s="120">
        <v>-663783</v>
      </c>
      <c r="I75" s="120">
        <v>146176</v>
      </c>
      <c r="J75" s="120">
        <v>2008322</v>
      </c>
      <c r="K75" s="120">
        <v>3079729</v>
      </c>
      <c r="L75" s="120">
        <v>-3424970</v>
      </c>
    </row>
    <row r="76" spans="2:12" ht="6.75" customHeight="1">
      <c r="B76" s="112"/>
      <c r="C76" s="122"/>
      <c r="D76" s="122"/>
      <c r="E76" s="114"/>
      <c r="F76" s="114"/>
      <c r="G76" s="122"/>
      <c r="H76" s="122"/>
      <c r="I76" s="122"/>
      <c r="J76" s="122"/>
      <c r="K76" s="122"/>
      <c r="L76" s="122"/>
    </row>
    <row r="77" spans="2:12" ht="15.75">
      <c r="B77" s="123" t="s">
        <v>167</v>
      </c>
      <c r="C77" s="113">
        <v>3123318</v>
      </c>
      <c r="D77" s="113">
        <v>2633187</v>
      </c>
      <c r="E77" s="124">
        <v>2109812</v>
      </c>
      <c r="F77" s="124">
        <v>800272</v>
      </c>
      <c r="G77" s="113">
        <v>719870</v>
      </c>
      <c r="H77" s="113">
        <v>1770573</v>
      </c>
      <c r="I77" s="113">
        <v>1106790</v>
      </c>
      <c r="J77" s="113">
        <v>1252966</v>
      </c>
      <c r="K77" s="113">
        <v>3261288</v>
      </c>
      <c r="L77" s="113">
        <v>6341017</v>
      </c>
    </row>
    <row r="78" spans="2:12" ht="15.75">
      <c r="B78" s="123" t="s">
        <v>168</v>
      </c>
      <c r="C78" s="113">
        <v>2633187</v>
      </c>
      <c r="D78" s="113">
        <v>2109812</v>
      </c>
      <c r="E78" s="124">
        <v>800272</v>
      </c>
      <c r="F78" s="124">
        <v>719870</v>
      </c>
      <c r="G78" s="113">
        <v>1770573</v>
      </c>
      <c r="H78" s="113">
        <v>1106790</v>
      </c>
      <c r="I78" s="113">
        <v>1252966</v>
      </c>
      <c r="J78" s="113">
        <v>3261288</v>
      </c>
      <c r="K78" s="113">
        <v>6341017</v>
      </c>
      <c r="L78" s="113">
        <v>2916047</v>
      </c>
    </row>
    <row r="79" spans="2:12" ht="6.75" customHeight="1">
      <c r="B79" s="125"/>
      <c r="C79" s="126"/>
      <c r="D79" s="126"/>
      <c r="E79" s="127"/>
      <c r="F79" s="127"/>
      <c r="G79" s="126"/>
      <c r="H79" s="126"/>
      <c r="I79" s="126"/>
      <c r="J79" s="126"/>
      <c r="K79" s="126"/>
      <c r="L79" s="126"/>
    </row>
    <row r="80" spans="2:12" ht="30">
      <c r="B80" s="128" t="s">
        <v>169</v>
      </c>
      <c r="C80" s="129"/>
      <c r="D80" s="129"/>
      <c r="E80" s="130"/>
      <c r="F80" s="130"/>
      <c r="G80" s="129"/>
      <c r="H80" s="129"/>
      <c r="I80" s="129"/>
      <c r="J80" s="129"/>
      <c r="K80" s="129"/>
      <c r="L80" s="129"/>
    </row>
    <row r="81" spans="2:12" ht="15.75">
      <c r="B81" s="131" t="s">
        <v>192</v>
      </c>
      <c r="C81" s="132">
        <v>3123318</v>
      </c>
      <c r="D81" s="132">
        <v>2633187</v>
      </c>
      <c r="E81" s="133">
        <v>2109812</v>
      </c>
      <c r="F81" s="133">
        <v>800272</v>
      </c>
      <c r="G81" s="132">
        <v>719870</v>
      </c>
      <c r="H81" s="132">
        <v>1770573</v>
      </c>
      <c r="I81" s="132">
        <v>1106790</v>
      </c>
      <c r="J81" s="132">
        <v>1252966</v>
      </c>
      <c r="K81" s="132">
        <v>3261288</v>
      </c>
      <c r="L81" s="132">
        <v>6341017</v>
      </c>
    </row>
    <row r="82" spans="2:12" ht="15.75">
      <c r="B82" s="131" t="s">
        <v>193</v>
      </c>
      <c r="C82" s="132">
        <v>1537558</v>
      </c>
      <c r="D82" s="132">
        <v>835629</v>
      </c>
      <c r="E82" s="133">
        <v>742091</v>
      </c>
      <c r="F82" s="133">
        <v>1224185</v>
      </c>
      <c r="G82" s="132">
        <v>1537584</v>
      </c>
      <c r="H82" s="132">
        <v>543715</v>
      </c>
      <c r="I82" s="132">
        <v>586559</v>
      </c>
      <c r="J82" s="132">
        <v>668175</v>
      </c>
      <c r="K82" s="132">
        <v>1606816</v>
      </c>
      <c r="L82" s="132">
        <v>682532</v>
      </c>
    </row>
    <row r="83" spans="2:12">
      <c r="B83" s="134" t="s">
        <v>194</v>
      </c>
      <c r="C83" s="135">
        <v>4660876</v>
      </c>
      <c r="D83" s="135">
        <v>3468816</v>
      </c>
      <c r="E83" s="136">
        <v>2851903</v>
      </c>
      <c r="F83" s="136">
        <v>2024457</v>
      </c>
      <c r="G83" s="135">
        <v>2257454</v>
      </c>
      <c r="H83" s="135">
        <v>2314288</v>
      </c>
      <c r="I83" s="135">
        <v>1693349</v>
      </c>
      <c r="J83" s="135">
        <v>1921141</v>
      </c>
      <c r="K83" s="135">
        <v>4868104</v>
      </c>
      <c r="L83" s="135">
        <v>7023549</v>
      </c>
    </row>
    <row r="84" spans="2:12" ht="30">
      <c r="B84" s="131" t="s">
        <v>195</v>
      </c>
      <c r="C84" s="137">
        <v>-490131</v>
      </c>
      <c r="D84" s="137">
        <v>-523375</v>
      </c>
      <c r="E84" s="133">
        <v>-1309540</v>
      </c>
      <c r="F84" s="133">
        <v>-80402</v>
      </c>
      <c r="G84" s="137">
        <v>1050703</v>
      </c>
      <c r="H84" s="137">
        <v>-663783</v>
      </c>
      <c r="I84" s="137">
        <v>146176</v>
      </c>
      <c r="J84" s="137">
        <v>2008322</v>
      </c>
      <c r="K84" s="137">
        <v>3079729</v>
      </c>
      <c r="L84" s="137">
        <v>-3424970</v>
      </c>
    </row>
    <row r="85" spans="2:12" ht="30">
      <c r="B85" s="131" t="s">
        <v>279</v>
      </c>
      <c r="C85" s="137">
        <v>-701929</v>
      </c>
      <c r="D85" s="137">
        <v>-93538</v>
      </c>
      <c r="E85" s="133">
        <v>482094</v>
      </c>
      <c r="F85" s="133">
        <v>313399</v>
      </c>
      <c r="G85" s="137">
        <v>-993869</v>
      </c>
      <c r="H85" s="137">
        <v>42844</v>
      </c>
      <c r="I85" s="137">
        <v>81616</v>
      </c>
      <c r="J85" s="137">
        <v>938641</v>
      </c>
      <c r="K85" s="137">
        <v>-924284</v>
      </c>
      <c r="L85" s="137">
        <v>1473782</v>
      </c>
    </row>
    <row r="86" spans="2:12" ht="6.75" customHeight="1">
      <c r="B86" s="138"/>
      <c r="C86" s="139"/>
      <c r="D86" s="139"/>
      <c r="E86" s="140"/>
      <c r="F86" s="140"/>
      <c r="G86" s="139"/>
      <c r="H86" s="139"/>
      <c r="I86" s="139"/>
      <c r="J86" s="139"/>
      <c r="K86" s="139"/>
      <c r="L86" s="139"/>
    </row>
    <row r="87" spans="2:12" ht="15.75">
      <c r="B87" s="131" t="s">
        <v>196</v>
      </c>
      <c r="C87" s="132">
        <v>2633187</v>
      </c>
      <c r="D87" s="132">
        <v>2109812</v>
      </c>
      <c r="E87" s="141">
        <v>800272</v>
      </c>
      <c r="F87" s="141">
        <v>719870</v>
      </c>
      <c r="G87" s="132">
        <v>1770573</v>
      </c>
      <c r="H87" s="132">
        <v>1106790</v>
      </c>
      <c r="I87" s="132">
        <v>1252966</v>
      </c>
      <c r="J87" s="132">
        <v>3261288</v>
      </c>
      <c r="K87" s="132">
        <v>6341017</v>
      </c>
      <c r="L87" s="132">
        <v>2916047</v>
      </c>
    </row>
    <row r="88" spans="2:12" ht="15.75">
      <c r="B88" s="131" t="s">
        <v>280</v>
      </c>
      <c r="C88" s="132">
        <v>835629</v>
      </c>
      <c r="D88" s="132">
        <v>742091</v>
      </c>
      <c r="E88" s="141">
        <v>1224185</v>
      </c>
      <c r="F88" s="141">
        <v>1537584</v>
      </c>
      <c r="G88" s="132">
        <v>543715</v>
      </c>
      <c r="H88" s="132">
        <v>586559</v>
      </c>
      <c r="I88" s="132">
        <v>668175</v>
      </c>
      <c r="J88" s="132">
        <v>1606816</v>
      </c>
      <c r="K88" s="132">
        <v>682532</v>
      </c>
      <c r="L88" s="132">
        <v>2156314</v>
      </c>
    </row>
    <row r="89" spans="2:12">
      <c r="B89" s="134" t="s">
        <v>197</v>
      </c>
      <c r="C89" s="135">
        <v>3468816</v>
      </c>
      <c r="D89" s="135">
        <v>2851903</v>
      </c>
      <c r="E89" s="142">
        <v>2024457</v>
      </c>
      <c r="F89" s="142">
        <v>2257454</v>
      </c>
      <c r="G89" s="135">
        <v>2314288</v>
      </c>
      <c r="H89" s="135">
        <v>1693349</v>
      </c>
      <c r="I89" s="135">
        <v>1921141</v>
      </c>
      <c r="J89" s="135">
        <v>4868104</v>
      </c>
      <c r="K89" s="135">
        <v>7023549</v>
      </c>
      <c r="L89" s="135">
        <v>5072361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A13"/>
  <sheetViews>
    <sheetView showGridLines="0" zoomScale="60" zoomScaleNormal="60" workbookViewId="0">
      <selection activeCell="AA3" sqref="AA3:AA6"/>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9.7109375" bestFit="1" customWidth="1"/>
    <col min="13" max="27" width="9.140625" customWidth="1"/>
  </cols>
  <sheetData>
    <row r="1" spans="2:27" ht="44.25" customHeight="1"/>
    <row r="2" spans="2:27">
      <c r="B2" s="144" t="s">
        <v>234</v>
      </c>
      <c r="C2" s="144" t="s">
        <v>37</v>
      </c>
      <c r="D2" s="144" t="s">
        <v>38</v>
      </c>
      <c r="E2" s="144" t="s">
        <v>39</v>
      </c>
      <c r="F2" s="144" t="s">
        <v>40</v>
      </c>
      <c r="G2" s="144" t="s">
        <v>41</v>
      </c>
      <c r="H2" s="144" t="s">
        <v>42</v>
      </c>
      <c r="I2" s="144" t="s">
        <v>43</v>
      </c>
      <c r="J2" s="144" t="s">
        <v>215</v>
      </c>
      <c r="K2" s="144" t="s">
        <v>240</v>
      </c>
      <c r="L2" s="144" t="s">
        <v>251</v>
      </c>
      <c r="M2" s="144" t="s">
        <v>263</v>
      </c>
      <c r="N2" s="144" t="s">
        <v>270</v>
      </c>
      <c r="O2" s="144" t="s">
        <v>283</v>
      </c>
      <c r="P2" s="144" t="s">
        <v>305</v>
      </c>
      <c r="Q2" s="144" t="s">
        <v>313</v>
      </c>
      <c r="R2" s="144" t="s">
        <v>323</v>
      </c>
      <c r="S2" s="144" t="s">
        <v>331</v>
      </c>
      <c r="T2" s="144" t="s">
        <v>334</v>
      </c>
      <c r="U2" s="144" t="s">
        <v>348</v>
      </c>
      <c r="V2" s="144" t="s">
        <v>361</v>
      </c>
      <c r="W2" s="144" t="s">
        <v>362</v>
      </c>
      <c r="X2" s="144" t="s">
        <v>411</v>
      </c>
      <c r="Y2" s="144" t="s">
        <v>413</v>
      </c>
      <c r="Z2" s="144" t="s">
        <v>419</v>
      </c>
      <c r="AA2" s="144" t="s">
        <v>421</v>
      </c>
    </row>
    <row r="3" spans="2:27" ht="15.75">
      <c r="B3" s="144" t="s">
        <v>12</v>
      </c>
      <c r="C3" s="85">
        <v>18</v>
      </c>
      <c r="D3" s="85">
        <v>25</v>
      </c>
      <c r="E3" s="85">
        <v>42</v>
      </c>
      <c r="F3" s="85">
        <v>90</v>
      </c>
      <c r="G3" s="85">
        <v>56</v>
      </c>
      <c r="H3" s="85">
        <v>57</v>
      </c>
      <c r="I3" s="85">
        <v>72</v>
      </c>
      <c r="J3" s="85">
        <v>178</v>
      </c>
      <c r="K3" s="85">
        <v>66</v>
      </c>
      <c r="L3" s="85">
        <v>80</v>
      </c>
      <c r="M3" s="85">
        <v>116</v>
      </c>
      <c r="N3" s="85">
        <v>286</v>
      </c>
      <c r="O3" s="85">
        <v>145</v>
      </c>
      <c r="P3" s="85">
        <v>139</v>
      </c>
      <c r="Q3" s="85">
        <v>126</v>
      </c>
      <c r="R3" s="85">
        <v>165</v>
      </c>
      <c r="S3" s="85">
        <v>187</v>
      </c>
      <c r="T3" s="85">
        <v>273</v>
      </c>
      <c r="U3" s="85">
        <v>237.46218998000001</v>
      </c>
      <c r="V3" s="85">
        <v>463.04530907999998</v>
      </c>
      <c r="W3" s="85">
        <v>240.92500000000001</v>
      </c>
      <c r="X3" s="85">
        <v>351.88525848000012</v>
      </c>
      <c r="Y3" s="85">
        <v>531.56498883999984</v>
      </c>
      <c r="Z3" s="85">
        <v>664.32471347000001</v>
      </c>
      <c r="AA3" s="85">
        <v>542.54355598999996</v>
      </c>
    </row>
    <row r="4" spans="2:27" ht="15.75">
      <c r="B4" s="144" t="s">
        <v>11</v>
      </c>
      <c r="C4" s="85">
        <v>3</v>
      </c>
      <c r="D4" s="85">
        <v>4</v>
      </c>
      <c r="E4" s="85">
        <v>4</v>
      </c>
      <c r="F4" s="85">
        <v>8</v>
      </c>
      <c r="G4" s="85">
        <v>5</v>
      </c>
      <c r="H4" s="85">
        <v>4</v>
      </c>
      <c r="I4" s="85">
        <v>5</v>
      </c>
      <c r="J4" s="85">
        <v>10</v>
      </c>
      <c r="K4" s="85">
        <v>2</v>
      </c>
      <c r="L4" s="85">
        <v>3</v>
      </c>
      <c r="M4" s="85">
        <v>1</v>
      </c>
      <c r="N4" s="85">
        <v>6</v>
      </c>
      <c r="O4" s="85">
        <v>3</v>
      </c>
      <c r="P4" s="85">
        <v>4</v>
      </c>
      <c r="Q4" s="85">
        <v>5</v>
      </c>
      <c r="R4" s="85">
        <v>3</v>
      </c>
      <c r="S4" s="85">
        <v>7</v>
      </c>
      <c r="T4" s="85">
        <v>1</v>
      </c>
      <c r="U4" s="85">
        <v>3.4730000000000203</v>
      </c>
      <c r="V4" s="85">
        <v>5.2639999999999816</v>
      </c>
      <c r="W4" s="85">
        <v>1.6299999999999955</v>
      </c>
      <c r="X4" s="85">
        <v>8.9809999999999945</v>
      </c>
      <c r="Y4" s="85">
        <v>7.3490000000000606</v>
      </c>
      <c r="Z4" s="85">
        <v>13.427</v>
      </c>
      <c r="AA4" s="85">
        <v>4.6929999999999996</v>
      </c>
    </row>
    <row r="5" spans="2:27" ht="15.75">
      <c r="B5" s="144" t="s">
        <v>23</v>
      </c>
      <c r="C5" s="85">
        <v>3</v>
      </c>
      <c r="D5" s="85">
        <v>5</v>
      </c>
      <c r="E5" s="85">
        <v>5</v>
      </c>
      <c r="F5" s="85">
        <v>9</v>
      </c>
      <c r="G5" s="85">
        <v>4</v>
      </c>
      <c r="H5" s="85">
        <v>6</v>
      </c>
      <c r="I5" s="85">
        <v>14</v>
      </c>
      <c r="J5" s="85">
        <v>52</v>
      </c>
      <c r="K5" s="85">
        <v>21</v>
      </c>
      <c r="L5" s="85">
        <v>23</v>
      </c>
      <c r="M5" s="85">
        <v>23</v>
      </c>
      <c r="N5" s="85">
        <v>65</v>
      </c>
      <c r="O5" s="85">
        <v>34</v>
      </c>
      <c r="P5" s="85">
        <v>50</v>
      </c>
      <c r="Q5" s="85">
        <v>48</v>
      </c>
      <c r="R5" s="85">
        <v>77</v>
      </c>
      <c r="S5" s="85">
        <v>45</v>
      </c>
      <c r="T5" s="85">
        <v>61</v>
      </c>
      <c r="U5" s="85">
        <v>64</v>
      </c>
      <c r="V5" s="85">
        <v>136.40299999999999</v>
      </c>
      <c r="W5" s="85">
        <v>42.392000000000003</v>
      </c>
      <c r="X5" s="85">
        <v>67.290999999999997</v>
      </c>
      <c r="Y5" s="85">
        <v>65.581000000000003</v>
      </c>
      <c r="Z5" s="85">
        <v>189.11099999999999</v>
      </c>
      <c r="AA5" s="85">
        <v>33.228999999999999</v>
      </c>
    </row>
    <row r="6" spans="2:27" ht="15.75">
      <c r="B6" s="145" t="s">
        <v>17</v>
      </c>
      <c r="C6" s="85">
        <v>23</v>
      </c>
      <c r="D6" s="85">
        <v>34</v>
      </c>
      <c r="E6" s="85">
        <v>52</v>
      </c>
      <c r="F6" s="85">
        <v>107</v>
      </c>
      <c r="G6" s="85">
        <v>65</v>
      </c>
      <c r="H6" s="85">
        <v>67</v>
      </c>
      <c r="I6" s="85">
        <v>90</v>
      </c>
      <c r="J6" s="85">
        <v>241</v>
      </c>
      <c r="K6" s="85">
        <v>89</v>
      </c>
      <c r="L6" s="85">
        <v>105</v>
      </c>
      <c r="M6" s="85">
        <v>140</v>
      </c>
      <c r="N6" s="85">
        <v>356</v>
      </c>
      <c r="O6" s="85">
        <v>182</v>
      </c>
      <c r="P6" s="85">
        <v>193</v>
      </c>
      <c r="Q6" s="85">
        <v>179</v>
      </c>
      <c r="R6" s="85">
        <v>245</v>
      </c>
      <c r="S6" s="85">
        <v>239</v>
      </c>
      <c r="T6" s="85">
        <v>335</v>
      </c>
      <c r="U6" s="85">
        <v>305</v>
      </c>
      <c r="V6" s="85">
        <v>604.71230907999995</v>
      </c>
      <c r="W6" s="85">
        <v>284.947</v>
      </c>
      <c r="X6" s="85">
        <v>428.15725848000011</v>
      </c>
      <c r="Y6" s="85">
        <v>604.49498883999991</v>
      </c>
      <c r="Z6" s="85">
        <v>866.86271347000002</v>
      </c>
      <c r="AA6" s="85">
        <v>580.46555598999998</v>
      </c>
    </row>
    <row r="8" spans="2:27" ht="15.75">
      <c r="B8" s="144" t="s">
        <v>234</v>
      </c>
      <c r="C8" s="144">
        <v>2013</v>
      </c>
      <c r="D8" s="144">
        <v>2014</v>
      </c>
      <c r="E8" s="144">
        <v>2015</v>
      </c>
      <c r="F8" s="144">
        <v>2016</v>
      </c>
      <c r="G8" s="144">
        <v>2017</v>
      </c>
      <c r="H8" s="144">
        <v>2018</v>
      </c>
      <c r="I8" s="144">
        <v>2019</v>
      </c>
      <c r="J8" s="144">
        <v>2020</v>
      </c>
      <c r="K8" s="144">
        <v>2021</v>
      </c>
      <c r="L8" s="144">
        <v>2022</v>
      </c>
      <c r="M8" s="146"/>
    </row>
    <row r="9" spans="2:27" ht="15.75">
      <c r="B9" s="144" t="s">
        <v>12</v>
      </c>
      <c r="C9" s="85">
        <v>600</v>
      </c>
      <c r="D9" s="85">
        <v>964</v>
      </c>
      <c r="E9" s="85">
        <v>622</v>
      </c>
      <c r="F9" s="85">
        <v>179</v>
      </c>
      <c r="G9" s="85">
        <v>176</v>
      </c>
      <c r="H9" s="85">
        <v>363</v>
      </c>
      <c r="I9" s="85">
        <v>548</v>
      </c>
      <c r="J9" s="85">
        <v>576</v>
      </c>
      <c r="K9" s="85">
        <v>1160.4875968899998</v>
      </c>
      <c r="L9" s="85">
        <v>1789.25105564</v>
      </c>
      <c r="M9" s="146"/>
    </row>
    <row r="10" spans="2:27" ht="15.75">
      <c r="B10" s="144" t="s">
        <v>11</v>
      </c>
      <c r="C10" s="85">
        <v>64</v>
      </c>
      <c r="D10" s="85">
        <v>52</v>
      </c>
      <c r="E10" s="85">
        <v>50</v>
      </c>
      <c r="F10" s="85">
        <v>13</v>
      </c>
      <c r="G10" s="85">
        <v>19</v>
      </c>
      <c r="H10" s="85">
        <v>24</v>
      </c>
      <c r="I10" s="85">
        <v>12</v>
      </c>
      <c r="J10" s="85">
        <v>14</v>
      </c>
      <c r="K10" s="85">
        <v>17.004999999999967</v>
      </c>
      <c r="L10" s="85">
        <v>30.835999999999999</v>
      </c>
      <c r="M10" s="146"/>
    </row>
    <row r="11" spans="2:27" ht="15.75">
      <c r="B11" s="144" t="s">
        <v>23</v>
      </c>
      <c r="C11" s="85">
        <v>317</v>
      </c>
      <c r="D11" s="85">
        <v>94</v>
      </c>
      <c r="E11" s="85">
        <v>112</v>
      </c>
      <c r="F11" s="85">
        <v>34</v>
      </c>
      <c r="G11" s="85">
        <v>21</v>
      </c>
      <c r="H11" s="85">
        <v>76</v>
      </c>
      <c r="I11" s="85">
        <v>132</v>
      </c>
      <c r="J11" s="85">
        <v>209</v>
      </c>
      <c r="K11" s="85">
        <v>305.79599999999999</v>
      </c>
      <c r="L11" s="85">
        <v>364.375</v>
      </c>
      <c r="M11" s="146"/>
    </row>
    <row r="12" spans="2:27" ht="15.75">
      <c r="B12" s="145" t="s">
        <v>17</v>
      </c>
      <c r="C12" s="85">
        <v>981</v>
      </c>
      <c r="D12" s="85">
        <v>1110</v>
      </c>
      <c r="E12" s="85">
        <v>784</v>
      </c>
      <c r="F12" s="85">
        <v>225</v>
      </c>
      <c r="G12" s="85">
        <v>216</v>
      </c>
      <c r="H12" s="85">
        <v>463</v>
      </c>
      <c r="I12" s="85">
        <v>690</v>
      </c>
      <c r="J12" s="85">
        <v>799</v>
      </c>
      <c r="K12" s="85">
        <v>1483.28859689</v>
      </c>
      <c r="L12" s="85">
        <v>2184.46205564</v>
      </c>
      <c r="M12" s="146"/>
    </row>
    <row r="13" spans="2:27">
      <c r="B13" s="147"/>
      <c r="C13" s="148"/>
      <c r="D13" s="148"/>
      <c r="E13" s="148"/>
      <c r="F13" s="148"/>
      <c r="G13" s="147"/>
      <c r="H13" s="148"/>
      <c r="I13" s="148"/>
      <c r="J13" s="148"/>
      <c r="K13" s="148"/>
      <c r="L13" s="148"/>
      <c r="M13" s="148"/>
      <c r="N13" s="148"/>
      <c r="O13" s="148"/>
      <c r="P13" s="148"/>
      <c r="Q13" s="148"/>
      <c r="R13" s="148"/>
      <c r="S13" s="148"/>
      <c r="T13" s="148"/>
      <c r="U13" s="148"/>
      <c r="V13" s="148"/>
      <c r="W13" s="148"/>
      <c r="X13" s="148"/>
      <c r="Y13" s="148"/>
      <c r="Z13" s="148"/>
      <c r="AA13" s="148"/>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zoomScale="40" zoomScaleNormal="40" workbookViewId="0"/>
  </sheetViews>
  <sheetFormatPr defaultRowHeight="15"/>
  <cols>
    <col min="2" max="2" width="78.140625" customWidth="1"/>
    <col min="3" max="3" width="22.28515625" customWidth="1"/>
    <col min="13" max="13" width="11.42578125" customWidth="1"/>
    <col min="16" max="16" width="9.140625" customWidth="1"/>
    <col min="24" max="24" width="9.140625" customWidth="1"/>
  </cols>
  <sheetData>
    <row r="2" ht="13.5" customHeight="1"/>
    <row r="9" ht="15" customHeight="1"/>
    <row r="10" ht="15" customHeight="1"/>
    <row r="11" ht="15" customHeight="1"/>
    <row r="12" ht="15" customHeight="1"/>
    <row r="13" ht="15" customHeight="1"/>
    <row r="14" ht="15" customHeight="1"/>
    <row r="15" ht="15" customHeight="1"/>
    <row r="16" ht="15" customHeight="1"/>
    <row r="17" spans="2:3" ht="15" customHeight="1"/>
    <row r="18" spans="2:3" ht="15" customHeight="1"/>
    <row r="19" spans="2:3" ht="15" customHeight="1"/>
    <row r="20" spans="2:3" ht="15" customHeight="1"/>
    <row r="21" spans="2:3" ht="15" customHeight="1"/>
    <row r="22" spans="2:3" ht="15" customHeight="1"/>
    <row r="23" spans="2:3" ht="15" customHeight="1"/>
    <row r="24" spans="2:3" ht="15" customHeight="1"/>
    <row r="25" spans="2:3" ht="15" customHeight="1"/>
    <row r="26" spans="2:3" ht="15" customHeight="1"/>
    <row r="27" spans="2:3" ht="15" customHeight="1"/>
    <row r="28" spans="2:3" ht="15" customHeight="1"/>
    <row r="29" spans="2:3" ht="15" customHeight="1"/>
    <row r="30" spans="2:3" ht="15" customHeight="1"/>
    <row r="31" spans="2:3" ht="15" customHeight="1"/>
    <row r="32" spans="2:3" ht="43.5" customHeight="1">
      <c r="B32" s="1" t="s">
        <v>0</v>
      </c>
      <c r="C32" s="2" t="s">
        <v>1</v>
      </c>
    </row>
    <row r="33" ht="15" customHeight="1"/>
    <row r="34" ht="15" customHeight="1"/>
    <row r="35" ht="15" customHeight="1"/>
    <row r="36" ht="15" customHeight="1"/>
    <row r="37" ht="15" customHeight="1"/>
    <row r="38" ht="15" customHeight="1"/>
    <row r="39" ht="15" customHeight="1"/>
    <row r="40" ht="15" customHeight="1"/>
    <row r="41" ht="15" customHeight="1"/>
    <row r="62" spans="37:52" ht="27">
      <c r="AK62" s="380"/>
      <c r="AL62" s="380"/>
      <c r="AM62" s="380"/>
      <c r="AN62" s="380"/>
      <c r="AO62" s="380"/>
      <c r="AP62" s="380"/>
      <c r="AQ62" s="380"/>
      <c r="AR62" s="380"/>
      <c r="AS62" s="380"/>
      <c r="AT62" s="380"/>
      <c r="AU62" s="380"/>
      <c r="AV62" s="380"/>
      <c r="AW62" s="380"/>
      <c r="AX62" s="380"/>
      <c r="AY62" s="380"/>
      <c r="AZ62" s="380"/>
    </row>
    <row r="65" spans="15:33" ht="28.5" customHeight="1">
      <c r="O65" t="s">
        <v>26</v>
      </c>
      <c r="Q65" s="379" t="s">
        <v>2</v>
      </c>
      <c r="R65" s="379"/>
      <c r="S65" s="379"/>
      <c r="T65" s="379"/>
      <c r="U65" s="379"/>
      <c r="V65" s="379"/>
      <c r="W65" s="379"/>
      <c r="X65" s="379"/>
      <c r="Y65" s="379"/>
      <c r="Z65" s="379"/>
      <c r="AA65" s="379"/>
      <c r="AB65" s="379"/>
      <c r="AC65" s="379"/>
      <c r="AD65" s="379"/>
      <c r="AE65" s="379"/>
      <c r="AF65" s="379"/>
      <c r="AG65" s="379"/>
    </row>
    <row r="66" spans="15:33" ht="28.5" customHeight="1">
      <c r="Q66" s="379" t="s">
        <v>3</v>
      </c>
      <c r="R66" s="379"/>
      <c r="S66" s="379"/>
      <c r="T66" s="379"/>
      <c r="U66" s="379"/>
      <c r="V66" s="379"/>
      <c r="W66" s="379"/>
      <c r="X66" s="379"/>
      <c r="Y66" s="379"/>
      <c r="Z66" s="379"/>
      <c r="AA66" s="379"/>
      <c r="AB66" s="379"/>
      <c r="AC66" s="379"/>
      <c r="AD66" s="379"/>
      <c r="AE66" s="379"/>
      <c r="AF66" s="379"/>
      <c r="AG66" s="379"/>
    </row>
    <row r="67" spans="15:33" ht="28.5" customHeight="1">
      <c r="Q67" s="379" t="s">
        <v>4</v>
      </c>
      <c r="R67" s="379"/>
      <c r="S67" s="379"/>
      <c r="T67" s="379"/>
      <c r="U67" s="379"/>
      <c r="V67" s="379"/>
      <c r="W67" s="379"/>
      <c r="X67" s="379"/>
      <c r="Y67" s="379"/>
      <c r="Z67" s="379"/>
      <c r="AA67" s="379"/>
      <c r="AB67" s="379"/>
      <c r="AC67" s="379"/>
      <c r="AD67" s="379"/>
      <c r="AE67" s="379"/>
      <c r="AF67" s="379"/>
      <c r="AG67" s="379"/>
    </row>
    <row r="68" spans="15:33" ht="28.5" customHeight="1">
      <c r="Q68" s="379" t="s">
        <v>5</v>
      </c>
      <c r="R68" s="379"/>
      <c r="S68" s="379"/>
      <c r="T68" s="379"/>
      <c r="U68" s="379"/>
      <c r="V68" s="379"/>
      <c r="W68" s="379"/>
      <c r="X68" s="379"/>
      <c r="Y68" s="379"/>
      <c r="Z68" s="379"/>
      <c r="AA68" s="379"/>
      <c r="AB68" s="379"/>
      <c r="AC68" s="379"/>
      <c r="AD68" s="379"/>
      <c r="AE68" s="379"/>
      <c r="AF68" s="379"/>
      <c r="AG68" s="379"/>
    </row>
    <row r="69" spans="15:33" ht="27" customHeight="1">
      <c r="Q69" s="379" t="s">
        <v>214</v>
      </c>
      <c r="R69" s="379"/>
      <c r="S69" s="379"/>
      <c r="T69" s="379"/>
      <c r="U69" s="379"/>
      <c r="V69" s="379"/>
      <c r="W69" s="379"/>
      <c r="X69" s="379"/>
      <c r="Y69" s="379"/>
      <c r="Z69" s="379"/>
      <c r="AA69" s="379"/>
      <c r="AB69" s="379"/>
      <c r="AC69" s="379"/>
      <c r="AD69" s="379"/>
      <c r="AE69" s="379"/>
      <c r="AF69" s="379"/>
      <c r="AG69" s="379"/>
    </row>
  </sheetData>
  <mergeCells count="6">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6:AG66" r:id="rId7" display="Formulário de Referência" xr:uid="{00000000-0004-0000-0100-000006000000}"/>
    <hyperlink ref="Q67:AG67" r:id="rId8" display="Estatuto Social" xr:uid="{00000000-0004-0000-0100-000007000000}"/>
    <hyperlink ref="Q68:AG68" r:id="rId9" display="Acordo de Acionistas" xr:uid="{00000000-0004-0000-0100-000008000000}"/>
    <hyperlink ref="C32" r:id="rId10" xr:uid="{00000000-0004-0000-0100-000009000000}"/>
  </hyperlinks>
  <pageMargins left="0.7" right="0.7" top="0.75" bottom="0.75" header="0.3" footer="0.3"/>
  <pageSetup paperSize="9" orientation="portrait" r:id="rId11"/>
  <headerFooter>
    <oddFooter>&amp;L&amp;1#&amp;"Calibri"&amp;10 Classificação da informação: Pública</oddFooter>
  </headerFooter>
  <drawing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B1:AA7"/>
  <sheetViews>
    <sheetView showGridLines="0" zoomScale="60" zoomScaleNormal="60" workbookViewId="0">
      <selection activeCell="AA6" sqref="AA6:AA7"/>
    </sheetView>
  </sheetViews>
  <sheetFormatPr defaultRowHeight="15"/>
  <cols>
    <col min="2" max="2" width="15.28515625" bestFit="1" customWidth="1"/>
  </cols>
  <sheetData>
    <row r="1" spans="2:27" ht="42.75" customHeight="1"/>
    <row r="2" spans="2:27" ht="15.75">
      <c r="B2" s="149" t="s">
        <v>198</v>
      </c>
      <c r="C2" s="149" t="s">
        <v>37</v>
      </c>
      <c r="D2" s="149" t="s">
        <v>38</v>
      </c>
      <c r="E2" s="149" t="s">
        <v>39</v>
      </c>
      <c r="F2" s="149" t="s">
        <v>40</v>
      </c>
      <c r="G2" s="149" t="s">
        <v>41</v>
      </c>
      <c r="H2" s="149" t="s">
        <v>42</v>
      </c>
      <c r="I2" s="149" t="s">
        <v>43</v>
      </c>
      <c r="J2" s="149" t="s">
        <v>215</v>
      </c>
      <c r="K2" s="149" t="s">
        <v>240</v>
      </c>
      <c r="L2" s="149" t="s">
        <v>251</v>
      </c>
      <c r="M2" s="149" t="s">
        <v>263</v>
      </c>
      <c r="N2" s="149" t="s">
        <v>270</v>
      </c>
      <c r="O2" s="149" t="s">
        <v>283</v>
      </c>
      <c r="P2" s="149" t="s">
        <v>305</v>
      </c>
      <c r="Q2" s="149" t="s">
        <v>313</v>
      </c>
      <c r="R2" s="149" t="s">
        <v>323</v>
      </c>
      <c r="S2" s="149" t="s">
        <v>331</v>
      </c>
      <c r="T2" s="149" t="s">
        <v>334</v>
      </c>
      <c r="U2" s="149" t="s">
        <v>348</v>
      </c>
      <c r="V2" s="149" t="s">
        <v>361</v>
      </c>
      <c r="W2" s="149" t="s">
        <v>362</v>
      </c>
      <c r="X2" s="149" t="s">
        <v>411</v>
      </c>
      <c r="Y2" s="149" t="s">
        <v>413</v>
      </c>
      <c r="Z2" s="149" t="s">
        <v>419</v>
      </c>
      <c r="AA2" s="149" t="s">
        <v>421</v>
      </c>
    </row>
    <row r="3" spans="2:27" ht="15.75">
      <c r="B3" s="149" t="s">
        <v>199</v>
      </c>
      <c r="C3" s="150">
        <v>2.6</v>
      </c>
      <c r="D3" s="150">
        <v>3.1</v>
      </c>
      <c r="E3" s="150">
        <v>3.1</v>
      </c>
      <c r="F3" s="150">
        <v>2.8</v>
      </c>
      <c r="G3" s="150">
        <v>3</v>
      </c>
      <c r="H3" s="150">
        <v>3.7</v>
      </c>
      <c r="I3" s="150">
        <v>3.5</v>
      </c>
      <c r="J3" s="150">
        <v>4</v>
      </c>
      <c r="K3" s="150">
        <v>3.7</v>
      </c>
      <c r="L3" s="150">
        <v>4.2</v>
      </c>
      <c r="M3" s="150">
        <v>4.8</v>
      </c>
      <c r="N3" s="150">
        <v>4.2</v>
      </c>
      <c r="O3" s="150">
        <v>4.4000000000000004</v>
      </c>
      <c r="P3" s="150">
        <v>4.0999999999999996</v>
      </c>
      <c r="Q3" s="150">
        <v>3.1</v>
      </c>
      <c r="R3" s="150">
        <v>2.9</v>
      </c>
      <c r="S3" s="150">
        <v>4.9000000000000004</v>
      </c>
      <c r="T3" s="150">
        <v>6.9</v>
      </c>
      <c r="U3" s="150">
        <v>8.1920000000000002</v>
      </c>
      <c r="V3" s="150">
        <v>7.84</v>
      </c>
      <c r="W3" s="150">
        <v>8.7750000000000004</v>
      </c>
      <c r="X3" s="150">
        <v>10.031000000000001</v>
      </c>
      <c r="Y3" s="150">
        <v>10.7</v>
      </c>
      <c r="Z3" s="150">
        <v>10.577999999999999</v>
      </c>
      <c r="AA3" s="150">
        <v>9.8450000000000006</v>
      </c>
    </row>
    <row r="5" spans="2:27" ht="15.75">
      <c r="B5" s="149" t="s">
        <v>200</v>
      </c>
      <c r="C5" s="149" t="s">
        <v>37</v>
      </c>
      <c r="D5" s="149" t="s">
        <v>38</v>
      </c>
      <c r="E5" s="149" t="s">
        <v>39</v>
      </c>
      <c r="F5" s="149" t="s">
        <v>40</v>
      </c>
      <c r="G5" s="149" t="s">
        <v>41</v>
      </c>
      <c r="H5" s="149" t="s">
        <v>42</v>
      </c>
      <c r="I5" s="149" t="s">
        <v>43</v>
      </c>
      <c r="J5" s="149" t="s">
        <v>215</v>
      </c>
      <c r="K5" s="149" t="s">
        <v>240</v>
      </c>
      <c r="L5" s="149" t="s">
        <v>251</v>
      </c>
      <c r="M5" s="149" t="s">
        <v>263</v>
      </c>
      <c r="N5" s="149" t="s">
        <v>270</v>
      </c>
      <c r="O5" s="149" t="s">
        <v>283</v>
      </c>
      <c r="P5" s="149" t="s">
        <v>305</v>
      </c>
      <c r="Q5" s="149" t="s">
        <v>313</v>
      </c>
      <c r="R5" s="149" t="s">
        <v>323</v>
      </c>
      <c r="S5" s="149" t="s">
        <v>331</v>
      </c>
      <c r="T5" s="149" t="s">
        <v>334</v>
      </c>
      <c r="U5" s="149" t="s">
        <v>348</v>
      </c>
      <c r="V5" s="149" t="s">
        <v>361</v>
      </c>
      <c r="W5" s="149" t="s">
        <v>362</v>
      </c>
      <c r="X5" s="149" t="s">
        <v>411</v>
      </c>
      <c r="Y5" s="149" t="s">
        <v>413</v>
      </c>
      <c r="Z5" s="149" t="s">
        <v>419</v>
      </c>
      <c r="AA5" s="149" t="s">
        <v>421</v>
      </c>
    </row>
    <row r="6" spans="2:27" ht="15.75">
      <c r="B6" s="149" t="s">
        <v>201</v>
      </c>
      <c r="C6" s="151">
        <v>648</v>
      </c>
      <c r="D6" s="151">
        <v>620</v>
      </c>
      <c r="E6" s="151">
        <v>599</v>
      </c>
      <c r="F6" s="151">
        <v>554</v>
      </c>
      <c r="G6" s="151">
        <v>566</v>
      </c>
      <c r="H6" s="151">
        <v>733</v>
      </c>
      <c r="I6" s="151">
        <v>648</v>
      </c>
      <c r="J6" s="151">
        <v>553</v>
      </c>
      <c r="K6" s="151">
        <v>689</v>
      </c>
      <c r="L6" s="151">
        <v>669</v>
      </c>
      <c r="M6" s="151">
        <v>772</v>
      </c>
      <c r="N6" s="151">
        <v>678</v>
      </c>
      <c r="O6" s="151">
        <v>632</v>
      </c>
      <c r="P6" s="151">
        <v>606</v>
      </c>
      <c r="Q6" s="151">
        <v>555</v>
      </c>
      <c r="R6" s="151">
        <v>597</v>
      </c>
      <c r="S6" s="151">
        <v>728</v>
      </c>
      <c r="T6" s="151">
        <v>746</v>
      </c>
      <c r="U6" s="151">
        <v>887</v>
      </c>
      <c r="V6" s="151">
        <v>812</v>
      </c>
      <c r="W6" s="151">
        <v>734</v>
      </c>
      <c r="X6" s="151">
        <v>753</v>
      </c>
      <c r="Y6" s="151">
        <v>821</v>
      </c>
      <c r="Z6" s="151">
        <v>1009</v>
      </c>
      <c r="AA6" s="151">
        <v>1163</v>
      </c>
    </row>
    <row r="7" spans="2:27" ht="15.75">
      <c r="B7" s="149" t="s">
        <v>202</v>
      </c>
      <c r="C7" s="152">
        <v>63</v>
      </c>
      <c r="D7" s="152">
        <v>56</v>
      </c>
      <c r="E7" s="152">
        <v>54</v>
      </c>
      <c r="F7" s="152">
        <v>47</v>
      </c>
      <c r="G7" s="152">
        <v>47</v>
      </c>
      <c r="H7" s="152">
        <v>68</v>
      </c>
      <c r="I7" s="152">
        <v>53</v>
      </c>
      <c r="J7" s="152">
        <v>49</v>
      </c>
      <c r="K7" s="152">
        <v>61</v>
      </c>
      <c r="L7" s="152">
        <v>56</v>
      </c>
      <c r="M7" s="152">
        <v>68</v>
      </c>
      <c r="N7" s="152">
        <v>62</v>
      </c>
      <c r="O7" s="152">
        <v>56</v>
      </c>
      <c r="P7" s="152">
        <v>91</v>
      </c>
      <c r="Q7" s="152">
        <v>55</v>
      </c>
      <c r="R7" s="152">
        <v>48</v>
      </c>
      <c r="S7" s="152">
        <v>52</v>
      </c>
      <c r="T7" s="152">
        <v>52</v>
      </c>
      <c r="U7" s="152">
        <v>69</v>
      </c>
      <c r="V7" s="152">
        <v>70.200167832378114</v>
      </c>
      <c r="W7" s="152">
        <v>58</v>
      </c>
      <c r="X7" s="152">
        <v>63</v>
      </c>
      <c r="Y7" s="152">
        <v>72</v>
      </c>
      <c r="Z7" s="152">
        <v>96</v>
      </c>
      <c r="AA7" s="152">
        <v>101</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B26"/>
  <sheetViews>
    <sheetView showGridLines="0" topLeftCell="U1" zoomScale="80" zoomScaleNormal="80" workbookViewId="0">
      <selection activeCell="AB4" sqref="AB4:AB11"/>
    </sheetView>
  </sheetViews>
  <sheetFormatPr defaultRowHeight="15"/>
  <cols>
    <col min="2" max="2" width="33.42578125" customWidth="1"/>
    <col min="3" max="28" width="21.42578125" customWidth="1"/>
    <col min="32" max="32" width="9.140625" customWidth="1"/>
  </cols>
  <sheetData>
    <row r="1" spans="2:28" ht="45" customHeight="1" thickBot="1"/>
    <row r="2" spans="2:28" ht="15.75" thickBot="1">
      <c r="B2" s="412" t="s">
        <v>68</v>
      </c>
      <c r="C2" s="153">
        <v>42825</v>
      </c>
      <c r="D2" s="153">
        <v>42916</v>
      </c>
      <c r="E2" s="153">
        <v>43008</v>
      </c>
      <c r="F2" s="153">
        <v>43100</v>
      </c>
      <c r="G2" s="153">
        <v>43190</v>
      </c>
      <c r="H2" s="153">
        <v>43281</v>
      </c>
      <c r="I2" s="153">
        <v>43373</v>
      </c>
      <c r="J2" s="153">
        <v>43373</v>
      </c>
      <c r="K2" s="153">
        <v>43465</v>
      </c>
      <c r="L2" s="153">
        <v>43555</v>
      </c>
      <c r="M2" s="153">
        <v>43646</v>
      </c>
      <c r="N2" s="153">
        <v>43738</v>
      </c>
      <c r="O2" s="153">
        <v>43830</v>
      </c>
      <c r="P2" s="153">
        <v>43921</v>
      </c>
      <c r="Q2" s="153">
        <v>44012</v>
      </c>
      <c r="R2" s="153">
        <v>44104</v>
      </c>
      <c r="S2" s="153">
        <v>44196</v>
      </c>
      <c r="T2" s="153">
        <v>44286</v>
      </c>
      <c r="U2" s="153">
        <v>44377</v>
      </c>
      <c r="V2" s="153">
        <v>44469</v>
      </c>
      <c r="W2" s="153">
        <v>44561</v>
      </c>
      <c r="X2" s="153">
        <v>44651</v>
      </c>
      <c r="Y2" s="153">
        <v>44742</v>
      </c>
      <c r="Z2" s="153">
        <v>44834</v>
      </c>
      <c r="AA2" s="153">
        <v>44926</v>
      </c>
      <c r="AB2" s="153">
        <v>45016</v>
      </c>
    </row>
    <row r="3" spans="2:28">
      <c r="B3" s="413"/>
      <c r="C3" s="154" t="s">
        <v>203</v>
      </c>
      <c r="D3" s="154" t="s">
        <v>203</v>
      </c>
      <c r="E3" s="154" t="s">
        <v>203</v>
      </c>
      <c r="F3" s="154" t="s">
        <v>203</v>
      </c>
      <c r="G3" s="154" t="s">
        <v>203</v>
      </c>
      <c r="H3" s="154" t="s">
        <v>203</v>
      </c>
      <c r="I3" s="154" t="s">
        <v>203</v>
      </c>
      <c r="J3" s="154" t="s">
        <v>203</v>
      </c>
      <c r="K3" s="154" t="s">
        <v>203</v>
      </c>
      <c r="L3" s="154" t="s">
        <v>203</v>
      </c>
      <c r="M3" s="154" t="s">
        <v>203</v>
      </c>
      <c r="N3" s="154" t="s">
        <v>203</v>
      </c>
      <c r="O3" s="154" t="s">
        <v>203</v>
      </c>
      <c r="P3" s="154" t="s">
        <v>203</v>
      </c>
      <c r="Q3" s="154" t="s">
        <v>203</v>
      </c>
      <c r="R3" s="154" t="s">
        <v>203</v>
      </c>
      <c r="S3" s="154" t="s">
        <v>203</v>
      </c>
      <c r="T3" s="154" t="s">
        <v>203</v>
      </c>
      <c r="U3" s="154" t="s">
        <v>203</v>
      </c>
      <c r="V3" s="154" t="s">
        <v>203</v>
      </c>
      <c r="W3" s="154" t="s">
        <v>203</v>
      </c>
      <c r="X3" s="154" t="s">
        <v>203</v>
      </c>
      <c r="Y3" s="154" t="s">
        <v>203</v>
      </c>
      <c r="Z3" s="154" t="s">
        <v>203</v>
      </c>
      <c r="AA3" s="154" t="s">
        <v>203</v>
      </c>
      <c r="AB3" s="154" t="s">
        <v>203</v>
      </c>
    </row>
    <row r="4" spans="2:28">
      <c r="B4" s="109" t="s">
        <v>204</v>
      </c>
      <c r="C4" s="155">
        <v>5161235</v>
      </c>
      <c r="D4" s="155">
        <v>5143030</v>
      </c>
      <c r="E4" s="155">
        <v>5142153</v>
      </c>
      <c r="F4" s="155">
        <v>4908319</v>
      </c>
      <c r="G4" s="155">
        <v>4590260</v>
      </c>
      <c r="H4" s="155">
        <v>4577663</v>
      </c>
      <c r="I4" s="155">
        <v>4578479</v>
      </c>
      <c r="J4" s="155">
        <v>4578479</v>
      </c>
      <c r="K4" s="155">
        <v>4581268</v>
      </c>
      <c r="L4" s="155">
        <v>4296809</v>
      </c>
      <c r="M4" s="155">
        <v>4286837</v>
      </c>
      <c r="N4" s="155">
        <v>2772978</v>
      </c>
      <c r="O4" s="155">
        <v>2081808</v>
      </c>
      <c r="P4" s="155">
        <v>2056120</v>
      </c>
      <c r="Q4" s="155">
        <v>2071651</v>
      </c>
      <c r="R4" s="155">
        <v>2048000</v>
      </c>
      <c r="S4" s="155">
        <v>2028732</v>
      </c>
      <c r="T4" s="155">
        <v>2009053</v>
      </c>
      <c r="U4" s="155">
        <v>2033293</v>
      </c>
      <c r="V4" s="155">
        <v>2006689</v>
      </c>
      <c r="W4" s="155">
        <v>2052583</v>
      </c>
      <c r="X4" s="155">
        <v>2006095</v>
      </c>
      <c r="Y4" s="155">
        <v>2059041</v>
      </c>
      <c r="Z4" s="155">
        <v>2039280</v>
      </c>
      <c r="AA4" s="155">
        <v>2219081</v>
      </c>
      <c r="AB4" s="155">
        <v>2300300</v>
      </c>
    </row>
    <row r="5" spans="2:28">
      <c r="B5" s="112" t="s">
        <v>205</v>
      </c>
      <c r="C5" s="156">
        <v>378799</v>
      </c>
      <c r="D5" s="156">
        <v>377415</v>
      </c>
      <c r="E5" s="156">
        <v>377166</v>
      </c>
      <c r="F5" s="156">
        <v>359896</v>
      </c>
      <c r="G5" s="156">
        <v>337068</v>
      </c>
      <c r="H5" s="156">
        <v>336953</v>
      </c>
      <c r="I5" s="156">
        <v>336758</v>
      </c>
      <c r="J5" s="156">
        <v>336758</v>
      </c>
      <c r="K5" s="156">
        <v>336902</v>
      </c>
      <c r="L5" s="156">
        <v>315737</v>
      </c>
      <c r="M5" s="156">
        <v>315380</v>
      </c>
      <c r="N5" s="156" t="s">
        <v>25</v>
      </c>
      <c r="O5" s="156" t="s">
        <v>25</v>
      </c>
      <c r="P5" s="156" t="s">
        <v>25</v>
      </c>
      <c r="Q5" s="156" t="s">
        <v>25</v>
      </c>
      <c r="R5" s="156" t="s">
        <v>25</v>
      </c>
      <c r="S5" s="156" t="s">
        <v>25</v>
      </c>
      <c r="T5" s="156" t="s">
        <v>25</v>
      </c>
      <c r="U5" s="156" t="s">
        <v>25</v>
      </c>
      <c r="V5" s="156" t="s">
        <v>25</v>
      </c>
      <c r="W5" s="156" t="s">
        <v>25</v>
      </c>
      <c r="X5" s="156" t="s">
        <v>25</v>
      </c>
      <c r="Y5" s="156" t="s">
        <v>25</v>
      </c>
      <c r="Z5" s="156" t="s">
        <v>25</v>
      </c>
      <c r="AA5" s="156" t="s">
        <v>25</v>
      </c>
      <c r="AB5" s="156" t="s">
        <v>25</v>
      </c>
    </row>
    <row r="6" spans="2:28">
      <c r="B6" s="112" t="s">
        <v>206</v>
      </c>
      <c r="C6" s="156">
        <v>4731318</v>
      </c>
      <c r="D6" s="156">
        <v>4722963</v>
      </c>
      <c r="E6" s="156">
        <v>4720342</v>
      </c>
      <c r="F6" s="156">
        <v>4498775</v>
      </c>
      <c r="G6" s="156">
        <v>4214913</v>
      </c>
      <c r="H6" s="156">
        <v>4214963</v>
      </c>
      <c r="I6" s="156">
        <v>4213716</v>
      </c>
      <c r="J6" s="156">
        <v>4213716</v>
      </c>
      <c r="K6" s="156">
        <v>4214159</v>
      </c>
      <c r="L6" s="156">
        <v>3948650</v>
      </c>
      <c r="M6" s="156">
        <v>3946173</v>
      </c>
      <c r="N6" s="156">
        <v>2734776</v>
      </c>
      <c r="O6" s="156">
        <v>2006267</v>
      </c>
      <c r="P6" s="156">
        <v>1982831</v>
      </c>
      <c r="Q6" s="156">
        <v>2008142</v>
      </c>
      <c r="R6" s="156">
        <v>1984399</v>
      </c>
      <c r="S6" s="156">
        <v>2004608</v>
      </c>
      <c r="T6" s="156">
        <v>1986766</v>
      </c>
      <c r="U6" s="156">
        <v>2013064</v>
      </c>
      <c r="V6" s="156">
        <v>1988409</v>
      </c>
      <c r="W6" s="156">
        <v>2036153</v>
      </c>
      <c r="X6" s="156">
        <v>1991443</v>
      </c>
      <c r="Y6" s="156">
        <v>2046146</v>
      </c>
      <c r="Z6" s="156">
        <v>2028120</v>
      </c>
      <c r="AA6" s="156">
        <v>2209655</v>
      </c>
      <c r="AB6" s="156">
        <v>2291631</v>
      </c>
    </row>
    <row r="7" spans="2:28">
      <c r="B7" s="112" t="s">
        <v>207</v>
      </c>
      <c r="C7" s="156">
        <v>51118</v>
      </c>
      <c r="D7" s="156">
        <v>42652</v>
      </c>
      <c r="E7" s="156">
        <v>44645</v>
      </c>
      <c r="F7" s="156">
        <v>49648</v>
      </c>
      <c r="G7" s="156">
        <v>38279</v>
      </c>
      <c r="H7" s="156">
        <v>25747</v>
      </c>
      <c r="I7" s="156">
        <v>28005</v>
      </c>
      <c r="J7" s="156">
        <v>28005</v>
      </c>
      <c r="K7" s="156">
        <v>30207</v>
      </c>
      <c r="L7" s="156">
        <v>32422</v>
      </c>
      <c r="M7" s="156">
        <v>25284</v>
      </c>
      <c r="N7" s="156">
        <v>38202</v>
      </c>
      <c r="O7" s="156">
        <v>75541</v>
      </c>
      <c r="P7" s="156">
        <v>73289</v>
      </c>
      <c r="Q7" s="156">
        <v>63509</v>
      </c>
      <c r="R7" s="156">
        <v>63601</v>
      </c>
      <c r="S7" s="156">
        <v>24124</v>
      </c>
      <c r="T7" s="156">
        <f t="shared" ref="T7" si="0">T4-T6</f>
        <v>22287</v>
      </c>
      <c r="U7" s="156">
        <v>20229</v>
      </c>
      <c r="V7" s="156">
        <v>18280</v>
      </c>
      <c r="W7" s="156">
        <v>16430</v>
      </c>
      <c r="X7" s="156">
        <v>14652</v>
      </c>
      <c r="Y7" s="156">
        <v>12895</v>
      </c>
      <c r="Z7" s="156">
        <v>11160</v>
      </c>
      <c r="AA7" s="156">
        <v>9426</v>
      </c>
      <c r="AB7" s="156">
        <v>8669</v>
      </c>
    </row>
    <row r="8" spans="2:28">
      <c r="B8" s="109" t="s">
        <v>208</v>
      </c>
      <c r="C8" s="155">
        <v>1718079</v>
      </c>
      <c r="D8" s="155">
        <v>1806622</v>
      </c>
      <c r="E8" s="155">
        <v>1718242</v>
      </c>
      <c r="F8" s="155">
        <v>1747954</v>
      </c>
      <c r="G8" s="155">
        <v>1089441</v>
      </c>
      <c r="H8" s="155">
        <v>1265585</v>
      </c>
      <c r="I8" s="155">
        <v>1314311</v>
      </c>
      <c r="J8" s="155">
        <v>1314311</v>
      </c>
      <c r="K8" s="155">
        <v>1272702</v>
      </c>
      <c r="L8" s="155">
        <v>1199242</v>
      </c>
      <c r="M8" s="155">
        <v>1179060</v>
      </c>
      <c r="N8" s="155">
        <v>3081776</v>
      </c>
      <c r="O8" s="155">
        <v>3028744</v>
      </c>
      <c r="P8" s="155">
        <v>3874452</v>
      </c>
      <c r="Q8" s="155">
        <v>4152046</v>
      </c>
      <c r="R8" s="155">
        <v>4215800</v>
      </c>
      <c r="S8" s="155">
        <v>3944010</v>
      </c>
      <c r="T8" s="155">
        <v>4266071</v>
      </c>
      <c r="U8" s="155">
        <v>3799748</v>
      </c>
      <c r="V8" s="155">
        <v>4075965</v>
      </c>
      <c r="W8" s="155">
        <v>4251459</v>
      </c>
      <c r="X8" s="155">
        <v>3548954</v>
      </c>
      <c r="Y8" s="155">
        <v>3993105</v>
      </c>
      <c r="Z8" s="155">
        <v>4062578</v>
      </c>
      <c r="AA8" s="155">
        <v>3983198</v>
      </c>
      <c r="AB8" s="155">
        <v>3820613</v>
      </c>
    </row>
    <row r="9" spans="2:28">
      <c r="B9" s="109" t="s">
        <v>209</v>
      </c>
      <c r="C9" s="155">
        <v>6879314</v>
      </c>
      <c r="D9" s="155">
        <v>6949652</v>
      </c>
      <c r="E9" s="155">
        <v>6860395</v>
      </c>
      <c r="F9" s="155">
        <v>6656273</v>
      </c>
      <c r="G9" s="155">
        <v>5679701</v>
      </c>
      <c r="H9" s="155">
        <v>5843248</v>
      </c>
      <c r="I9" s="155">
        <v>5892790</v>
      </c>
      <c r="J9" s="155">
        <v>5892790</v>
      </c>
      <c r="K9" s="155">
        <v>5853970</v>
      </c>
      <c r="L9" s="155">
        <v>5496051</v>
      </c>
      <c r="M9" s="155">
        <v>5465897</v>
      </c>
      <c r="N9" s="155">
        <v>5854754</v>
      </c>
      <c r="O9" s="155">
        <v>5110552</v>
      </c>
      <c r="P9" s="155">
        <v>5930572</v>
      </c>
      <c r="Q9" s="155">
        <v>6223697</v>
      </c>
      <c r="R9" s="155">
        <v>6263800</v>
      </c>
      <c r="S9" s="155">
        <v>5972742</v>
      </c>
      <c r="T9" s="155">
        <f>SUM(T8,T4)</f>
        <v>6275124</v>
      </c>
      <c r="U9" s="155">
        <v>5833041</v>
      </c>
      <c r="V9" s="155">
        <v>6082654</v>
      </c>
      <c r="W9" s="155">
        <v>6304042</v>
      </c>
      <c r="X9" s="155">
        <v>5555049</v>
      </c>
      <c r="Y9" s="155">
        <v>6052146</v>
      </c>
      <c r="Z9" s="155">
        <v>6101858</v>
      </c>
      <c r="AA9" s="155">
        <v>6202279</v>
      </c>
      <c r="AB9" s="155">
        <v>6120913</v>
      </c>
    </row>
    <row r="10" spans="2:28">
      <c r="B10" s="157" t="s">
        <v>210</v>
      </c>
      <c r="C10" s="155">
        <v>2415637</v>
      </c>
      <c r="D10" s="155">
        <v>1951286</v>
      </c>
      <c r="E10" s="155">
        <v>2138050</v>
      </c>
      <c r="F10" s="155">
        <v>2314288</v>
      </c>
      <c r="G10" s="155">
        <v>1562549</v>
      </c>
      <c r="H10" s="155">
        <v>1103612</v>
      </c>
      <c r="I10" s="155">
        <v>1681875</v>
      </c>
      <c r="J10" s="155">
        <v>1681875</v>
      </c>
      <c r="K10" s="155">
        <v>1693349</v>
      </c>
      <c r="L10" s="155">
        <v>1772792</v>
      </c>
      <c r="M10" s="155">
        <v>1245112</v>
      </c>
      <c r="N10" s="155">
        <v>1822413</v>
      </c>
      <c r="O10" s="155">
        <v>1921141</v>
      </c>
      <c r="P10" s="155">
        <v>2373466</v>
      </c>
      <c r="Q10" s="155">
        <v>2506214</v>
      </c>
      <c r="R10" s="155">
        <v>3734302</v>
      </c>
      <c r="S10" s="155">
        <v>4868105</v>
      </c>
      <c r="T10" s="155">
        <v>4601103</v>
      </c>
      <c r="U10" s="155">
        <v>6053313</v>
      </c>
      <c r="V10" s="155">
        <v>7293502</v>
      </c>
      <c r="W10" s="155">
        <v>7023549</v>
      </c>
      <c r="X10" s="155">
        <v>6604129</v>
      </c>
      <c r="Y10" s="155">
        <v>5596689</v>
      </c>
      <c r="Z10" s="155">
        <v>5137298</v>
      </c>
      <c r="AA10" s="155">
        <v>5072361</v>
      </c>
      <c r="AB10" s="155">
        <v>5836793</v>
      </c>
    </row>
    <row r="11" spans="2:28">
      <c r="B11" s="158" t="s">
        <v>211</v>
      </c>
      <c r="C11" s="159">
        <v>4463677</v>
      </c>
      <c r="D11" s="159">
        <v>4998366</v>
      </c>
      <c r="E11" s="159">
        <v>4722345</v>
      </c>
      <c r="F11" s="159">
        <v>4341985</v>
      </c>
      <c r="G11" s="159">
        <v>4117152</v>
      </c>
      <c r="H11" s="159">
        <v>4739636</v>
      </c>
      <c r="I11" s="159">
        <v>4210915</v>
      </c>
      <c r="J11" s="159">
        <v>4210915</v>
      </c>
      <c r="K11" s="159">
        <v>4160621</v>
      </c>
      <c r="L11" s="159">
        <v>3723259</v>
      </c>
      <c r="M11" s="159">
        <v>4220785</v>
      </c>
      <c r="N11" s="159">
        <v>4032341</v>
      </c>
      <c r="O11" s="159">
        <v>3189411</v>
      </c>
      <c r="P11" s="159">
        <v>3557106</v>
      </c>
      <c r="Q11" s="159">
        <v>3717483</v>
      </c>
      <c r="R11" s="159">
        <v>2529498</v>
      </c>
      <c r="S11" s="159">
        <v>1104637</v>
      </c>
      <c r="T11" s="159">
        <v>1674021</v>
      </c>
      <c r="U11" s="329">
        <v>-220272</v>
      </c>
      <c r="V11" s="329">
        <v>-1210848</v>
      </c>
      <c r="W11" s="329">
        <v>-719507</v>
      </c>
      <c r="X11" s="329">
        <v>-1049080</v>
      </c>
      <c r="Y11" s="329">
        <v>455457</v>
      </c>
      <c r="Z11" s="329">
        <v>964560</v>
      </c>
      <c r="AA11" s="329">
        <v>1129918</v>
      </c>
      <c r="AB11" s="329">
        <v>284120</v>
      </c>
    </row>
    <row r="12" spans="2:28">
      <c r="B12" t="s">
        <v>261</v>
      </c>
    </row>
    <row r="23" ht="2.25" customHeight="1"/>
    <row r="24" hidden="1"/>
    <row r="25" hidden="1"/>
    <row r="26" ht="156" customHeight="1"/>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T7:T9"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B1:Z35"/>
  <sheetViews>
    <sheetView showGridLines="0" tabSelected="1" zoomScale="70" zoomScaleNormal="70" workbookViewId="0">
      <selection activeCell="L26" sqref="H26:L26"/>
    </sheetView>
  </sheetViews>
  <sheetFormatPr defaultRowHeight="15"/>
  <cols>
    <col min="1" max="1" width="5.85546875" customWidth="1"/>
    <col min="2" max="2" width="48" customWidth="1"/>
    <col min="3" max="27" width="18.7109375" customWidth="1"/>
  </cols>
  <sheetData>
    <row r="1" spans="2:26" ht="40.5" customHeight="1" thickBot="1"/>
    <row r="2" spans="2:26">
      <c r="B2" s="285"/>
      <c r="C2" s="285" t="s">
        <v>38</v>
      </c>
      <c r="D2" s="285" t="s">
        <v>39</v>
      </c>
      <c r="E2" s="285" t="s">
        <v>40</v>
      </c>
      <c r="F2" s="285" t="s">
        <v>41</v>
      </c>
      <c r="G2" s="285" t="s">
        <v>42</v>
      </c>
      <c r="H2" s="285" t="s">
        <v>43</v>
      </c>
      <c r="I2" s="285" t="s">
        <v>215</v>
      </c>
      <c r="J2" s="285" t="s">
        <v>240</v>
      </c>
      <c r="K2" s="285" t="s">
        <v>251</v>
      </c>
      <c r="L2" s="285" t="s">
        <v>263</v>
      </c>
      <c r="M2" s="285" t="s">
        <v>270</v>
      </c>
      <c r="N2" s="285" t="s">
        <v>283</v>
      </c>
      <c r="O2" s="285" t="s">
        <v>305</v>
      </c>
      <c r="P2" s="143" t="s">
        <v>313</v>
      </c>
      <c r="Q2" s="143" t="s">
        <v>323</v>
      </c>
      <c r="R2" s="143" t="s">
        <v>331</v>
      </c>
      <c r="S2" s="143" t="s">
        <v>334</v>
      </c>
      <c r="T2" s="143" t="s">
        <v>348</v>
      </c>
      <c r="U2" s="143" t="s">
        <v>361</v>
      </c>
      <c r="V2" s="143" t="s">
        <v>362</v>
      </c>
      <c r="W2" s="143" t="s">
        <v>411</v>
      </c>
      <c r="X2" s="143" t="s">
        <v>413</v>
      </c>
      <c r="Y2" s="143" t="s">
        <v>419</v>
      </c>
      <c r="Z2" s="143" t="s">
        <v>421</v>
      </c>
    </row>
    <row r="3" spans="2:26">
      <c r="B3" s="109" t="s">
        <v>287</v>
      </c>
      <c r="C3" s="288">
        <v>4.5999999999999996</v>
      </c>
      <c r="D3" s="288">
        <v>7.78</v>
      </c>
      <c r="E3" s="288">
        <v>9.1</v>
      </c>
      <c r="F3" s="288">
        <v>10.92</v>
      </c>
      <c r="G3" s="288">
        <v>7.32</v>
      </c>
      <c r="H3" s="288">
        <v>8.32</v>
      </c>
      <c r="I3" s="288">
        <v>9.2200000000000006</v>
      </c>
      <c r="J3" s="288">
        <v>10.039999999999999</v>
      </c>
      <c r="K3" s="288">
        <v>8.94</v>
      </c>
      <c r="L3" s="288">
        <v>7.81</v>
      </c>
      <c r="M3" s="288">
        <v>9.51</v>
      </c>
      <c r="N3" s="288">
        <v>4.92</v>
      </c>
      <c r="O3" s="288">
        <v>7.27</v>
      </c>
      <c r="P3" s="288">
        <v>10.029999999999999</v>
      </c>
      <c r="Q3" s="288">
        <v>14.61</v>
      </c>
      <c r="R3" s="288">
        <v>17.100000000000001</v>
      </c>
      <c r="S3" s="288">
        <v>19.100000000000001</v>
      </c>
      <c r="T3" s="288">
        <v>16.12</v>
      </c>
      <c r="U3" s="288">
        <v>15.16</v>
      </c>
      <c r="V3" s="288">
        <v>13.97</v>
      </c>
      <c r="W3" s="288">
        <v>8.65</v>
      </c>
      <c r="X3" s="288">
        <v>7.52</v>
      </c>
      <c r="Y3" s="288">
        <v>7.16</v>
      </c>
      <c r="Z3" s="288">
        <v>7.97</v>
      </c>
    </row>
    <row r="4" spans="2:26">
      <c r="B4" s="109" t="s">
        <v>288</v>
      </c>
      <c r="C4" s="288">
        <v>8.83</v>
      </c>
      <c r="D4" s="288">
        <v>10.050000000000001</v>
      </c>
      <c r="E4" s="288">
        <v>10.83</v>
      </c>
      <c r="F4" s="288">
        <v>12.31</v>
      </c>
      <c r="G4" s="288">
        <v>11.23</v>
      </c>
      <c r="H4" s="288">
        <v>11.37</v>
      </c>
      <c r="I4" s="288">
        <v>11.44</v>
      </c>
      <c r="J4" s="288">
        <v>11.65</v>
      </c>
      <c r="K4" s="288">
        <v>10.5</v>
      </c>
      <c r="L4" s="288">
        <v>9.35</v>
      </c>
      <c r="M4" s="288">
        <v>9.8699999999999992</v>
      </c>
      <c r="N4" s="288">
        <v>5.65</v>
      </c>
      <c r="O4" s="288">
        <v>8.09</v>
      </c>
      <c r="P4" s="288">
        <v>10.24</v>
      </c>
      <c r="Q4" s="288">
        <v>15.69</v>
      </c>
      <c r="R4" s="288">
        <v>17.89</v>
      </c>
      <c r="S4" s="288">
        <v>19.75</v>
      </c>
      <c r="T4" s="288">
        <v>15.72</v>
      </c>
      <c r="U4" s="288">
        <v>14.51</v>
      </c>
      <c r="V4" s="288">
        <v>13.04</v>
      </c>
      <c r="W4" s="367">
        <v>8.2100000000000009</v>
      </c>
      <c r="X4" s="367">
        <v>8.1999999999999993</v>
      </c>
      <c r="Y4" s="367">
        <v>7.41</v>
      </c>
      <c r="Z4" s="367">
        <v>7.29</v>
      </c>
    </row>
    <row r="5" spans="2:26">
      <c r="B5" s="109" t="s">
        <v>290</v>
      </c>
      <c r="C5" s="288">
        <f>('DRE Consolidada TRI'!F41*1000)/1253079108</f>
        <v>0.14022259159714601</v>
      </c>
      <c r="D5" s="288">
        <f>('DRE Consolidada TRI'!G41*1000)/1253079108</f>
        <v>6.0573190882694056E-2</v>
      </c>
      <c r="E5" s="288">
        <f>('DRE Consolidada TRI'!H41*1000)/1253079108</f>
        <v>-3.5792632495154485E-2</v>
      </c>
      <c r="F5" s="288">
        <f>('DRE Consolidada TRI'!I41*1000)/1253079108</f>
        <v>0.12543900779806155</v>
      </c>
      <c r="G5" s="288">
        <f>('DRE Consolidada TRI'!J41*1000)/1253079108</f>
        <v>-1.5202551761001827E-2</v>
      </c>
      <c r="H5" s="288">
        <f>('DRE Consolidada TRI'!K41*1000)/1253079108</f>
        <v>0.23073643008977532</v>
      </c>
      <c r="I5" s="288">
        <f>('DRE Consolidada TRI'!L41*1000)/1253079108</f>
        <v>0.32035407616100803</v>
      </c>
      <c r="J5" s="288">
        <f>('DRE Consolidada TRI'!M41*1000)/1253079108</f>
        <v>6.0872453712635034E-2</v>
      </c>
      <c r="K5" s="288">
        <f>('DRE Consolidada TRI'!N41*1000)/1253079108</f>
        <v>0.13666016686952856</v>
      </c>
      <c r="L5" s="288">
        <f>('DRE Consolidada TRI'!O41*1000)/1253079108</f>
        <v>-0.11091079494719339</v>
      </c>
      <c r="M5" s="288">
        <f>('DRE Consolidada TRI'!P41*1000)/1253079108</f>
        <v>0.21399048016049119</v>
      </c>
      <c r="N5" s="288">
        <f>('DRE Consolidada TRI'!Q41*1000)/1253079108</f>
        <v>-0.33835054570233886</v>
      </c>
      <c r="O5" s="288">
        <f>('DRE Consolidada TRI'!R41*1000)/1253079108</f>
        <v>-0.3152721942915036</v>
      </c>
      <c r="P5" s="288">
        <f>('DRE Consolidada TRI'!S41*1000)/1253079108</f>
        <v>0.15807621301431832</v>
      </c>
      <c r="Q5" s="288">
        <f>('DRE Consolidada TRI'!T41*1000)/1253079108</f>
        <v>1.526401635610064</v>
      </c>
      <c r="R5" s="288">
        <f>('DRE Consolidada TRI'!U41*1000)/1253079108</f>
        <v>0.96154902935306141</v>
      </c>
      <c r="S5" s="288">
        <f>('DRE Consolidada TRI'!V41*1000)/1253079108</f>
        <v>3.6256362196088898</v>
      </c>
      <c r="T5" s="288">
        <f>('DRE Consolidada TRI'!W41*1000)/1253079108</f>
        <v>1.4554093100401446</v>
      </c>
      <c r="U5" s="288">
        <f>('DRE Consolidada TRI'!X41*1000)/1253079108</f>
        <v>1.9855929159741446</v>
      </c>
      <c r="V5" s="288">
        <f>('DRE Consolidada TRI'!Y41*1000)/1253079108</f>
        <v>1.0080520790232503</v>
      </c>
      <c r="W5" s="288">
        <f>('DRE Consolidada TRI'!Z41*1000)/1253079108</f>
        <v>0.84586040357158365</v>
      </c>
      <c r="X5" s="288">
        <f>('DRE Consolidada TRI'!AA41*1000)/1253079108</f>
        <v>0.48566367128355314</v>
      </c>
      <c r="Y5" s="288">
        <f>('DRE Consolidada TRI'!AB41*1000)/1253079108</f>
        <v>-0.66937912749878836</v>
      </c>
      <c r="Z5" s="288">
        <f>('DRE Consolidada TRI'!AC41*1000)/1253079108</f>
        <v>0.43419126256791762</v>
      </c>
    </row>
    <row r="6" spans="2:26">
      <c r="B6" s="109" t="s">
        <v>291</v>
      </c>
      <c r="C6" s="287">
        <f>C3/C5</f>
        <v>32.804984900119507</v>
      </c>
      <c r="D6" s="287">
        <f t="shared" ref="D6:O6" si="0">D3/D5</f>
        <v>128.4396593051658</v>
      </c>
      <c r="E6" s="287">
        <f t="shared" si="0"/>
        <v>-254.24226623263698</v>
      </c>
      <c r="F6" s="287">
        <f t="shared" si="0"/>
        <v>87.05426000801603</v>
      </c>
      <c r="G6" s="287">
        <f t="shared" si="0"/>
        <v>-481.49811394015751</v>
      </c>
      <c r="H6" s="287">
        <f t="shared" si="0"/>
        <v>36.058458548408851</v>
      </c>
      <c r="I6" s="287">
        <f t="shared" si="0"/>
        <v>28.780654551016497</v>
      </c>
      <c r="J6" s="287">
        <f t="shared" si="0"/>
        <v>164.93503034059623</v>
      </c>
      <c r="K6" s="287">
        <f t="shared" si="0"/>
        <v>65.417745381030798</v>
      </c>
      <c r="L6" s="287">
        <f t="shared" si="0"/>
        <v>-70.416950881277884</v>
      </c>
      <c r="M6" s="287">
        <f t="shared" si="0"/>
        <v>44.441229314816127</v>
      </c>
      <c r="N6" s="287">
        <f t="shared" si="0"/>
        <v>-14.54113215566772</v>
      </c>
      <c r="O6" s="287">
        <f t="shared" si="0"/>
        <v>-23.059439213589798</v>
      </c>
      <c r="P6" s="287">
        <f t="shared" ref="P6:S6" si="1">P3/P5</f>
        <v>63.450406666128167</v>
      </c>
      <c r="Q6" s="287">
        <f t="shared" si="1"/>
        <v>9.5715306241536826</v>
      </c>
      <c r="R6" s="287">
        <f t="shared" si="1"/>
        <v>17.7838045466127</v>
      </c>
      <c r="S6" s="287">
        <f t="shared" si="1"/>
        <v>5.2680409293959407</v>
      </c>
      <c r="T6" s="287">
        <f t="shared" ref="T6" si="2">T3/T5</f>
        <v>11.07592200269446</v>
      </c>
      <c r="U6" s="287">
        <f t="shared" ref="U6:X6" si="3">U3/U5</f>
        <v>7.6349990363268434</v>
      </c>
      <c r="V6" s="287">
        <f t="shared" si="3"/>
        <v>13.858410979655137</v>
      </c>
      <c r="W6" s="287">
        <f t="shared" si="3"/>
        <v>10.22627370128216</v>
      </c>
      <c r="X6" s="287">
        <f t="shared" si="3"/>
        <v>15.483966466187404</v>
      </c>
      <c r="Y6" s="287">
        <f t="shared" ref="Y6:Z6" si="4">Y3/Y5</f>
        <v>-10.696479328171105</v>
      </c>
      <c r="Z6" s="287">
        <f t="shared" si="4"/>
        <v>18.355965877487701</v>
      </c>
    </row>
    <row r="7" spans="2:26">
      <c r="B7" s="109" t="s">
        <v>292</v>
      </c>
      <c r="C7" s="286">
        <v>2.052113783115702E-2</v>
      </c>
      <c r="D7" s="286">
        <v>2.5888485118927527E-2</v>
      </c>
      <c r="E7" s="286">
        <v>2.2873661640699552E-2</v>
      </c>
      <c r="F7" s="286">
        <v>2.6153430026009207E-2</v>
      </c>
      <c r="G7" s="286">
        <v>1.2201746426207442E-2</v>
      </c>
      <c r="H7" s="286">
        <v>2.7121802400029333E-2</v>
      </c>
      <c r="I7" s="286">
        <v>5.8087599179548893E-2</v>
      </c>
      <c r="J7" s="286">
        <v>5.2270186258340352E-2</v>
      </c>
      <c r="K7" s="286">
        <v>6.5069314117084318E-2</v>
      </c>
      <c r="L7" s="286">
        <v>3.582201836151247E-2</v>
      </c>
      <c r="M7" s="286">
        <v>2.6823303691699666E-2</v>
      </c>
      <c r="N7" s="286">
        <v>-8.7987577621175973E-3</v>
      </c>
      <c r="O7" s="286">
        <v>-5.0829748260586734E-2</v>
      </c>
      <c r="P7" s="286">
        <v>-2.5886418251593341E-2</v>
      </c>
      <c r="Q7" s="286">
        <v>8.6883871131771886E-2</v>
      </c>
      <c r="R7" s="286">
        <v>0.18525524021489106</v>
      </c>
      <c r="S7" s="286">
        <v>0.39479198832817997</v>
      </c>
      <c r="T7" s="286">
        <v>0.47036246404234799</v>
      </c>
      <c r="U7" s="286">
        <v>0.46254076274056194</v>
      </c>
      <c r="V7" s="286">
        <v>0.44118015628364204</v>
      </c>
      <c r="W7" s="286">
        <v>0.27891254262698367</v>
      </c>
      <c r="X7" s="286">
        <v>0.22310800810927767</v>
      </c>
      <c r="Y7" s="286">
        <v>9.0385952941100259E-2</v>
      </c>
      <c r="Z7" s="286">
        <v>5.810620752731778E-2</v>
      </c>
    </row>
    <row r="8" spans="2:26">
      <c r="B8" s="109" t="s">
        <v>300</v>
      </c>
      <c r="C8" s="286">
        <f>('DRE Consolidada TRI'!F32+'Fluxo de Caixa TRI'!D44)/(Balanço!D54+Balanço!D55+Balanço!D56+Dívida!D11)</f>
        <v>1.7810616066718805E-2</v>
      </c>
      <c r="D8" s="286">
        <f>('DRE Consolidada TRI'!G32+'Fluxo de Caixa TRI'!E44)/(Balanço!E54+Balanço!E55+Balanço!E56+Dívida!E11)</f>
        <v>5.2332301560866342E-3</v>
      </c>
      <c r="E8" s="286">
        <f>('DRE Consolidada TRI'!H32+'Fluxo de Caixa TRI'!F44)/(Balanço!F54+Balanço!F55+Balanço!F56+Dívida!F11)</f>
        <v>3.4756825391687746E-3</v>
      </c>
      <c r="F8" s="286">
        <f>('DRE Consolidada TRI'!I32+'Fluxo de Caixa TRI'!G44)/(Balanço!G54+Balanço!G55+Balanço!G56+Dívida!G11)</f>
        <v>1.5759543536990776E-2</v>
      </c>
      <c r="G8" s="286">
        <f>('DRE Consolidada TRI'!J32+'Fluxo de Caixa TRI'!H44)/(Balanço!H54+Balanço!H55+Balanço!H56+Dívida!H11)</f>
        <v>9.819621758938666E-3</v>
      </c>
      <c r="H8" s="286">
        <f>('DRE Consolidada TRI'!K32+'Fluxo de Caixa TRI'!I44)/(Balanço!I54+Balanço!I55+Balanço!I56+Dívida!I11)</f>
        <v>1.5926604127884103E-2</v>
      </c>
      <c r="I8" s="286">
        <f>('DRE Consolidada TRI'!L32+'Fluxo de Caixa TRI'!J44)/(Balanço!J54+Balanço!J55+Balanço!J56+Dívida!J11)</f>
        <v>-6.41641734861821E-4</v>
      </c>
      <c r="J8" s="286">
        <f>('DRE Consolidada TRI'!M32+'Fluxo de Caixa TRI'!K44)/(Balanço!K54+Balanço!K55+Balanço!K56+Dívida!K11)</f>
        <v>9.245086010714023E-3</v>
      </c>
      <c r="K8" s="286">
        <f>('DRE Consolidada TRI'!N32+'Fluxo de Caixa TRI'!L44)/(Balanço!L54+Balanço!L55+Balanço!L56+Dívida!L11)</f>
        <v>1.3264250772932468E-2</v>
      </c>
      <c r="L8" s="286">
        <f>('DRE Consolidada TRI'!O32+'Fluxo de Caixa TRI'!M44)/(Balanço!M54+Balanço!M55+Balanço!M56+Dívida!M11)</f>
        <v>5.3804754794337297E-3</v>
      </c>
      <c r="M8" s="286">
        <f>('DRE Consolidada TRI'!P32+'Fluxo de Caixa TRI'!N44)/(Balanço!N54+Balanço!N55+Balanço!N56+Dívida!N11)</f>
        <v>5.833700079472294E-3</v>
      </c>
      <c r="N8" s="286">
        <f>('DRE Consolidada TRI'!Q32+'Fluxo de Caixa TRI'!O44)/(Balanço!O54+Balanço!O55+Balanço!O56+Dívida!O11)</f>
        <v>1.2404187808960325E-2</v>
      </c>
      <c r="O8" s="286">
        <f>('DRE Consolidada TRI'!R32+'Fluxo de Caixa TRI'!P44)/(Balanço!P54+Balanço!P55+Balanço!P56+Dívida!P11)</f>
        <v>-7.2835707700640651E-3</v>
      </c>
      <c r="P8" s="286">
        <f>('DRE Consolidada TRI'!S32+'Fluxo de Caixa TRI'!Q44)/(Balanço!Q54+Balanço!Q55+Balanço!Q56+Dívida!Q11)</f>
        <v>2.5078188870696256E-2</v>
      </c>
      <c r="Q8" s="286">
        <f>('DRE Consolidada TRI'!T32+'Fluxo de Caixa TRI'!R44)/(Balanço!R54+Balanço!R55+Balanço!R56+Dívida!R11)</f>
        <v>0.10131679250181282</v>
      </c>
      <c r="R8" s="286">
        <f>('DRE Consolidada TRI'!U32+'Fluxo de Caixa TRI'!S44)/(Balanço!S54+Balanço!S55+Balanço!S56+Dívida!S11)</f>
        <v>8.5406731907952907E-2</v>
      </c>
      <c r="S8" s="286">
        <f>('DRE Consolidada TRI'!V32+'Fluxo de Caixa TRI'!T44)/(Balanço!T54+Balanço!T55+Balanço!T56+Dívida!T11)</f>
        <v>0.18460300419412087</v>
      </c>
      <c r="T8" s="286">
        <f>('DRE Consolidada TRI'!W32+'Fluxo de Caixa TRI'!U44)/(Balanço!U54+Balanço!U55+Balanço!U56+Dívida!U11)</f>
        <v>6.275577377908273E-2</v>
      </c>
      <c r="U8" s="286">
        <f>('DRE Consolidada TRI'!X32+'Fluxo de Caixa TRI'!V44)/(Balanço!V54+Balanço!V55+Balanço!V56+Dívida!V11)</f>
        <v>8.5772273692518747E-2</v>
      </c>
      <c r="V8" s="286">
        <f>('DRE Consolidada TRI'!Y32+'Fluxo de Caixa TRI'!W44)/(Balanço!W54+Balanço!W55+Balanço!W56+Dívida!W11)</f>
        <v>1.2610106849288221E-2</v>
      </c>
      <c r="W8" s="286">
        <f>('DRE Consolidada TRI'!Z32+'Fluxo de Caixa TRI'!X44)/(Balanço!X54+Balanço!X55+Balanço!X56+Dívida!X11)</f>
        <v>6.3220548662540024E-2</v>
      </c>
      <c r="X8" s="286">
        <f>('DRE Consolidada TRI'!AA32+'Fluxo de Caixa TRI'!Y44)/(Balanço!Y54+Balanço!Y55+Balanço!Y56+Dívida!Y11)</f>
        <v>1.7195540068611979E-2</v>
      </c>
      <c r="Y8" s="286">
        <f>('DRE Consolidada TRI'!AB32+'Fluxo de Caixa TRI'!Z44)/(Balanço!Z54+Balanço!Z55+Balanço!Z56+Dívida!Z11)</f>
        <v>-4.2192533901180197E-2</v>
      </c>
      <c r="Z8" s="286">
        <f>('DRE Consolidada TRI'!AC32+'Fluxo de Caixa TRI'!AA44)/(Balanço!AA54+Balanço!AA55+Balanço!AA56+Dívida!AA11)</f>
        <v>1.3464177601678295E-2</v>
      </c>
    </row>
    <row r="9" spans="2:26">
      <c r="B9" s="109" t="s">
        <v>295</v>
      </c>
      <c r="C9" s="287">
        <v>2.8</v>
      </c>
      <c r="D9" s="287">
        <v>2.4</v>
      </c>
      <c r="E9" s="287">
        <v>2</v>
      </c>
      <c r="F9" s="287">
        <v>1.8</v>
      </c>
      <c r="G9" s="287">
        <v>2.2999999999999998</v>
      </c>
      <c r="H9" s="287">
        <v>1.8</v>
      </c>
      <c r="I9" s="287">
        <v>1.6</v>
      </c>
      <c r="J9" s="287">
        <v>1.5</v>
      </c>
      <c r="K9" s="287">
        <v>1.6</v>
      </c>
      <c r="L9" s="287">
        <v>1.7</v>
      </c>
      <c r="M9" s="287">
        <v>1.6</v>
      </c>
      <c r="N9" s="287">
        <v>1.8</v>
      </c>
      <c r="O9" s="287">
        <v>2.2000000000000002</v>
      </c>
      <c r="P9" s="287">
        <v>1.2</v>
      </c>
      <c r="Q9" s="287">
        <v>0.3</v>
      </c>
      <c r="R9" s="287">
        <v>0.3</v>
      </c>
      <c r="S9" s="287">
        <v>-0.02</v>
      </c>
      <c r="T9" s="287">
        <v>-0.1</v>
      </c>
      <c r="U9" s="287">
        <v>-0.06</v>
      </c>
      <c r="V9" s="287">
        <v>-0.09</v>
      </c>
      <c r="W9" s="368">
        <v>0.05</v>
      </c>
      <c r="X9" s="368">
        <v>0.14000000000000001</v>
      </c>
      <c r="Y9" s="368">
        <v>0.23</v>
      </c>
      <c r="Z9" s="368">
        <v>7.0000000000000007E-2</v>
      </c>
    </row>
    <row r="10" spans="2:26">
      <c r="B10" s="109" t="s">
        <v>294</v>
      </c>
      <c r="C10" s="287">
        <f>(((C3*'Ações e grupo de controle'!$J$9+Indicadores!C4*'Ações e grupo de controle'!$F$9)/1000)+Dívida!D11+Balanço!D56)/(1823634)</f>
        <v>8.3218955065106268</v>
      </c>
      <c r="D10" s="287">
        <f>(((D3*'Ações e grupo de controle'!$J$9+Indicadores!D4*'Ações e grupo de controle'!$F$9)/1000)+Dívida!E11+Balanço!E56)/(1969522)</f>
        <v>8.8832519834355761</v>
      </c>
      <c r="E10" s="287">
        <f>(((E3*'Ações e grupo de controle'!$J$9+Indicadores!E4*'Ações e grupo de controle'!$F$9)/1000)+Dívida!F11+Balanço!F56)/(SUM('DRE Consolidada TRI'!E48:H48))</f>
        <v>8.4062667090557479</v>
      </c>
      <c r="F10" s="287">
        <f>(((F3*'Ações e grupo de controle'!$J$9+Indicadores!F4*'Ações e grupo de controle'!$F$9)/1000)+Dívida!G11+Balanço!G56)/(SUM('DRE Consolidada TRI'!F48:I48))</f>
        <v>8.7876813735585486</v>
      </c>
      <c r="G10" s="287">
        <f>(((G3*'Ações e grupo de controle'!$J$9+Indicadores!G4*'Ações e grupo de controle'!$F$9)/1000)+Dívida!H11+Balanço!H56)/(SUM('DRE Consolidada TRI'!G48:J48))</f>
        <v>8.7530388061712578</v>
      </c>
      <c r="H10" s="287">
        <f>(((H3*'Ações e grupo de controle'!$J$9+Indicadores!H4*'Ações e grupo de controle'!$F$9)/1000)+Dívida!I11+Balanço!I56)/(SUM('DRE Consolidada TRI'!H48:K48))</f>
        <v>7.8689548537646647</v>
      </c>
      <c r="I10" s="287">
        <f>(((I3*'Ações e grupo de controle'!$J$9+Indicadores!I4*'Ações e grupo de controle'!$F$9)/1000)+Dívida!J11+Balanço!J56)/(SUM('DRE Consolidada TRI'!I48:L48))</f>
        <v>6.9664271980453547</v>
      </c>
      <c r="J10" s="287">
        <f>(((J3*'Ações e grupo de controle'!$J$9+Indicadores!J4*'Ações e grupo de controle'!$F$9)/1000)+Dívida!K11+Balanço!K56)/(SUM('DRE Consolidada TRI'!J48:M48))</f>
        <v>7.6150564096590507</v>
      </c>
      <c r="K10" s="287">
        <f>(((K3*'Ações e grupo de controle'!$J$9+Indicadores!K4*'Ações e grupo de controle'!$F$9)/1000)+Dívida!L11+Balanço!L56)/(SUM('DRE Consolidada TRI'!K48:N48))</f>
        <v>6.7501833822116275</v>
      </c>
      <c r="L10" s="287">
        <f>(((L3*'Ações e grupo de controle'!$J$9+Indicadores!L4*'Ações e grupo de controle'!$F$9)/1000)+Dívida!M11+Balanço!M56)/(SUM('DRE Consolidada TRI'!L48:O48))</f>
        <v>7.117531996337247</v>
      </c>
      <c r="M10" s="287">
        <f>(((M3*'Ações e grupo de controle'!$J$9+Indicadores!M4*'Ações e grupo de controle'!$F$9)/1000)+Dívida!N11+Balanço!N56)/(SUM('DRE Consolidada TRI'!M48:P48))</f>
        <v>8.9838764949594765</v>
      </c>
      <c r="N10" s="287">
        <f>(((N3*'Ações e grupo de controle'!$J$9+Indicadores!N4*'Ações e grupo de controle'!$F$9)/1000)+Dívida!O11+Balanço!O56)/(SUM('DRE Consolidada TRI'!N48:Q48))</f>
        <v>5.5712321031094136</v>
      </c>
      <c r="O10" s="287">
        <f>(((O3*'Ações e grupo de controle'!$J$9+Indicadores!O4*'Ações e grupo de controle'!$F$9)/1000)+Dívida!P11+Balanço!P56)/(SUM('DRE Consolidada TRI'!O48:R48))</f>
        <v>8.9164265008657662</v>
      </c>
      <c r="P10" s="287">
        <f>(((P3*'Ações e grupo de controle'!$J$9+Indicadores!P4*'Ações e grupo de controle'!$F$9)/1000)+Dívida!Q11+Balanço!Q56)/(SUM('DRE Consolidada TRI'!P48:S48))</f>
        <v>8.8668180677146093</v>
      </c>
      <c r="Q10" s="287">
        <f>(((Q3*'Ações e grupo de controle'!$J$9+Indicadores!Q4*'Ações e grupo de controle'!$F$9)/1000)+Dívida!R11+Balanço!R56)/(SUM('DRE Consolidada TRI'!Q48:T48))</f>
        <v>7.3801420665576982</v>
      </c>
      <c r="R10" s="287">
        <f>(((R3*'Ações e grupo de controle'!$J$9+Indicadores!R4*'Ações e grupo de controle'!$F$9)/1000)+Dívida!S11+Balanço!S56)/(SUM('DRE Consolidada TRI'!R48:U48))</f>
        <v>5.0220227987962991</v>
      </c>
      <c r="S10" s="287">
        <f>(((S3*'Ações e grupo de controle'!$J$9+Indicadores!S4*'Ações e grupo de controle'!$F$9)/1000)+Dívida!T11+Balanço!T56)/(SUM('DRE Consolidada TRI'!S48:V48))</f>
        <v>2.8876086329459909</v>
      </c>
      <c r="T10" s="287">
        <f>(((T3*'Ações e grupo de controle'!$J$9+Indicadores!T4*'Ações e grupo de controle'!$F$9)/1000)+Dívida!U11+Balanço!U56)/(SUM('DRE Consolidada TRI'!T48:W48))</f>
        <v>1.8766975288015584</v>
      </c>
      <c r="U10" s="287">
        <f>(((U3*'Ações e grupo de controle'!$J$9+Indicadores!U4*'Ações e grupo de controle'!$F$9)/1000)+Dívida!V11+Balanço!V56)/(SUM('DRE Consolidada TRI'!U48:X48))</f>
        <v>1.5539229593296502</v>
      </c>
      <c r="V10" s="287">
        <f>(((V3*'Ações e grupo de controle'!$J$9+Indicadores!V4*'Ações e grupo de controle'!$F$9)/1000)+Dívida!W11+Balanço!W56)/(SUM('DRE Consolidada TRI'!V48:Y48))</f>
        <v>1.5717768937318866</v>
      </c>
      <c r="W10" s="287">
        <f>(((W3*'Ações e grupo de controle'!$J$9+Indicadores!W4*'Ações e grupo de controle'!$F$9)/1000)+Dívida!X11+Balanço!X56)/(SUM('DRE Consolidada TRI'!W48:Z48))</f>
        <v>1.3742585625283064</v>
      </c>
      <c r="X10" s="287">
        <f>(((X3*'Ações e grupo de controle'!$J$9+Indicadores!X4*'Ações e grupo de controle'!$F$9)/1000)+Dívida!Y11+Balanço!Y56)/(SUM('DRE Consolidada TRI'!X48:AA48))</f>
        <v>1.9327185268499909</v>
      </c>
      <c r="Y10" s="287">
        <f>(((Y3*'Ações e grupo de controle'!$J$9+Indicadores!Y4*'Ações e grupo de controle'!$F$9)/1000)+Dívida!Z11+Balanço!Z56)/(SUM('DRE Consolidada TRI'!Y48:AB48))</f>
        <v>2.6191119250105159</v>
      </c>
      <c r="Z10" s="287">
        <f>(((Z3*'Ações e grupo de controle'!$J$9+Indicadores!Z4*'Ações e grupo de controle'!$F$9)/1000)+Dívida!AA11+Balanço!AA56)/(SUM('DRE Consolidada TRI'!Z48:AC48))</f>
        <v>3.2574786938771947</v>
      </c>
    </row>
    <row r="11" spans="2:26">
      <c r="B11" s="109" t="s">
        <v>302</v>
      </c>
      <c r="C11" s="286">
        <f>'DRE Consolidada TRI'!F3/'DRE Consolidada TRI'!E3-1</f>
        <v>9.3008110299391156E-2</v>
      </c>
      <c r="D11" s="286">
        <f>'DRE Consolidada TRI'!G3/'DRE Consolidada TRI'!F3-1</f>
        <v>6.5203727595218419E-2</v>
      </c>
      <c r="E11" s="286">
        <f>'DRE Consolidada TRI'!H3/'DRE Consolidada TRI'!G3-1</f>
        <v>0.12412930097459829</v>
      </c>
      <c r="F11" s="286">
        <f>'DRE Consolidada TRI'!I3/'DRE Consolidada TRI'!H3-1</f>
        <v>5.4419732381685959E-2</v>
      </c>
      <c r="G11" s="286">
        <f>'DRE Consolidada TRI'!J3/'DRE Consolidada TRI'!I3-1</f>
        <v>-1.2374981004602992E-2</v>
      </c>
      <c r="H11" s="286">
        <f>'DRE Consolidada TRI'!K3/'DRE Consolidada TRI'!J3-1</f>
        <v>0.20519372296398952</v>
      </c>
      <c r="I11" s="286">
        <f>'DRE Consolidada TRI'!L3/'DRE Consolidada TRI'!K3-1</f>
        <v>-0.112524028793895</v>
      </c>
      <c r="J11" s="286">
        <f>'DRE Consolidada TRI'!M3/'DRE Consolidada TRI'!L3-1</f>
        <v>3.0634665888532142E-2</v>
      </c>
      <c r="K11" s="286">
        <f>'DRE Consolidada TRI'!N3/'DRE Consolidada TRI'!M3-1</f>
        <v>4.5884679578197529E-2</v>
      </c>
      <c r="L11" s="286">
        <f>'DRE Consolidada TRI'!O3/'DRE Consolidada TRI'!N3-1</f>
        <v>4.2161054171181878E-2</v>
      </c>
      <c r="M11" s="286">
        <f>'DRE Consolidada TRI'!P3/'DRE Consolidada TRI'!O3-1</f>
        <v>5.9995417936649087E-3</v>
      </c>
      <c r="N11" s="286">
        <f>'DRE Consolidada TRI'!Q3/'DRE Consolidada TRI'!P3-1</f>
        <v>-1.6792623391673089E-2</v>
      </c>
      <c r="O11" s="286">
        <f>'DRE Consolidada TRI'!R3/'DRE Consolidada TRI'!Q3-1</f>
        <v>-0.36323336891767155</v>
      </c>
      <c r="P11" s="286">
        <f>'DRE Consolidada TRI'!S3/'DRE Consolidada TRI'!R3-1</f>
        <v>0.80689771787612163</v>
      </c>
      <c r="Q11" s="286">
        <f>'DRE Consolidada TRI'!T3/'DRE Consolidada TRI'!S3-1</f>
        <v>0.24948758471400145</v>
      </c>
      <c r="R11" s="286">
        <f>'DRE Consolidada TRI'!U3/'DRE Consolidada TRI'!T3-1</f>
        <v>0.29073502037714616</v>
      </c>
      <c r="S11" s="286">
        <f>'DRE Consolidada TRI'!V3/'DRE Consolidada TRI'!U3-1</f>
        <v>0.35812300660417629</v>
      </c>
      <c r="T11" s="286">
        <f>'DRE Consolidada TRI'!W3/'DRE Consolidada TRI'!V3-1</f>
        <v>-5.9462693261308153E-2</v>
      </c>
      <c r="U11" s="286">
        <f>'DRE Consolidada TRI'!X3/'DRE Consolidada TRI'!W3-1</f>
        <v>-0.10818446407565818</v>
      </c>
      <c r="V11" s="286">
        <f>'DRE Consolidada TRI'!Y3/'DRE Consolidada TRI'!X3-1</f>
        <v>-2.5414406922216304E-2</v>
      </c>
      <c r="W11" s="286">
        <f>'DRE Consolidada TRI'!Z3/'DRE Consolidada TRI'!Y3-1</f>
        <v>8.7551665798133893E-2</v>
      </c>
      <c r="X11" s="286">
        <f>'DRE Consolidada TRI'!AA3/'DRE Consolidada TRI'!Z3-1</f>
        <v>-1.137366875071788E-2</v>
      </c>
      <c r="Y11" s="286">
        <f>'DRE Consolidada TRI'!AB3/'DRE Consolidada TRI'!AA3-1</f>
        <v>-9.1820119116582499E-2</v>
      </c>
      <c r="Z11" s="286">
        <f>'DRE Consolidada TRI'!AC3/'DRE Consolidada TRI'!AB3-1</f>
        <v>-5.2836588521948391E-2</v>
      </c>
    </row>
    <row r="12" spans="2:26" ht="21" customHeight="1">
      <c r="B12" s="109" t="s">
        <v>303</v>
      </c>
      <c r="C12" s="286">
        <f>'DRE Consolidada TRI'!F48/'DRE Consolidada TRI'!E48-1</f>
        <v>0.40746177048589538</v>
      </c>
      <c r="D12" s="286">
        <f>'DRE Consolidada TRI'!G48/'DRE Consolidada TRI'!F48-1</f>
        <v>-0.39616884398521313</v>
      </c>
      <c r="E12" s="286">
        <f>'DRE Consolidada TRI'!H48/'DRE Consolidada TRI'!G48-1</f>
        <v>-5.3137920067847233E-3</v>
      </c>
      <c r="F12" s="286">
        <f>'DRE Consolidada TRI'!I48/'DRE Consolidada TRI'!H48-1</f>
        <v>0.42369742749423822</v>
      </c>
      <c r="G12" s="286">
        <f>'DRE Consolidada TRI'!J48/'DRE Consolidada TRI'!I48-1</f>
        <v>-0.19087432665525061</v>
      </c>
      <c r="H12" s="286">
        <f>'DRE Consolidada TRI'!K48/'DRE Consolidada TRI'!J48-1</f>
        <v>0.35455742242387922</v>
      </c>
      <c r="I12" s="286">
        <f>'DRE Consolidada TRI'!L48/'DRE Consolidada TRI'!K48-1</f>
        <v>0.1814711097071271</v>
      </c>
      <c r="J12" s="286">
        <f>'DRE Consolidada TRI'!M48/'DRE Consolidada TRI'!L48-1</f>
        <v>-0.41284341792596113</v>
      </c>
      <c r="K12" s="286">
        <f>'DRE Consolidada TRI'!N48/'DRE Consolidada TRI'!M48-1</f>
        <v>0.18126733290667718</v>
      </c>
      <c r="L12" s="286">
        <f>'DRE Consolidada TRI'!O48/'DRE Consolidada TRI'!N48-1</f>
        <v>-0.23392465817650143</v>
      </c>
      <c r="M12" s="286">
        <f>'DRE Consolidada TRI'!P48/'DRE Consolidada TRI'!O48-1</f>
        <v>6.1831180341320513E-2</v>
      </c>
      <c r="N12" s="286">
        <f>'DRE Consolidada TRI'!Q48/'DRE Consolidada TRI'!P48-1</f>
        <v>0.2145258695220591</v>
      </c>
      <c r="O12" s="286">
        <f>'DRE Consolidada TRI'!R48/'DRE Consolidada TRI'!Q48-1</f>
        <v>-0.66316542488588448</v>
      </c>
      <c r="P12" s="286">
        <f>'DRE Consolidada TRI'!S48/'DRE Consolidada TRI'!R48-1</f>
        <v>3.3100830206795067</v>
      </c>
      <c r="Q12" s="286">
        <f>'DRE Consolidada TRI'!T48/'DRE Consolidada TRI'!S48-1</f>
        <v>0.9456403302743408</v>
      </c>
      <c r="R12" s="286">
        <f>'DRE Consolidada TRI'!U48/'DRE Consolidada TRI'!T48-1</f>
        <v>0.50570669421179049</v>
      </c>
      <c r="S12" s="286">
        <f>'DRE Consolidada TRI'!V48/'DRE Consolidada TRI'!U48-1</f>
        <v>1.0934480719376829</v>
      </c>
      <c r="T12" s="286">
        <f>'DRE Consolidada TRI'!W48/'DRE Consolidada TRI'!V48-1</f>
        <v>-0.4302177571104483</v>
      </c>
      <c r="U12" s="286">
        <f>'DRE Consolidada TRI'!X48/'DRE Consolidada TRI'!W48-1</f>
        <v>-0.14835357483627909</v>
      </c>
      <c r="V12" s="286">
        <f>'DRE Consolidada TRI'!Y48/'DRE Consolidada TRI'!X48-1</f>
        <v>-0.36540094275338175</v>
      </c>
      <c r="W12" s="286">
        <f>'DRE Consolidada TRI'!Z48/'DRE Consolidada TRI'!Y48-1</f>
        <v>0.23717498333247855</v>
      </c>
      <c r="X12" s="286">
        <f>'DRE Consolidada TRI'!AA48/'DRE Consolidada TRI'!Z48-1</f>
        <v>-0.56700937978977084</v>
      </c>
      <c r="Y12" s="286">
        <f>'DRE Consolidada TRI'!AB48/'DRE Consolidada TRI'!AA48-1</f>
        <v>-0.30693755340307749</v>
      </c>
      <c r="Z12" s="286">
        <f>'DRE Consolidada TRI'!AC48/'DRE Consolidada TRI'!AB48-1</f>
        <v>0.35158968196000639</v>
      </c>
    </row>
    <row r="13" spans="2:26">
      <c r="B13" s="109" t="s">
        <v>296</v>
      </c>
      <c r="C13" s="286">
        <f>'DRE Consolidada TRI'!F49</f>
        <v>0.29199999999999998</v>
      </c>
      <c r="D13" s="286">
        <f>'DRE Consolidada TRI'!G49</f>
        <v>0.16500000000000001</v>
      </c>
      <c r="E13" s="286">
        <f>'DRE Consolidada TRI'!H49</f>
        <v>0.14599999999999999</v>
      </c>
      <c r="F13" s="286">
        <f>'DRE Consolidada TRI'!I49</f>
        <v>0.19800000000000001</v>
      </c>
      <c r="G13" s="286">
        <f>'DRE Consolidada TRI'!J49</f>
        <v>0.16200000000000001</v>
      </c>
      <c r="H13" s="286">
        <f>'DRE Consolidada TRI'!K49</f>
        <v>0.182</v>
      </c>
      <c r="I13" s="286">
        <f>'DRE Consolidada TRI'!L49</f>
        <v>0.24199999999999999</v>
      </c>
      <c r="J13" s="286">
        <f>'DRE Consolidada TRI'!M49</f>
        <v>0.13800000000000001</v>
      </c>
      <c r="K13" s="286">
        <f>'DRE Consolidada TRI'!N49</f>
        <v>0.156</v>
      </c>
      <c r="L13" s="286">
        <f>'DRE Consolidada TRI'!O49</f>
        <v>0.115</v>
      </c>
      <c r="M13" s="286">
        <f>'DRE Consolidada TRI'!P49</f>
        <v>0.121</v>
      </c>
      <c r="N13" s="286">
        <f>'DRE Consolidada TRI'!Q49</f>
        <v>0.14899999999999999</v>
      </c>
      <c r="O13" s="286">
        <f>'DRE Consolidada TRI'!R49</f>
        <v>7.9035680482036033E-2</v>
      </c>
      <c r="P13" s="286">
        <f>'DRE Consolidada TRI'!S49</f>
        <v>0.189</v>
      </c>
      <c r="Q13" s="286">
        <f>'DRE Consolidada TRI'!T49</f>
        <v>0.29399999999999998</v>
      </c>
      <c r="R13" s="286">
        <f>'DRE Consolidada TRI'!U49</f>
        <v>0.34200000000000003</v>
      </c>
      <c r="S13" s="286">
        <f>'DRE Consolidada TRI'!V49</f>
        <v>0.52800000000000002</v>
      </c>
      <c r="T13" s="286">
        <f>'DRE Consolidada TRI'!W49</f>
        <v>0.31979018904900913</v>
      </c>
      <c r="U13" s="286">
        <f>'DRE Consolidada TRI'!X49</f>
        <v>0.30538621534972232</v>
      </c>
      <c r="V13" s="286">
        <f>'DRE Consolidada TRI'!Y49</f>
        <v>0.1988514972246046</v>
      </c>
      <c r="W13" s="286">
        <f>'DRE Consolidada TRI'!Z49</f>
        <v>0.22620911309435898</v>
      </c>
      <c r="X13" s="286">
        <f>'DRE Consolidada TRI'!AA49</f>
        <v>9.9073250509281841E-2</v>
      </c>
      <c r="Y13" s="286">
        <f>'DRE Consolidada TRI'!AB49</f>
        <v>7.5606111559618466E-2</v>
      </c>
      <c r="Z13" s="286">
        <f>'DRE Consolidada TRI'!AC49</f>
        <v>0.10788892290257715</v>
      </c>
    </row>
    <row r="14" spans="2:26">
      <c r="B14" s="109" t="s">
        <v>297</v>
      </c>
      <c r="C14" s="286">
        <f>'DRE Consolidada TRI'!F33</f>
        <v>0.14199999999999999</v>
      </c>
      <c r="D14" s="286">
        <f>'DRE Consolidada TRI'!G33</f>
        <v>3.9E-2</v>
      </c>
      <c r="E14" s="286">
        <f>'DRE Consolidada TRI'!H33</f>
        <v>2.3E-2</v>
      </c>
      <c r="F14" s="286">
        <f>'DRE Consolidada TRI'!I33</f>
        <v>0.1</v>
      </c>
      <c r="G14" s="286">
        <f>'DRE Consolidada TRI'!J33</f>
        <v>6.6000000000000003E-2</v>
      </c>
      <c r="H14" s="286">
        <f>'DRE Consolidada TRI'!K33</f>
        <v>9.1999999999999998E-2</v>
      </c>
      <c r="I14" s="286">
        <f>'DRE Consolidada TRI'!L33</f>
        <v>-1E-3</v>
      </c>
      <c r="J14" s="286">
        <f>'DRE Consolidada TRI'!M33</f>
        <v>5.5E-2</v>
      </c>
      <c r="K14" s="286">
        <f>'DRE Consolidada TRI'!N33</f>
        <v>7.9000000000000001E-2</v>
      </c>
      <c r="L14" s="286">
        <f>'DRE Consolidada TRI'!O33</f>
        <v>3.7999999999999999E-2</v>
      </c>
      <c r="M14" s="286">
        <f>'DRE Consolidada TRI'!P33</f>
        <v>3.6935973669282196E-2</v>
      </c>
      <c r="N14" s="286">
        <f>'DRE Consolidada TRI'!Q33</f>
        <v>7.1999999999999995E-2</v>
      </c>
      <c r="O14" s="286">
        <f>'DRE Consolidada TRI'!R33</f>
        <v>-3.609950035364981E-2</v>
      </c>
      <c r="P14" s="286">
        <f>'DRE Consolidada TRI'!S33</f>
        <v>0.121</v>
      </c>
      <c r="Q14" s="286">
        <f>'DRE Consolidada TRI'!T33</f>
        <v>0.374</v>
      </c>
      <c r="R14" s="286">
        <f>'DRE Consolidada TRI'!U33</f>
        <v>0.30099999999999999</v>
      </c>
      <c r="S14" s="286">
        <f>'DRE Consolidada TRI'!V33</f>
        <v>0.497</v>
      </c>
      <c r="T14" s="286">
        <f>'DRE Consolidada TRI'!W33</f>
        <v>0.24361095805963648</v>
      </c>
      <c r="U14" s="286">
        <f>'DRE Consolidada TRI'!X33</f>
        <v>0.27054952197817078</v>
      </c>
      <c r="V14" s="286">
        <f>'DRE Consolidada TRI'!Y33</f>
        <v>0.16511550295182142</v>
      </c>
      <c r="W14" s="286">
        <f>'DRE Consolidada TRI'!Z33</f>
        <v>0.19466832171750204</v>
      </c>
      <c r="X14" s="286">
        <f>'DRE Consolidada TRI'!AA33</f>
        <v>6.8458956187415723E-2</v>
      </c>
      <c r="Y14" s="286">
        <f>'DRE Consolidada TRI'!AB33</f>
        <v>-0.1420362152570713</v>
      </c>
      <c r="Z14" s="286">
        <f>'DRE Consolidada TRI'!AC33</f>
        <v>6.8281598605368338E-2</v>
      </c>
    </row>
    <row r="15" spans="2:26">
      <c r="B15" s="109" t="s">
        <v>298</v>
      </c>
      <c r="C15" s="286">
        <f>'DRE Consolidada TRI'!F8</f>
        <v>0.14899999999999999</v>
      </c>
      <c r="D15" s="286">
        <f>'DRE Consolidada TRI'!G8</f>
        <v>0.13100000000000001</v>
      </c>
      <c r="E15" s="286">
        <f>'DRE Consolidada TRI'!H8</f>
        <v>0.13500000000000001</v>
      </c>
      <c r="F15" s="286">
        <f>'DRE Consolidada TRI'!I8</f>
        <v>0.189</v>
      </c>
      <c r="G15" s="286">
        <f>'DRE Consolidada TRI'!J8</f>
        <v>0.182</v>
      </c>
      <c r="H15" s="286">
        <f>'DRE Consolidada TRI'!K8</f>
        <v>0.16700000000000001</v>
      </c>
      <c r="I15" s="286">
        <f>'DRE Consolidada TRI'!L8</f>
        <v>0.11</v>
      </c>
      <c r="J15" s="286">
        <f>'DRE Consolidada TRI'!M8</f>
        <v>0.14000000000000001</v>
      </c>
      <c r="K15" s="286">
        <f>'DRE Consolidada TRI'!N8</f>
        <v>0.16400000000000001</v>
      </c>
      <c r="L15" s="286">
        <f>'DRE Consolidada TRI'!O8</f>
        <v>0.124</v>
      </c>
      <c r="M15" s="286">
        <f>'DRE Consolidada TRI'!P8</f>
        <v>7.6505122400811171E-2</v>
      </c>
      <c r="N15" s="286">
        <f>'DRE Consolidada TRI'!Q8</f>
        <v>0.13500000000000001</v>
      </c>
      <c r="O15" s="286">
        <f>'DRE Consolidada TRI'!R8</f>
        <v>0.11505723353053864</v>
      </c>
      <c r="P15" s="286">
        <f>'DRE Consolidada TRI'!S8</f>
        <v>0.20357175137838571</v>
      </c>
      <c r="Q15" s="286">
        <f>'DRE Consolidada TRI'!T8</f>
        <v>0.28699999999999998</v>
      </c>
      <c r="R15" s="286">
        <f>'DRE Consolidada TRI'!U8</f>
        <v>0.34899999999999998</v>
      </c>
      <c r="S15" s="286">
        <f>'DRE Consolidada TRI'!V8</f>
        <v>0.38</v>
      </c>
      <c r="T15" s="286">
        <f>'DRE Consolidada TRI'!W8</f>
        <v>0.34738510216827623</v>
      </c>
      <c r="U15" s="286">
        <f>'DRE Consolidada TRI'!X8</f>
        <v>0.2526062793211859</v>
      </c>
      <c r="V15" s="286">
        <f>'DRE Consolidada TRI'!Y8</f>
        <v>0.21865225820202513</v>
      </c>
      <c r="W15" s="286">
        <f>'DRE Consolidada TRI'!Z8</f>
        <v>0.25638132277476539</v>
      </c>
      <c r="X15" s="286">
        <f>'DRE Consolidada TRI'!AA8</f>
        <v>0.11903192938084939</v>
      </c>
      <c r="Y15" s="286">
        <f>'DRE Consolidada TRI'!AB8</f>
        <v>0.10093399770443146</v>
      </c>
      <c r="Z15" s="286">
        <f>'DRE Consolidada TRI'!AC8</f>
        <v>0.12195143130166862</v>
      </c>
    </row>
    <row r="16" spans="2:26">
      <c r="B16" s="109" t="s">
        <v>299</v>
      </c>
      <c r="C16" s="288">
        <f>C3/(((Balanço!D54+Balanço!D55)*1000)/1253079108)</f>
        <v>0.41646317196759453</v>
      </c>
      <c r="D16" s="288">
        <f>D3/(((Balanço!E54+Balanço!E55)*1000)/1253079108)</f>
        <v>0.70120575431821808</v>
      </c>
      <c r="E16" s="288">
        <f>E3/(((Balanço!F54+Balanço!F55)*1000)/1253079108)</f>
        <v>0.82781775574881511</v>
      </c>
      <c r="F16" s="288">
        <f>F3/(((Balanço!G54+Balanço!G55)*1000)/1253079108)</f>
        <v>0.98331267769208652</v>
      </c>
      <c r="G16" s="288">
        <f>G3/(((Balanço!H54+Balanço!H55)*1000)/1253079108)</f>
        <v>0.66152243271323219</v>
      </c>
      <c r="H16" s="288">
        <f>H3/(((Balanço!I54+Balanço!I55)*1000)/1253079108)</f>
        <v>0.73941021177793254</v>
      </c>
      <c r="I16" s="288">
        <f>I3/(((Balanço!J54+Balanço!J55)*1000)/1253079108)</f>
        <v>0.80983793944021087</v>
      </c>
      <c r="J16" s="288">
        <f>J3/(((Balanço!K54+Balanço!K55)*1000)/1253079108)</f>
        <v>0.87940262594587448</v>
      </c>
      <c r="K16" s="288">
        <f>K3/(((Balanço!L54+Balanço!L55)*1000)/1253079108)</f>
        <v>0.77705276173834104</v>
      </c>
      <c r="L16" s="288">
        <f>L3/(((Balanço!M54+Balanço!M55)*1000)/1253079108)</f>
        <v>0.68743619012524315</v>
      </c>
      <c r="M16" s="288">
        <f>M3/(((Balanço!N54+Balanço!N55)*1000)/1253079108)</f>
        <v>0.84856678582422529</v>
      </c>
      <c r="N16" s="288">
        <f>N3/(((Balanço!O54+Balanço!O55)*1000)/1253079108)</f>
        <v>0.4389979078400138</v>
      </c>
      <c r="O16" s="288">
        <f>O3/(((Balanço!P54+Balanço!P55)*1000)/1253079108)</f>
        <v>0.67121411603633263</v>
      </c>
      <c r="P16" s="288">
        <f>P3/(((Balanço!Q54+Balanço!Q55)*1000)/1253079108)</f>
        <v>0.92216373257421991</v>
      </c>
      <c r="Q16" s="288">
        <f>Q3/(((Balanço!R54+Balanço!R55)*1000)/1253079108)</f>
        <v>1.2313790236937485</v>
      </c>
      <c r="R16" s="288">
        <f>R3/(((Balanço!S54+Balanço!S55)*1000)/1253079108)</f>
        <v>1.3591583146214516</v>
      </c>
      <c r="S16" s="288">
        <f>S3/(((Balanço!T54+Balanço!T55)*1000)/1253079108)</f>
        <v>1.2023169707521806</v>
      </c>
      <c r="T16" s="288">
        <f>T3/(((Balanço!U54+Balanço!U55)*1000)/1253079108)</f>
        <v>1.0017501297939506</v>
      </c>
      <c r="U16" s="288">
        <f>U3/(((Balanço!V54+Balanço!V55)*1000)/1253079108)</f>
        <v>0.87343724657696431</v>
      </c>
      <c r="V16" s="288">
        <f>V3/(((Balanço!W54+Balanço!W55)*1000)/1253079108)</f>
        <v>0.76328458217317929</v>
      </c>
      <c r="W16" s="288">
        <f>W3/(((Balanço!X54+Balanço!X55)*1000)/1253079108)</f>
        <v>0.4556435044743436</v>
      </c>
      <c r="X16" s="288">
        <f>X3/(((Balanço!Y54+Balanço!Y55)*1000)/1253079108)</f>
        <v>0.38790904907654217</v>
      </c>
      <c r="Y16" s="288">
        <f>Y3/(((Balanço!Z54+Balanço!Z55)*1000)/1253079108)</f>
        <v>0.38747729329940261</v>
      </c>
      <c r="Z16" s="288">
        <f>Z3/(((Balanço!AA54+Balanço!AA55)*1000)/1253079108)</f>
        <v>0.42241282354863907</v>
      </c>
    </row>
    <row r="17" spans="2:12" ht="15.75" thickBot="1"/>
    <row r="18" spans="2:12">
      <c r="B18" s="285"/>
      <c r="C18" s="285">
        <v>2013</v>
      </c>
      <c r="D18" s="285">
        <v>2014</v>
      </c>
      <c r="E18" s="285">
        <v>2015</v>
      </c>
      <c r="F18" s="285">
        <v>2016</v>
      </c>
      <c r="G18" s="285">
        <v>2017</v>
      </c>
      <c r="H18" s="285">
        <v>2018</v>
      </c>
      <c r="I18" s="285">
        <v>2019</v>
      </c>
      <c r="J18" s="285">
        <v>2020</v>
      </c>
      <c r="K18" s="285">
        <v>2021</v>
      </c>
      <c r="L18" s="285">
        <v>2022</v>
      </c>
    </row>
    <row r="19" spans="2:12">
      <c r="B19" s="109" t="s">
        <v>286</v>
      </c>
      <c r="C19" s="287">
        <v>0</v>
      </c>
      <c r="D19" s="287">
        <v>30.768611030000002</v>
      </c>
      <c r="E19" s="287">
        <v>0</v>
      </c>
      <c r="F19" s="287">
        <v>0</v>
      </c>
      <c r="G19" s="287">
        <v>55.382073669267612</v>
      </c>
      <c r="H19" s="287">
        <v>185.79384888708461</v>
      </c>
      <c r="I19" s="287">
        <v>50.6503203111684</v>
      </c>
      <c r="J19" s="287">
        <v>159.80000000000001</v>
      </c>
      <c r="K19" s="287">
        <v>1503.7</v>
      </c>
      <c r="L19" s="287"/>
    </row>
    <row r="20" spans="2:12">
      <c r="B20" s="109" t="s">
        <v>287</v>
      </c>
      <c r="C20" s="288">
        <v>14.21</v>
      </c>
      <c r="D20" s="288">
        <v>5.05</v>
      </c>
      <c r="E20" s="288">
        <v>1.55</v>
      </c>
      <c r="F20" s="288">
        <v>4.0999999999999996</v>
      </c>
      <c r="G20" s="288">
        <v>9.1</v>
      </c>
      <c r="H20" s="288">
        <v>9.2200000000000006</v>
      </c>
      <c r="I20" s="288">
        <v>9.51</v>
      </c>
      <c r="J20" s="288">
        <f>Q3</f>
        <v>14.61</v>
      </c>
      <c r="K20" s="288">
        <v>15.16</v>
      </c>
      <c r="L20" s="288">
        <v>7.16</v>
      </c>
    </row>
    <row r="21" spans="2:12">
      <c r="B21" s="109" t="s">
        <v>288</v>
      </c>
      <c r="C21" s="288">
        <v>12.4</v>
      </c>
      <c r="D21" s="288">
        <v>12.3</v>
      </c>
      <c r="E21" s="288">
        <v>4.0199999999999996</v>
      </c>
      <c r="F21" s="288">
        <v>8.26</v>
      </c>
      <c r="G21" s="288">
        <v>10.69</v>
      </c>
      <c r="H21" s="288">
        <v>11.44</v>
      </c>
      <c r="I21" s="288">
        <v>9.8699999999999992</v>
      </c>
      <c r="J21" s="288">
        <f>Q4</f>
        <v>15.69</v>
      </c>
      <c r="K21" s="288">
        <v>14.51</v>
      </c>
      <c r="L21" s="367">
        <v>7.41</v>
      </c>
    </row>
    <row r="22" spans="2:12">
      <c r="B22" s="109" t="s">
        <v>289</v>
      </c>
      <c r="C22" s="286">
        <f>(C19*1000000)/1253079108</f>
        <v>0</v>
      </c>
      <c r="D22" s="286">
        <f>(D19*1000000)/1253079108</f>
        <v>2.4554404293842876E-2</v>
      </c>
      <c r="E22" s="286">
        <f>(E19*1000000)/1253079108</f>
        <v>0</v>
      </c>
      <c r="F22" s="286">
        <f t="shared" ref="F22" si="5">(F19*1000000)/1253079108</f>
        <v>0</v>
      </c>
      <c r="G22" s="286">
        <f t="shared" ref="G22:L22" si="6">(G19*1000000)/1253079108</f>
        <v>4.4196789584706415E-2</v>
      </c>
      <c r="H22" s="286">
        <f t="shared" si="6"/>
        <v>0.14826984800953572</v>
      </c>
      <c r="I22" s="286">
        <f t="shared" si="6"/>
        <v>4.0420688516633066E-2</v>
      </c>
      <c r="J22" s="286">
        <f t="shared" si="6"/>
        <v>0.12752586726551665</v>
      </c>
      <c r="K22" s="286">
        <f t="shared" si="6"/>
        <v>1.2000040463526744</v>
      </c>
      <c r="L22" s="286">
        <f t="shared" si="6"/>
        <v>0</v>
      </c>
    </row>
    <row r="23" spans="2:12">
      <c r="B23" s="109" t="s">
        <v>290</v>
      </c>
      <c r="C23" s="288">
        <f>('DRE Consolidada ANO'!E38*1000)/1013786190</f>
        <v>1.6562663967636015E-2</v>
      </c>
      <c r="D23" s="288">
        <f>('DRE Consolidada ANO'!F38*1000)/1013786190</f>
        <v>0.20564395338626579</v>
      </c>
      <c r="E23" s="288">
        <f>('DRE Consolidada ANO'!G38*1000)/1013786190</f>
        <v>-3.6348660460644071</v>
      </c>
      <c r="F23" s="288">
        <f>('DRE Consolidada ANO'!H38*1000)/1253079108</f>
        <v>-0.46034044963105392</v>
      </c>
      <c r="G23" s="288">
        <f>('DRE Consolidada ANO'!I38*1000)/1253079108</f>
        <v>0.25144461988747802</v>
      </c>
      <c r="H23" s="288">
        <f>('DRE Consolidada ANO'!J38*1000)/1253079108</f>
        <v>0.66132696228784305</v>
      </c>
      <c r="I23" s="288">
        <f>('DRE Consolidada ANO'!K38*1000)/1253079108</f>
        <v>0.30061230579546139</v>
      </c>
      <c r="J23" s="288">
        <f>('DRE Consolidada ANO'!L38*1000)/1253079108</f>
        <v>1.03085510863054</v>
      </c>
      <c r="K23" s="288">
        <f>('DRE Consolidada ANO'!M38*1000)/1253079108</f>
        <v>8.0281874749762405</v>
      </c>
      <c r="L23" s="288">
        <f>('DRE Consolidada ANO'!N38*1000)/1253079108</f>
        <v>1.6701970263795987</v>
      </c>
    </row>
    <row r="24" spans="2:12">
      <c r="B24" s="109" t="s">
        <v>291</v>
      </c>
      <c r="C24" s="287">
        <f>C20/C23</f>
        <v>857.95377046632132</v>
      </c>
      <c r="D24" s="287">
        <f>D20/D23</f>
        <v>24.557006986315169</v>
      </c>
      <c r="E24" s="287">
        <f t="shared" ref="E24:I24" si="7">E20/E23</f>
        <v>-0.42642561798893186</v>
      </c>
      <c r="F24" s="287">
        <f t="shared" si="7"/>
        <v>-8.9064517430219308</v>
      </c>
      <c r="G24" s="287">
        <f t="shared" si="7"/>
        <v>36.190871787482543</v>
      </c>
      <c r="H24" s="287">
        <f t="shared" si="7"/>
        <v>13.941666567024058</v>
      </c>
      <c r="I24" s="287">
        <f t="shared" si="7"/>
        <v>31.635431473223413</v>
      </c>
      <c r="J24" s="287">
        <f t="shared" ref="J24" si="8">J20/J23</f>
        <v>14.172699807841031</v>
      </c>
      <c r="K24" s="287">
        <f t="shared" ref="K24:L24" si="9">K20/K23</f>
        <v>1.8883465349125852</v>
      </c>
      <c r="L24" s="287">
        <f t="shared" si="9"/>
        <v>4.2869193795179772</v>
      </c>
    </row>
    <row r="25" spans="2:12">
      <c r="B25" s="109" t="s">
        <v>293</v>
      </c>
      <c r="C25" s="286">
        <f>C19*1000/'DRE Consolidada ANO'!E38</f>
        <v>0</v>
      </c>
      <c r="D25" s="286">
        <f>D19*1000/'DRE Consolidada ANO'!F38</f>
        <v>0.14758614071441251</v>
      </c>
      <c r="E25" s="286" t="s">
        <v>301</v>
      </c>
      <c r="F25" s="286" t="s">
        <v>301</v>
      </c>
      <c r="G25" s="286">
        <f>G19*1000/'DRE Consolidada ANO'!I38</f>
        <v>0.17577146651411582</v>
      </c>
      <c r="H25" s="286">
        <f>H19*1000/'DRE Consolidada ANO'!J38</f>
        <v>0.22420051875187447</v>
      </c>
      <c r="I25" s="286">
        <f>I19*1000/'DRE Consolidada ANO'!K38</f>
        <v>0.13446119050141467</v>
      </c>
      <c r="J25" s="286">
        <f>J19*1000/'DRE Consolidada ANO'!L38</f>
        <v>0.12370881824016078</v>
      </c>
      <c r="K25" s="286">
        <f>K19*1000/'DRE Consolidada ANO'!M38</f>
        <v>0.14947384451260912</v>
      </c>
      <c r="L25" s="286">
        <f>L19*1000/'DRE Consolidada ANO'!N38</f>
        <v>0</v>
      </c>
    </row>
    <row r="26" spans="2:12">
      <c r="B26" s="109" t="s">
        <v>292</v>
      </c>
      <c r="C26" s="286">
        <f>'DRE Consolidada ANO'!E38/(12150000-3131+4565039)</f>
        <v>1.0047326732531079E-3</v>
      </c>
      <c r="D26" s="286">
        <f>'DRE Consolidada ANO'!F38/(12150000+4569664)</f>
        <v>1.24690902879388E-2</v>
      </c>
      <c r="E26" s="286">
        <f>'DRE Consolidada ANO'!G38/(12150000+1258978)</f>
        <v>-0.27481415809616511</v>
      </c>
      <c r="F26" s="286">
        <f>'DRE Consolidada ANO'!H38/(13200295+335445)</f>
        <v>-4.261628843343622E-2</v>
      </c>
      <c r="G26" s="286">
        <f>'DRE Consolidada ANO'!I38/(13200295+574500)</f>
        <v>2.2873661640699552E-2</v>
      </c>
      <c r="H26" s="286">
        <v>5.8087599179548893E-2</v>
      </c>
      <c r="I26" s="286">
        <v>2.6823303691699666E-2</v>
      </c>
      <c r="J26" s="286">
        <v>8.6883871131771886E-2</v>
      </c>
      <c r="K26" s="286">
        <v>0.46254076274056194</v>
      </c>
      <c r="L26" s="286">
        <v>9.0385952941100259E-2</v>
      </c>
    </row>
    <row r="27" spans="2:12">
      <c r="B27" s="109" t="s">
        <v>300</v>
      </c>
      <c r="C27" s="286">
        <f>('DRE Consolidada ANO'!E29+'Fluxo de caixa ANO'!C42)/(12150000-3131+4565039+3434018+2122037)</f>
        <v>1.6101068606948914E-2</v>
      </c>
      <c r="D27" s="286">
        <f>('DRE Consolidada ANO'!F29+'Fluxo de caixa ANO'!D42)/(12150000+4569664+3849844+2041951)</f>
        <v>2.0207010967315288E-2</v>
      </c>
      <c r="E27" s="286">
        <f>('DRE Consolidada ANO'!G29+'Fluxo de caixa ANO'!E42)/(12150000+1258978+5862030+1584879)</f>
        <v>-0.1800575540134064</v>
      </c>
      <c r="F27" s="286">
        <f>('DRE Consolidada ANO'!H29+'Fluxo de caixa ANO'!F42)/(13200295+335445+4684433+1655894)</f>
        <v>-1.9169889093249685E-2</v>
      </c>
      <c r="G27" s="286">
        <f>('DRE Consolidada ANO'!I29+'Fluxo de caixa ANO'!G42)/(13200295+574500+4341985+1409169)</f>
        <v>3.6039836015140672E-2</v>
      </c>
      <c r="H27" s="286">
        <f>('DRE Consolidada ANO'!J29+'Fluxo de caixa ANO'!H42)/(13200295+1066003+4160621+1431093)</f>
        <v>4.0470365311492409E-2</v>
      </c>
      <c r="I27" s="286">
        <f>('DRE Consolidada ANO'!K29+'Fluxo de caixa ANO'!I42)/(13200295+843128+3189411+1522261)</f>
        <v>3.554170213480657E-2</v>
      </c>
      <c r="J27" s="286">
        <f>('DRE Consolidada ANO'!L29+'Fluxo de caixa ANO'!J42)/(13200295+843128+3189411+1522261)</f>
        <v>0.13535932502607959</v>
      </c>
      <c r="K27" s="286">
        <f>('DRE Consolidada ANO'!M29+'Fluxo de caixa ANO'!K42)/(13200295+843128+3189411+1522261)</f>
        <v>0.50669937955526223</v>
      </c>
      <c r="L27" s="286">
        <f>('DRE Consolidada ANO'!N29+'Fluxo de caixa ANO'!L42)/(13200295+843128+3189411+1522261)</f>
        <v>6.716660192870258E-2</v>
      </c>
    </row>
    <row r="28" spans="2:12">
      <c r="B28" s="109" t="s">
        <v>295</v>
      </c>
      <c r="C28" s="287">
        <v>1.9</v>
      </c>
      <c r="D28" s="287">
        <v>2.1</v>
      </c>
      <c r="E28" s="287">
        <v>20.100000000000001</v>
      </c>
      <c r="F28" s="287">
        <v>7</v>
      </c>
      <c r="G28" s="287">
        <v>2</v>
      </c>
      <c r="H28" s="287">
        <v>1.6</v>
      </c>
      <c r="I28" s="287">
        <v>1.6</v>
      </c>
      <c r="J28" s="287">
        <v>0.3</v>
      </c>
      <c r="K28" s="287">
        <v>-0.06</v>
      </c>
      <c r="L28" s="287">
        <v>0.23</v>
      </c>
    </row>
    <row r="29" spans="2:12">
      <c r="B29" s="109" t="s">
        <v>294</v>
      </c>
      <c r="C29" s="287">
        <f>((C20*508525506+Indicadores!C21*505260684)+3434018000+2122037000)/(1000*'DRE Consolidada ANO'!E45)</f>
        <v>10.54426526293355</v>
      </c>
      <c r="D29" s="287">
        <f>((D20*508525506+Indicadores!D21*505260684)+3849844000+2041951000)/(1000*'DRE Consolidada ANO'!F45)</f>
        <v>7.8765410542593388</v>
      </c>
      <c r="E29" s="287">
        <f>((E20*508525506+Indicadores!E21*505260684)+5862030000+1584879000)/(1000*'DRE Consolidada ANO'!G45)</f>
        <v>35.222153359430749</v>
      </c>
      <c r="F29" s="287">
        <f>((F20*'Ações e grupo de controle'!$J$9+Indicadores!F21*'Ações e grupo de controle'!$F$9)+4684433000+1655894000)/(1000*'DRE Consolidada ANO'!H45)</f>
        <v>21.823714992602689</v>
      </c>
      <c r="G29" s="287">
        <f>((G20*'Ações e grupo de controle'!$J$9+Indicadores!G21*'Ações e grupo de controle'!$F$9)+4341985000+1409169000)/(1000*'DRE Consolidada ANO'!I45)</f>
        <v>8.36109456902172</v>
      </c>
      <c r="H29" s="287">
        <f>((H20*'Ações e grupo de controle'!$J$9+Indicadores!H21*'Ações e grupo de controle'!$F$9)+4160621000+1431093000)/(1000*'DRE Consolidada ANO'!J45)</f>
        <v>6.947751857263273</v>
      </c>
      <c r="I29" s="287">
        <f>((I20*'Ações e grupo de controle'!$J$9+Indicadores!I21*'Ações e grupo de controle'!$F$9)+3189411000+1522261000)/(1000*'DRE Consolidada ANO'!K45)</f>
        <v>8.5566460196957941</v>
      </c>
      <c r="J29" s="287">
        <f>((J20*'Ações e grupo de controle'!$J$9+Indicadores!J21*'Ações e grupo de controle'!$F$9)+3189411000+1522261000)/(1000*'DRE Consolidada ANO'!L45)</f>
        <v>7.4463584604931077</v>
      </c>
      <c r="K29" s="287">
        <f>((K20*'Ações e grupo de controle'!$J$9+Indicadores!K21*'Ações e grupo de controle'!$F$9)+3189411000+1522261000)/(1000*'DRE Consolidada ANO'!M45)</f>
        <v>1.8121765709496878</v>
      </c>
      <c r="L29" s="287">
        <f>((L20*'Ações e grupo de controle'!$J$9+Indicadores!L21*'Ações e grupo de controle'!$F$9)+3189411000+1522261000)/(1000*'DRE Consolidada ANO'!N45)</f>
        <v>2.8259363204073908</v>
      </c>
    </row>
    <row r="30" spans="2:12">
      <c r="B30" s="109" t="s">
        <v>302</v>
      </c>
      <c r="C30" s="286">
        <f>'DRE Consolidada ANO'!E3/12710881-1</f>
        <v>9.3294870748927838E-3</v>
      </c>
      <c r="D30" s="286">
        <f>'DRE Consolidada ANO'!F3/'DRE Consolidada ANO'!E3-1</f>
        <v>-8.4792142962759054E-2</v>
      </c>
      <c r="E30" s="286">
        <f>'DRE Consolidada ANO'!G3/'DRE Consolidada ANO'!F3-1</f>
        <v>-0.13252496736185415</v>
      </c>
      <c r="F30" s="286">
        <f>'DRE Consolidada ANO'!H3/'DRE Consolidada ANO'!G3-1</f>
        <v>-0.16998263229254718</v>
      </c>
      <c r="G30" s="286">
        <f>'DRE Consolidada ANO'!I3/'DRE Consolidada ANO'!H3-1</f>
        <v>0.26967873956140154</v>
      </c>
      <c r="H30" s="286">
        <f>'DRE Consolidada ANO'!J3/'DRE Consolidada ANO'!I3-1</f>
        <v>0.27973066813686964</v>
      </c>
      <c r="I30" s="286">
        <f>'DRE Consolidada ANO'!K3/'DRE Consolidada ANO'!J3-1</f>
        <v>8.8225843319904573E-2</v>
      </c>
      <c r="J30" s="286">
        <f>'DRE Consolidada ANO'!L3/'DRE Consolidada ANO'!K3-1</f>
        <v>7.6216095840720532E-2</v>
      </c>
      <c r="K30" s="286">
        <f>'DRE Consolidada ANO'!M3/'DRE Consolidada ANO'!L3-1</f>
        <v>1.0970198256445216</v>
      </c>
      <c r="L30" s="286">
        <f>'DRE Consolidada ANO'!N3/'DRE Consolidada ANO'!M3-1</f>
        <v>-3.7539062495368536E-2</v>
      </c>
    </row>
    <row r="31" spans="2:12">
      <c r="B31" s="109" t="s">
        <v>303</v>
      </c>
      <c r="C31" s="286">
        <f>'DRE Consolidada ANO'!E45/696588-1</f>
        <v>1.5932488070423263</v>
      </c>
      <c r="D31" s="286">
        <f>'DRE Consolidada ANO'!F45/'DRE Consolidada ANO'!E45-1</f>
        <v>3.1357498175956344E-2</v>
      </c>
      <c r="E31" s="286">
        <f>'DRE Consolidada ANO'!G45/'DRE Consolidada ANO'!F45-1</f>
        <v>-0.84355292954482142</v>
      </c>
      <c r="F31" s="286">
        <f>'DRE Consolidada ANO'!H45/'DRE Consolidada ANO'!G45-1</f>
        <v>1.2656550200362298</v>
      </c>
      <c r="G31" s="286">
        <f>'DRE Consolidada ANO'!I45/'DRE Consolidada ANO'!H45-1</f>
        <v>2.3099117925421164</v>
      </c>
      <c r="H31" s="286">
        <f>'DRE Consolidada ANO'!J45/'DRE Consolidada ANO'!I45-1</f>
        <v>0.23208479524271164</v>
      </c>
      <c r="I31" s="286">
        <f>'DRE Consolidada ANO'!K45/'DRE Consolidada ANO'!J45-1</f>
        <v>-0.26737515177845361</v>
      </c>
      <c r="J31" s="286">
        <f>'DRE Consolidada ANO'!L45/'DRE Consolidada ANO'!K45-1</f>
        <v>0.61865373211489039</v>
      </c>
      <c r="K31" s="286">
        <f>'DRE Consolidada ANO'!M45/'DRE Consolidada ANO'!L45-1</f>
        <v>3.0173339345319734</v>
      </c>
      <c r="L31" s="286">
        <f>'DRE Consolidada ANO'!N45/'DRE Consolidada ANO'!M45-1</f>
        <v>-0.61772073817299955</v>
      </c>
    </row>
    <row r="32" spans="2:12">
      <c r="B32" s="109" t="s">
        <v>296</v>
      </c>
      <c r="C32" s="286">
        <f>'DRE Consolidada ANO'!E46</f>
        <v>0.14099999999999999</v>
      </c>
      <c r="D32" s="286">
        <f>'DRE Consolidada ANO'!F46</f>
        <v>0.159</v>
      </c>
      <c r="E32" s="286">
        <f>'DRE Consolidada ANO'!G46</f>
        <v>2.9000000000000001E-2</v>
      </c>
      <c r="F32" s="286">
        <f>'DRE Consolidada ANO'!H46</f>
        <v>7.8E-2</v>
      </c>
      <c r="G32" s="286">
        <f>'DRE Consolidada ANO'!I46</f>
        <v>0.20399999999999999</v>
      </c>
      <c r="H32" s="286">
        <f>'DRE Consolidada ANO'!J46</f>
        <v>0.19600000000000001</v>
      </c>
      <c r="I32" s="286">
        <f>'DRE Consolidada ANO'!K46</f>
        <v>0.13198522227891232</v>
      </c>
      <c r="J32" s="286">
        <f>'DRE Consolidada ANO'!L46</f>
        <v>0.19900000000000001</v>
      </c>
      <c r="K32" s="286">
        <f>'DRE Consolidada ANO'!M46</f>
        <v>0.38029023595602734</v>
      </c>
      <c r="L32" s="286">
        <f>'DRE Consolidada ANO'!N46</f>
        <v>0.15104724255947935</v>
      </c>
    </row>
    <row r="33" spans="2:12">
      <c r="B33" s="109" t="s">
        <v>297</v>
      </c>
      <c r="C33" s="286">
        <f>'DRE Consolidada ANO'!E30</f>
        <v>4.1000000000000002E-2</v>
      </c>
      <c r="D33" s="286">
        <f>'DRE Consolidada ANO'!F30</f>
        <v>4.4999999999999998E-2</v>
      </c>
      <c r="E33" s="286">
        <f>'DRE Consolidada ANO'!G30</f>
        <v>-0.36599999999999999</v>
      </c>
      <c r="F33" s="286">
        <f>'DRE Consolidada ANO'!H30</f>
        <v>4.2999999999999997E-2</v>
      </c>
      <c r="G33" s="286">
        <f>'DRE Consolidada ANO'!I30</f>
        <v>6.8000000000000005E-2</v>
      </c>
      <c r="H33" s="286">
        <f>'DRE Consolidada ANO'!J30</f>
        <v>6.4000000000000001E-2</v>
      </c>
      <c r="I33" s="286">
        <f>'DRE Consolidada ANO'!K30</f>
        <v>5.1628236506419047E-2</v>
      </c>
      <c r="J33" s="286">
        <f>'DRE Consolidada ANO'!L30</f>
        <v>0.17199999999999999</v>
      </c>
      <c r="K33" s="286">
        <f>'DRE Consolidada ANO'!M30</f>
        <v>0.3341045744365142</v>
      </c>
      <c r="L33" s="286">
        <f>'DRE Consolidada ANO'!N30</f>
        <v>7.5314369869767986E-2</v>
      </c>
    </row>
    <row r="34" spans="2:12">
      <c r="B34" s="109" t="s">
        <v>298</v>
      </c>
      <c r="C34" s="286">
        <f>'DRE Consolidada ANO'!E8</f>
        <v>0.115</v>
      </c>
      <c r="D34" s="286">
        <f>'DRE Consolidada ANO'!F8</f>
        <v>8.7999999999999995E-2</v>
      </c>
      <c r="E34" s="286">
        <f>'DRE Consolidada ANO'!G8</f>
        <v>1.7000000000000001E-2</v>
      </c>
      <c r="F34" s="286">
        <f>'DRE Consolidada ANO'!H8</f>
        <v>5.8000000000000003E-2</v>
      </c>
      <c r="G34" s="286">
        <f>'DRE Consolidada ANO'!I8</f>
        <v>0.152</v>
      </c>
      <c r="H34" s="286">
        <f>'DRE Consolidada ANO'!J8</f>
        <v>0.161</v>
      </c>
      <c r="I34" s="286">
        <f>'DRE Consolidada ANO'!K8</f>
        <v>0.12540138054638661</v>
      </c>
      <c r="J34" s="286">
        <f>'DRE Consolidada ANO'!L8</f>
        <v>0.20200000000000001</v>
      </c>
      <c r="K34" s="286">
        <f>'DRE Consolidada ANO'!M8</f>
        <v>0.33418324185898884</v>
      </c>
      <c r="L34" s="286">
        <f>'DRE Consolidada ANO'!N8</f>
        <v>0.17491794862476753</v>
      </c>
    </row>
    <row r="35" spans="2:12">
      <c r="B35" s="109" t="s">
        <v>299</v>
      </c>
      <c r="C35" s="288">
        <f>C20/(((12150000-3131+4565039)*1000)/1253079108)</f>
        <v>1.065483015145847</v>
      </c>
      <c r="D35" s="288">
        <f>D20/(((12150000+4569664)*1000)/1253079108)</f>
        <v>0.37847946558016954</v>
      </c>
      <c r="E35" s="288">
        <f>E20/(((12150000+1258978)*1000)/1253079108)</f>
        <v>0.14484866910811547</v>
      </c>
      <c r="F35" s="288">
        <f>F20/(((13200295+335445)*1000)/1253079108)</f>
        <v>0.37955991639910336</v>
      </c>
      <c r="G35" s="288">
        <f>G20/(((13200295+574500)*1000)/1253079108)</f>
        <v>0.82781775574881511</v>
      </c>
      <c r="H35" s="288">
        <f>H20/(((13200295+1066003)*1000)/1253079108)</f>
        <v>0.80983793944021087</v>
      </c>
      <c r="I35" s="288">
        <f>I20/(((13200295+843128)*1000)/1253079108)</f>
        <v>0.84856678582422529</v>
      </c>
      <c r="J35" s="288">
        <f>J20/(((13200295+843128)*1000)/1253079108)</f>
        <v>1.3036341473072484</v>
      </c>
      <c r="K35" s="288">
        <f>K20/(((13200295+843128)*1000)/1253079108)</f>
        <v>1.352710039231888</v>
      </c>
      <c r="L35" s="288">
        <f>L20/(((13200295+843128)*1000)/1253079108)</f>
        <v>0.63887888396440096</v>
      </c>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V5:V6 V11:V16 V8" unlockedFormula="1"/>
    <ignoredError sqref="V10" formulaRange="1"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heetViews>
  <sheetFormatPr defaultRowHeight="15"/>
  <cols>
    <col min="1" max="1" width="5.5703125" customWidth="1"/>
    <col min="2" max="2" width="88.7109375" bestFit="1" customWidth="1"/>
  </cols>
  <sheetData>
    <row r="1" spans="2:2" ht="46.5" customHeight="1"/>
    <row r="2" spans="2:2">
      <c r="B2" s="160" t="s">
        <v>212</v>
      </c>
    </row>
    <row r="3" spans="2:2">
      <c r="B3" s="160" t="s">
        <v>213</v>
      </c>
    </row>
    <row r="4" spans="2:2">
      <c r="B4" s="242" t="s">
        <v>245</v>
      </c>
    </row>
    <row r="5" spans="2:2">
      <c r="B5" s="160" t="s">
        <v>244</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zoomScale="70" zoomScaleNormal="70" workbookViewId="0"/>
  </sheetViews>
  <sheetFormatPr defaultRowHeight="12.75"/>
  <cols>
    <col min="1" max="1" width="7" style="178" customWidth="1"/>
    <col min="2" max="2" width="1.140625" style="178" customWidth="1"/>
    <col min="3" max="3" width="70" style="178" customWidth="1"/>
    <col min="4" max="4" width="1.28515625" style="178" customWidth="1"/>
    <col min="5" max="5" width="28.7109375" style="178" customWidth="1"/>
    <col min="6" max="6" width="1" style="178" customWidth="1"/>
    <col min="7" max="7" width="8.28515625" style="178" customWidth="1"/>
    <col min="8" max="8" width="9.140625" style="178"/>
    <col min="9" max="9" width="12.7109375" style="178" bestFit="1" customWidth="1"/>
    <col min="10" max="16" width="9.140625" style="178"/>
    <col min="17" max="17" width="11.85546875" style="178" bestFit="1" customWidth="1"/>
    <col min="18" max="245" width="9.140625" style="178"/>
    <col min="246" max="246" width="6.28515625" style="178" customWidth="1"/>
    <col min="247" max="247" width="6.7109375" style="178" customWidth="1"/>
    <col min="248" max="248" width="9.140625" style="178"/>
    <col min="249" max="249" width="64.5703125" style="178" customWidth="1"/>
    <col min="250" max="250" width="1.28515625" style="178" customWidth="1"/>
    <col min="251" max="251" width="28.7109375" style="178" customWidth="1"/>
    <col min="252" max="252" width="0.85546875" style="178" customWidth="1"/>
    <col min="253" max="253" width="31" style="178" customWidth="1"/>
    <col min="254" max="254" width="3.85546875" style="178" customWidth="1"/>
    <col min="255" max="255" width="22" style="178" customWidth="1"/>
    <col min="256" max="501" width="9.140625" style="178"/>
    <col min="502" max="502" width="6.28515625" style="178" customWidth="1"/>
    <col min="503" max="503" width="6.7109375" style="178" customWidth="1"/>
    <col min="504" max="504" width="9.140625" style="178"/>
    <col min="505" max="505" width="64.5703125" style="178" customWidth="1"/>
    <col min="506" max="506" width="1.28515625" style="178" customWidth="1"/>
    <col min="507" max="507" width="28.7109375" style="178" customWidth="1"/>
    <col min="508" max="508" width="0.85546875" style="178" customWidth="1"/>
    <col min="509" max="509" width="31" style="178" customWidth="1"/>
    <col min="510" max="510" width="3.85546875" style="178" customWidth="1"/>
    <col min="511" max="511" width="22" style="178" customWidth="1"/>
    <col min="512" max="757" width="9.140625" style="178"/>
    <col min="758" max="758" width="6.28515625" style="178" customWidth="1"/>
    <col min="759" max="759" width="6.7109375" style="178" customWidth="1"/>
    <col min="760" max="760" width="9.140625" style="178"/>
    <col min="761" max="761" width="64.5703125" style="178" customWidth="1"/>
    <col min="762" max="762" width="1.28515625" style="178" customWidth="1"/>
    <col min="763" max="763" width="28.7109375" style="178" customWidth="1"/>
    <col min="764" max="764" width="0.85546875" style="178" customWidth="1"/>
    <col min="765" max="765" width="31" style="178" customWidth="1"/>
    <col min="766" max="766" width="3.85546875" style="178" customWidth="1"/>
    <col min="767" max="767" width="22" style="178" customWidth="1"/>
    <col min="768" max="1013" width="9.140625" style="178"/>
    <col min="1014" max="1014" width="6.28515625" style="178" customWidth="1"/>
    <col min="1015" max="1015" width="6.7109375" style="178" customWidth="1"/>
    <col min="1016" max="1016" width="9.140625" style="178"/>
    <col min="1017" max="1017" width="64.5703125" style="178" customWidth="1"/>
    <col min="1018" max="1018" width="1.28515625" style="178" customWidth="1"/>
    <col min="1019" max="1019" width="28.7109375" style="178" customWidth="1"/>
    <col min="1020" max="1020" width="0.85546875" style="178" customWidth="1"/>
    <col min="1021" max="1021" width="31" style="178" customWidth="1"/>
    <col min="1022" max="1022" width="3.85546875" style="178" customWidth="1"/>
    <col min="1023" max="1023" width="22" style="178" customWidth="1"/>
    <col min="1024" max="1269" width="9.140625" style="178"/>
    <col min="1270" max="1270" width="6.28515625" style="178" customWidth="1"/>
    <col min="1271" max="1271" width="6.7109375" style="178" customWidth="1"/>
    <col min="1272" max="1272" width="9.140625" style="178"/>
    <col min="1273" max="1273" width="64.5703125" style="178" customWidth="1"/>
    <col min="1274" max="1274" width="1.28515625" style="178" customWidth="1"/>
    <col min="1275" max="1275" width="28.7109375" style="178" customWidth="1"/>
    <col min="1276" max="1276" width="0.85546875" style="178" customWidth="1"/>
    <col min="1277" max="1277" width="31" style="178" customWidth="1"/>
    <col min="1278" max="1278" width="3.85546875" style="178" customWidth="1"/>
    <col min="1279" max="1279" width="22" style="178" customWidth="1"/>
    <col min="1280" max="1525" width="9.140625" style="178"/>
    <col min="1526" max="1526" width="6.28515625" style="178" customWidth="1"/>
    <col min="1527" max="1527" width="6.7109375" style="178" customWidth="1"/>
    <col min="1528" max="1528" width="9.140625" style="178"/>
    <col min="1529" max="1529" width="64.5703125" style="178" customWidth="1"/>
    <col min="1530" max="1530" width="1.28515625" style="178" customWidth="1"/>
    <col min="1531" max="1531" width="28.7109375" style="178" customWidth="1"/>
    <col min="1532" max="1532" width="0.85546875" style="178" customWidth="1"/>
    <col min="1533" max="1533" width="31" style="178" customWidth="1"/>
    <col min="1534" max="1534" width="3.85546875" style="178" customWidth="1"/>
    <col min="1535" max="1535" width="22" style="178" customWidth="1"/>
    <col min="1536" max="1781" width="9.140625" style="178"/>
    <col min="1782" max="1782" width="6.28515625" style="178" customWidth="1"/>
    <col min="1783" max="1783" width="6.7109375" style="178" customWidth="1"/>
    <col min="1784" max="1784" width="9.140625" style="178"/>
    <col min="1785" max="1785" width="64.5703125" style="178" customWidth="1"/>
    <col min="1786" max="1786" width="1.28515625" style="178" customWidth="1"/>
    <col min="1787" max="1787" width="28.7109375" style="178" customWidth="1"/>
    <col min="1788" max="1788" width="0.85546875" style="178" customWidth="1"/>
    <col min="1789" max="1789" width="31" style="178" customWidth="1"/>
    <col min="1790" max="1790" width="3.85546875" style="178" customWidth="1"/>
    <col min="1791" max="1791" width="22" style="178" customWidth="1"/>
    <col min="1792" max="2037" width="9.140625" style="178"/>
    <col min="2038" max="2038" width="6.28515625" style="178" customWidth="1"/>
    <col min="2039" max="2039" width="6.7109375" style="178" customWidth="1"/>
    <col min="2040" max="2040" width="9.140625" style="178"/>
    <col min="2041" max="2041" width="64.5703125" style="178" customWidth="1"/>
    <col min="2042" max="2042" width="1.28515625" style="178" customWidth="1"/>
    <col min="2043" max="2043" width="28.7109375" style="178" customWidth="1"/>
    <col min="2044" max="2044" width="0.85546875" style="178" customWidth="1"/>
    <col min="2045" max="2045" width="31" style="178" customWidth="1"/>
    <col min="2046" max="2046" width="3.85546875" style="178" customWidth="1"/>
    <col min="2047" max="2047" width="22" style="178" customWidth="1"/>
    <col min="2048" max="2293" width="9.140625" style="178"/>
    <col min="2294" max="2294" width="6.28515625" style="178" customWidth="1"/>
    <col min="2295" max="2295" width="6.7109375" style="178" customWidth="1"/>
    <col min="2296" max="2296" width="9.140625" style="178"/>
    <col min="2297" max="2297" width="64.5703125" style="178" customWidth="1"/>
    <col min="2298" max="2298" width="1.28515625" style="178" customWidth="1"/>
    <col min="2299" max="2299" width="28.7109375" style="178" customWidth="1"/>
    <col min="2300" max="2300" width="0.85546875" style="178" customWidth="1"/>
    <col min="2301" max="2301" width="31" style="178" customWidth="1"/>
    <col min="2302" max="2302" width="3.85546875" style="178" customWidth="1"/>
    <col min="2303" max="2303" width="22" style="178" customWidth="1"/>
    <col min="2304" max="2549" width="9.140625" style="178"/>
    <col min="2550" max="2550" width="6.28515625" style="178" customWidth="1"/>
    <col min="2551" max="2551" width="6.7109375" style="178" customWidth="1"/>
    <col min="2552" max="2552" width="9.140625" style="178"/>
    <col min="2553" max="2553" width="64.5703125" style="178" customWidth="1"/>
    <col min="2554" max="2554" width="1.28515625" style="178" customWidth="1"/>
    <col min="2555" max="2555" width="28.7109375" style="178" customWidth="1"/>
    <col min="2556" max="2556" width="0.85546875" style="178" customWidth="1"/>
    <col min="2557" max="2557" width="31" style="178" customWidth="1"/>
    <col min="2558" max="2558" width="3.85546875" style="178" customWidth="1"/>
    <col min="2559" max="2559" width="22" style="178" customWidth="1"/>
    <col min="2560" max="2805" width="9.140625" style="178"/>
    <col min="2806" max="2806" width="6.28515625" style="178" customWidth="1"/>
    <col min="2807" max="2807" width="6.7109375" style="178" customWidth="1"/>
    <col min="2808" max="2808" width="9.140625" style="178"/>
    <col min="2809" max="2809" width="64.5703125" style="178" customWidth="1"/>
    <col min="2810" max="2810" width="1.28515625" style="178" customWidth="1"/>
    <col min="2811" max="2811" width="28.7109375" style="178" customWidth="1"/>
    <col min="2812" max="2812" width="0.85546875" style="178" customWidth="1"/>
    <col min="2813" max="2813" width="31" style="178" customWidth="1"/>
    <col min="2814" max="2814" width="3.85546875" style="178" customWidth="1"/>
    <col min="2815" max="2815" width="22" style="178" customWidth="1"/>
    <col min="2816" max="3061" width="9.140625" style="178"/>
    <col min="3062" max="3062" width="6.28515625" style="178" customWidth="1"/>
    <col min="3063" max="3063" width="6.7109375" style="178" customWidth="1"/>
    <col min="3064" max="3064" width="9.140625" style="178"/>
    <col min="3065" max="3065" width="64.5703125" style="178" customWidth="1"/>
    <col min="3066" max="3066" width="1.28515625" style="178" customWidth="1"/>
    <col min="3067" max="3067" width="28.7109375" style="178" customWidth="1"/>
    <col min="3068" max="3068" width="0.85546875" style="178" customWidth="1"/>
    <col min="3069" max="3069" width="31" style="178" customWidth="1"/>
    <col min="3070" max="3070" width="3.85546875" style="178" customWidth="1"/>
    <col min="3071" max="3071" width="22" style="178" customWidth="1"/>
    <col min="3072" max="3317" width="9.140625" style="178"/>
    <col min="3318" max="3318" width="6.28515625" style="178" customWidth="1"/>
    <col min="3319" max="3319" width="6.7109375" style="178" customWidth="1"/>
    <col min="3320" max="3320" width="9.140625" style="178"/>
    <col min="3321" max="3321" width="64.5703125" style="178" customWidth="1"/>
    <col min="3322" max="3322" width="1.28515625" style="178" customWidth="1"/>
    <col min="3323" max="3323" width="28.7109375" style="178" customWidth="1"/>
    <col min="3324" max="3324" width="0.85546875" style="178" customWidth="1"/>
    <col min="3325" max="3325" width="31" style="178" customWidth="1"/>
    <col min="3326" max="3326" width="3.85546875" style="178" customWidth="1"/>
    <col min="3327" max="3327" width="22" style="178" customWidth="1"/>
    <col min="3328" max="3573" width="9.140625" style="178"/>
    <col min="3574" max="3574" width="6.28515625" style="178" customWidth="1"/>
    <col min="3575" max="3575" width="6.7109375" style="178" customWidth="1"/>
    <col min="3576" max="3576" width="9.140625" style="178"/>
    <col min="3577" max="3577" width="64.5703125" style="178" customWidth="1"/>
    <col min="3578" max="3578" width="1.28515625" style="178" customWidth="1"/>
    <col min="3579" max="3579" width="28.7109375" style="178" customWidth="1"/>
    <col min="3580" max="3580" width="0.85546875" style="178" customWidth="1"/>
    <col min="3581" max="3581" width="31" style="178" customWidth="1"/>
    <col min="3582" max="3582" width="3.85546875" style="178" customWidth="1"/>
    <col min="3583" max="3583" width="22" style="178" customWidth="1"/>
    <col min="3584" max="3829" width="9.140625" style="178"/>
    <col min="3830" max="3830" width="6.28515625" style="178" customWidth="1"/>
    <col min="3831" max="3831" width="6.7109375" style="178" customWidth="1"/>
    <col min="3832" max="3832" width="9.140625" style="178"/>
    <col min="3833" max="3833" width="64.5703125" style="178" customWidth="1"/>
    <col min="3834" max="3834" width="1.28515625" style="178" customWidth="1"/>
    <col min="3835" max="3835" width="28.7109375" style="178" customWidth="1"/>
    <col min="3836" max="3836" width="0.85546875" style="178" customWidth="1"/>
    <col min="3837" max="3837" width="31" style="178" customWidth="1"/>
    <col min="3838" max="3838" width="3.85546875" style="178" customWidth="1"/>
    <col min="3839" max="3839" width="22" style="178" customWidth="1"/>
    <col min="3840" max="4085" width="9.140625" style="178"/>
    <col min="4086" max="4086" width="6.28515625" style="178" customWidth="1"/>
    <col min="4087" max="4087" width="6.7109375" style="178" customWidth="1"/>
    <col min="4088" max="4088" width="9.140625" style="178"/>
    <col min="4089" max="4089" width="64.5703125" style="178" customWidth="1"/>
    <col min="4090" max="4090" width="1.28515625" style="178" customWidth="1"/>
    <col min="4091" max="4091" width="28.7109375" style="178" customWidth="1"/>
    <col min="4092" max="4092" width="0.85546875" style="178" customWidth="1"/>
    <col min="4093" max="4093" width="31" style="178" customWidth="1"/>
    <col min="4094" max="4094" width="3.85546875" style="178" customWidth="1"/>
    <col min="4095" max="4095" width="22" style="178" customWidth="1"/>
    <col min="4096" max="4341" width="9.140625" style="178"/>
    <col min="4342" max="4342" width="6.28515625" style="178" customWidth="1"/>
    <col min="4343" max="4343" width="6.7109375" style="178" customWidth="1"/>
    <col min="4344" max="4344" width="9.140625" style="178"/>
    <col min="4345" max="4345" width="64.5703125" style="178" customWidth="1"/>
    <col min="4346" max="4346" width="1.28515625" style="178" customWidth="1"/>
    <col min="4347" max="4347" width="28.7109375" style="178" customWidth="1"/>
    <col min="4348" max="4348" width="0.85546875" style="178" customWidth="1"/>
    <col min="4349" max="4349" width="31" style="178" customWidth="1"/>
    <col min="4350" max="4350" width="3.85546875" style="178" customWidth="1"/>
    <col min="4351" max="4351" width="22" style="178" customWidth="1"/>
    <col min="4352" max="4597" width="9.140625" style="178"/>
    <col min="4598" max="4598" width="6.28515625" style="178" customWidth="1"/>
    <col min="4599" max="4599" width="6.7109375" style="178" customWidth="1"/>
    <col min="4600" max="4600" width="9.140625" style="178"/>
    <col min="4601" max="4601" width="64.5703125" style="178" customWidth="1"/>
    <col min="4602" max="4602" width="1.28515625" style="178" customWidth="1"/>
    <col min="4603" max="4603" width="28.7109375" style="178" customWidth="1"/>
    <col min="4604" max="4604" width="0.85546875" style="178" customWidth="1"/>
    <col min="4605" max="4605" width="31" style="178" customWidth="1"/>
    <col min="4606" max="4606" width="3.85546875" style="178" customWidth="1"/>
    <col min="4607" max="4607" width="22" style="178" customWidth="1"/>
    <col min="4608" max="4853" width="9.140625" style="178"/>
    <col min="4854" max="4854" width="6.28515625" style="178" customWidth="1"/>
    <col min="4855" max="4855" width="6.7109375" style="178" customWidth="1"/>
    <col min="4856" max="4856" width="9.140625" style="178"/>
    <col min="4857" max="4857" width="64.5703125" style="178" customWidth="1"/>
    <col min="4858" max="4858" width="1.28515625" style="178" customWidth="1"/>
    <col min="4859" max="4859" width="28.7109375" style="178" customWidth="1"/>
    <col min="4860" max="4860" width="0.85546875" style="178" customWidth="1"/>
    <col min="4861" max="4861" width="31" style="178" customWidth="1"/>
    <col min="4862" max="4862" width="3.85546875" style="178" customWidth="1"/>
    <col min="4863" max="4863" width="22" style="178" customWidth="1"/>
    <col min="4864" max="5109" width="9.140625" style="178"/>
    <col min="5110" max="5110" width="6.28515625" style="178" customWidth="1"/>
    <col min="5111" max="5111" width="6.7109375" style="178" customWidth="1"/>
    <col min="5112" max="5112" width="9.140625" style="178"/>
    <col min="5113" max="5113" width="64.5703125" style="178" customWidth="1"/>
    <col min="5114" max="5114" width="1.28515625" style="178" customWidth="1"/>
    <col min="5115" max="5115" width="28.7109375" style="178" customWidth="1"/>
    <col min="5116" max="5116" width="0.85546875" style="178" customWidth="1"/>
    <col min="5117" max="5117" width="31" style="178" customWidth="1"/>
    <col min="5118" max="5118" width="3.85546875" style="178" customWidth="1"/>
    <col min="5119" max="5119" width="22" style="178" customWidth="1"/>
    <col min="5120" max="5365" width="9.140625" style="178"/>
    <col min="5366" max="5366" width="6.28515625" style="178" customWidth="1"/>
    <col min="5367" max="5367" width="6.7109375" style="178" customWidth="1"/>
    <col min="5368" max="5368" width="9.140625" style="178"/>
    <col min="5369" max="5369" width="64.5703125" style="178" customWidth="1"/>
    <col min="5370" max="5370" width="1.28515625" style="178" customWidth="1"/>
    <col min="5371" max="5371" width="28.7109375" style="178" customWidth="1"/>
    <col min="5372" max="5372" width="0.85546875" style="178" customWidth="1"/>
    <col min="5373" max="5373" width="31" style="178" customWidth="1"/>
    <col min="5374" max="5374" width="3.85546875" style="178" customWidth="1"/>
    <col min="5375" max="5375" width="22" style="178" customWidth="1"/>
    <col min="5376" max="5621" width="9.140625" style="178"/>
    <col min="5622" max="5622" width="6.28515625" style="178" customWidth="1"/>
    <col min="5623" max="5623" width="6.7109375" style="178" customWidth="1"/>
    <col min="5624" max="5624" width="9.140625" style="178"/>
    <col min="5625" max="5625" width="64.5703125" style="178" customWidth="1"/>
    <col min="5626" max="5626" width="1.28515625" style="178" customWidth="1"/>
    <col min="5627" max="5627" width="28.7109375" style="178" customWidth="1"/>
    <col min="5628" max="5628" width="0.85546875" style="178" customWidth="1"/>
    <col min="5629" max="5629" width="31" style="178" customWidth="1"/>
    <col min="5630" max="5630" width="3.85546875" style="178" customWidth="1"/>
    <col min="5631" max="5631" width="22" style="178" customWidth="1"/>
    <col min="5632" max="5877" width="9.140625" style="178"/>
    <col min="5878" max="5878" width="6.28515625" style="178" customWidth="1"/>
    <col min="5879" max="5879" width="6.7109375" style="178" customWidth="1"/>
    <col min="5880" max="5880" width="9.140625" style="178"/>
    <col min="5881" max="5881" width="64.5703125" style="178" customWidth="1"/>
    <col min="5882" max="5882" width="1.28515625" style="178" customWidth="1"/>
    <col min="5883" max="5883" width="28.7109375" style="178" customWidth="1"/>
    <col min="5884" max="5884" width="0.85546875" style="178" customWidth="1"/>
    <col min="5885" max="5885" width="31" style="178" customWidth="1"/>
    <col min="5886" max="5886" width="3.85546875" style="178" customWidth="1"/>
    <col min="5887" max="5887" width="22" style="178" customWidth="1"/>
    <col min="5888" max="6133" width="9.140625" style="178"/>
    <col min="6134" max="6134" width="6.28515625" style="178" customWidth="1"/>
    <col min="6135" max="6135" width="6.7109375" style="178" customWidth="1"/>
    <col min="6136" max="6136" width="9.140625" style="178"/>
    <col min="6137" max="6137" width="64.5703125" style="178" customWidth="1"/>
    <col min="6138" max="6138" width="1.28515625" style="178" customWidth="1"/>
    <col min="6139" max="6139" width="28.7109375" style="178" customWidth="1"/>
    <col min="6140" max="6140" width="0.85546875" style="178" customWidth="1"/>
    <col min="6141" max="6141" width="31" style="178" customWidth="1"/>
    <col min="6142" max="6142" width="3.85546875" style="178" customWidth="1"/>
    <col min="6143" max="6143" width="22" style="178" customWidth="1"/>
    <col min="6144" max="6389" width="9.140625" style="178"/>
    <col min="6390" max="6390" width="6.28515625" style="178" customWidth="1"/>
    <col min="6391" max="6391" width="6.7109375" style="178" customWidth="1"/>
    <col min="6392" max="6392" width="9.140625" style="178"/>
    <col min="6393" max="6393" width="64.5703125" style="178" customWidth="1"/>
    <col min="6394" max="6394" width="1.28515625" style="178" customWidth="1"/>
    <col min="6395" max="6395" width="28.7109375" style="178" customWidth="1"/>
    <col min="6396" max="6396" width="0.85546875" style="178" customWidth="1"/>
    <col min="6397" max="6397" width="31" style="178" customWidth="1"/>
    <col min="6398" max="6398" width="3.85546875" style="178" customWidth="1"/>
    <col min="6399" max="6399" width="22" style="178" customWidth="1"/>
    <col min="6400" max="6645" width="9.140625" style="178"/>
    <col min="6646" max="6646" width="6.28515625" style="178" customWidth="1"/>
    <col min="6647" max="6647" width="6.7109375" style="178" customWidth="1"/>
    <col min="6648" max="6648" width="9.140625" style="178"/>
    <col min="6649" max="6649" width="64.5703125" style="178" customWidth="1"/>
    <col min="6650" max="6650" width="1.28515625" style="178" customWidth="1"/>
    <col min="6651" max="6651" width="28.7109375" style="178" customWidth="1"/>
    <col min="6652" max="6652" width="0.85546875" style="178" customWidth="1"/>
    <col min="6653" max="6653" width="31" style="178" customWidth="1"/>
    <col min="6654" max="6654" width="3.85546875" style="178" customWidth="1"/>
    <col min="6655" max="6655" width="22" style="178" customWidth="1"/>
    <col min="6656" max="6901" width="9.140625" style="178"/>
    <col min="6902" max="6902" width="6.28515625" style="178" customWidth="1"/>
    <col min="6903" max="6903" width="6.7109375" style="178" customWidth="1"/>
    <col min="6904" max="6904" width="9.140625" style="178"/>
    <col min="6905" max="6905" width="64.5703125" style="178" customWidth="1"/>
    <col min="6906" max="6906" width="1.28515625" style="178" customWidth="1"/>
    <col min="6907" max="6907" width="28.7109375" style="178" customWidth="1"/>
    <col min="6908" max="6908" width="0.85546875" style="178" customWidth="1"/>
    <col min="6909" max="6909" width="31" style="178" customWidth="1"/>
    <col min="6910" max="6910" width="3.85546875" style="178" customWidth="1"/>
    <col min="6911" max="6911" width="22" style="178" customWidth="1"/>
    <col min="6912" max="7157" width="9.140625" style="178"/>
    <col min="7158" max="7158" width="6.28515625" style="178" customWidth="1"/>
    <col min="7159" max="7159" width="6.7109375" style="178" customWidth="1"/>
    <col min="7160" max="7160" width="9.140625" style="178"/>
    <col min="7161" max="7161" width="64.5703125" style="178" customWidth="1"/>
    <col min="7162" max="7162" width="1.28515625" style="178" customWidth="1"/>
    <col min="7163" max="7163" width="28.7109375" style="178" customWidth="1"/>
    <col min="7164" max="7164" width="0.85546875" style="178" customWidth="1"/>
    <col min="7165" max="7165" width="31" style="178" customWidth="1"/>
    <col min="7166" max="7166" width="3.85546875" style="178" customWidth="1"/>
    <col min="7167" max="7167" width="22" style="178" customWidth="1"/>
    <col min="7168" max="7413" width="9.140625" style="178"/>
    <col min="7414" max="7414" width="6.28515625" style="178" customWidth="1"/>
    <col min="7415" max="7415" width="6.7109375" style="178" customWidth="1"/>
    <col min="7416" max="7416" width="9.140625" style="178"/>
    <col min="7417" max="7417" width="64.5703125" style="178" customWidth="1"/>
    <col min="7418" max="7418" width="1.28515625" style="178" customWidth="1"/>
    <col min="7419" max="7419" width="28.7109375" style="178" customWidth="1"/>
    <col min="7420" max="7420" width="0.85546875" style="178" customWidth="1"/>
    <col min="7421" max="7421" width="31" style="178" customWidth="1"/>
    <col min="7422" max="7422" width="3.85546875" style="178" customWidth="1"/>
    <col min="7423" max="7423" width="22" style="178" customWidth="1"/>
    <col min="7424" max="7669" width="9.140625" style="178"/>
    <col min="7670" max="7670" width="6.28515625" style="178" customWidth="1"/>
    <col min="7671" max="7671" width="6.7109375" style="178" customWidth="1"/>
    <col min="7672" max="7672" width="9.140625" style="178"/>
    <col min="7673" max="7673" width="64.5703125" style="178" customWidth="1"/>
    <col min="7674" max="7674" width="1.28515625" style="178" customWidth="1"/>
    <col min="7675" max="7675" width="28.7109375" style="178" customWidth="1"/>
    <col min="7676" max="7676" width="0.85546875" style="178" customWidth="1"/>
    <col min="7677" max="7677" width="31" style="178" customWidth="1"/>
    <col min="7678" max="7678" width="3.85546875" style="178" customWidth="1"/>
    <col min="7679" max="7679" width="22" style="178" customWidth="1"/>
    <col min="7680" max="7925" width="9.140625" style="178"/>
    <col min="7926" max="7926" width="6.28515625" style="178" customWidth="1"/>
    <col min="7927" max="7927" width="6.7109375" style="178" customWidth="1"/>
    <col min="7928" max="7928" width="9.140625" style="178"/>
    <col min="7929" max="7929" width="64.5703125" style="178" customWidth="1"/>
    <col min="7930" max="7930" width="1.28515625" style="178" customWidth="1"/>
    <col min="7931" max="7931" width="28.7109375" style="178" customWidth="1"/>
    <col min="7932" max="7932" width="0.85546875" style="178" customWidth="1"/>
    <col min="7933" max="7933" width="31" style="178" customWidth="1"/>
    <col min="7934" max="7934" width="3.85546875" style="178" customWidth="1"/>
    <col min="7935" max="7935" width="22" style="178" customWidth="1"/>
    <col min="7936" max="8181" width="9.140625" style="178"/>
    <col min="8182" max="8182" width="6.28515625" style="178" customWidth="1"/>
    <col min="8183" max="8183" width="6.7109375" style="178" customWidth="1"/>
    <col min="8184" max="8184" width="9.140625" style="178"/>
    <col min="8185" max="8185" width="64.5703125" style="178" customWidth="1"/>
    <col min="8186" max="8186" width="1.28515625" style="178" customWidth="1"/>
    <col min="8187" max="8187" width="28.7109375" style="178" customWidth="1"/>
    <col min="8188" max="8188" width="0.85546875" style="178" customWidth="1"/>
    <col min="8189" max="8189" width="31" style="178" customWidth="1"/>
    <col min="8190" max="8190" width="3.85546875" style="178" customWidth="1"/>
    <col min="8191" max="8191" width="22" style="178" customWidth="1"/>
    <col min="8192" max="8437" width="9.140625" style="178"/>
    <col min="8438" max="8438" width="6.28515625" style="178" customWidth="1"/>
    <col min="8439" max="8439" width="6.7109375" style="178" customWidth="1"/>
    <col min="8440" max="8440" width="9.140625" style="178"/>
    <col min="8441" max="8441" width="64.5703125" style="178" customWidth="1"/>
    <col min="8442" max="8442" width="1.28515625" style="178" customWidth="1"/>
    <col min="8443" max="8443" width="28.7109375" style="178" customWidth="1"/>
    <col min="8444" max="8444" width="0.85546875" style="178" customWidth="1"/>
    <col min="8445" max="8445" width="31" style="178" customWidth="1"/>
    <col min="8446" max="8446" width="3.85546875" style="178" customWidth="1"/>
    <col min="8447" max="8447" width="22" style="178" customWidth="1"/>
    <col min="8448" max="8693" width="9.140625" style="178"/>
    <col min="8694" max="8694" width="6.28515625" style="178" customWidth="1"/>
    <col min="8695" max="8695" width="6.7109375" style="178" customWidth="1"/>
    <col min="8696" max="8696" width="9.140625" style="178"/>
    <col min="8697" max="8697" width="64.5703125" style="178" customWidth="1"/>
    <col min="8698" max="8698" width="1.28515625" style="178" customWidth="1"/>
    <col min="8699" max="8699" width="28.7109375" style="178" customWidth="1"/>
    <col min="8700" max="8700" width="0.85546875" style="178" customWidth="1"/>
    <col min="8701" max="8701" width="31" style="178" customWidth="1"/>
    <col min="8702" max="8702" width="3.85546875" style="178" customWidth="1"/>
    <col min="8703" max="8703" width="22" style="178" customWidth="1"/>
    <col min="8704" max="8949" width="9.140625" style="178"/>
    <col min="8950" max="8950" width="6.28515625" style="178" customWidth="1"/>
    <col min="8951" max="8951" width="6.7109375" style="178" customWidth="1"/>
    <col min="8952" max="8952" width="9.140625" style="178"/>
    <col min="8953" max="8953" width="64.5703125" style="178" customWidth="1"/>
    <col min="8954" max="8954" width="1.28515625" style="178" customWidth="1"/>
    <col min="8955" max="8955" width="28.7109375" style="178" customWidth="1"/>
    <col min="8956" max="8956" width="0.85546875" style="178" customWidth="1"/>
    <col min="8957" max="8957" width="31" style="178" customWidth="1"/>
    <col min="8958" max="8958" width="3.85546875" style="178" customWidth="1"/>
    <col min="8959" max="8959" width="22" style="178" customWidth="1"/>
    <col min="8960" max="9205" width="9.140625" style="178"/>
    <col min="9206" max="9206" width="6.28515625" style="178" customWidth="1"/>
    <col min="9207" max="9207" width="6.7109375" style="178" customWidth="1"/>
    <col min="9208" max="9208" width="9.140625" style="178"/>
    <col min="9209" max="9209" width="64.5703125" style="178" customWidth="1"/>
    <col min="9210" max="9210" width="1.28515625" style="178" customWidth="1"/>
    <col min="9211" max="9211" width="28.7109375" style="178" customWidth="1"/>
    <col min="9212" max="9212" width="0.85546875" style="178" customWidth="1"/>
    <col min="9213" max="9213" width="31" style="178" customWidth="1"/>
    <col min="9214" max="9214" width="3.85546875" style="178" customWidth="1"/>
    <col min="9215" max="9215" width="22" style="178" customWidth="1"/>
    <col min="9216" max="9461" width="9.140625" style="178"/>
    <col min="9462" max="9462" width="6.28515625" style="178" customWidth="1"/>
    <col min="9463" max="9463" width="6.7109375" style="178" customWidth="1"/>
    <col min="9464" max="9464" width="9.140625" style="178"/>
    <col min="9465" max="9465" width="64.5703125" style="178" customWidth="1"/>
    <col min="9466" max="9466" width="1.28515625" style="178" customWidth="1"/>
    <col min="9467" max="9467" width="28.7109375" style="178" customWidth="1"/>
    <col min="9468" max="9468" width="0.85546875" style="178" customWidth="1"/>
    <col min="9469" max="9469" width="31" style="178" customWidth="1"/>
    <col min="9470" max="9470" width="3.85546875" style="178" customWidth="1"/>
    <col min="9471" max="9471" width="22" style="178" customWidth="1"/>
    <col min="9472" max="9717" width="9.140625" style="178"/>
    <col min="9718" max="9718" width="6.28515625" style="178" customWidth="1"/>
    <col min="9719" max="9719" width="6.7109375" style="178" customWidth="1"/>
    <col min="9720" max="9720" width="9.140625" style="178"/>
    <col min="9721" max="9721" width="64.5703125" style="178" customWidth="1"/>
    <col min="9722" max="9722" width="1.28515625" style="178" customWidth="1"/>
    <col min="9723" max="9723" width="28.7109375" style="178" customWidth="1"/>
    <col min="9724" max="9724" width="0.85546875" style="178" customWidth="1"/>
    <col min="9725" max="9725" width="31" style="178" customWidth="1"/>
    <col min="9726" max="9726" width="3.85546875" style="178" customWidth="1"/>
    <col min="9727" max="9727" width="22" style="178" customWidth="1"/>
    <col min="9728" max="9973" width="9.140625" style="178"/>
    <col min="9974" max="9974" width="6.28515625" style="178" customWidth="1"/>
    <col min="9975" max="9975" width="6.7109375" style="178" customWidth="1"/>
    <col min="9976" max="9976" width="9.140625" style="178"/>
    <col min="9977" max="9977" width="64.5703125" style="178" customWidth="1"/>
    <col min="9978" max="9978" width="1.28515625" style="178" customWidth="1"/>
    <col min="9979" max="9979" width="28.7109375" style="178" customWidth="1"/>
    <col min="9980" max="9980" width="0.85546875" style="178" customWidth="1"/>
    <col min="9981" max="9981" width="31" style="178" customWidth="1"/>
    <col min="9982" max="9982" width="3.85546875" style="178" customWidth="1"/>
    <col min="9983" max="9983" width="22" style="178" customWidth="1"/>
    <col min="9984" max="10229" width="9.140625" style="178"/>
    <col min="10230" max="10230" width="6.28515625" style="178" customWidth="1"/>
    <col min="10231" max="10231" width="6.7109375" style="178" customWidth="1"/>
    <col min="10232" max="10232" width="9.140625" style="178"/>
    <col min="10233" max="10233" width="64.5703125" style="178" customWidth="1"/>
    <col min="10234" max="10234" width="1.28515625" style="178" customWidth="1"/>
    <col min="10235" max="10235" width="28.7109375" style="178" customWidth="1"/>
    <col min="10236" max="10236" width="0.85546875" style="178" customWidth="1"/>
    <col min="10237" max="10237" width="31" style="178" customWidth="1"/>
    <col min="10238" max="10238" width="3.85546875" style="178" customWidth="1"/>
    <col min="10239" max="10239" width="22" style="178" customWidth="1"/>
    <col min="10240" max="10485" width="9.140625" style="178"/>
    <col min="10486" max="10486" width="6.28515625" style="178" customWidth="1"/>
    <col min="10487" max="10487" width="6.7109375" style="178" customWidth="1"/>
    <col min="10488" max="10488" width="9.140625" style="178"/>
    <col min="10489" max="10489" width="64.5703125" style="178" customWidth="1"/>
    <col min="10490" max="10490" width="1.28515625" style="178" customWidth="1"/>
    <col min="10491" max="10491" width="28.7109375" style="178" customWidth="1"/>
    <col min="10492" max="10492" width="0.85546875" style="178" customWidth="1"/>
    <col min="10493" max="10493" width="31" style="178" customWidth="1"/>
    <col min="10494" max="10494" width="3.85546875" style="178" customWidth="1"/>
    <col min="10495" max="10495" width="22" style="178" customWidth="1"/>
    <col min="10496" max="10741" width="9.140625" style="178"/>
    <col min="10742" max="10742" width="6.28515625" style="178" customWidth="1"/>
    <col min="10743" max="10743" width="6.7109375" style="178" customWidth="1"/>
    <col min="10744" max="10744" width="9.140625" style="178"/>
    <col min="10745" max="10745" width="64.5703125" style="178" customWidth="1"/>
    <col min="10746" max="10746" width="1.28515625" style="178" customWidth="1"/>
    <col min="10747" max="10747" width="28.7109375" style="178" customWidth="1"/>
    <col min="10748" max="10748" width="0.85546875" style="178" customWidth="1"/>
    <col min="10749" max="10749" width="31" style="178" customWidth="1"/>
    <col min="10750" max="10750" width="3.85546875" style="178" customWidth="1"/>
    <col min="10751" max="10751" width="22" style="178" customWidth="1"/>
    <col min="10752" max="10997" width="9.140625" style="178"/>
    <col min="10998" max="10998" width="6.28515625" style="178" customWidth="1"/>
    <col min="10999" max="10999" width="6.7109375" style="178" customWidth="1"/>
    <col min="11000" max="11000" width="9.140625" style="178"/>
    <col min="11001" max="11001" width="64.5703125" style="178" customWidth="1"/>
    <col min="11002" max="11002" width="1.28515625" style="178" customWidth="1"/>
    <col min="11003" max="11003" width="28.7109375" style="178" customWidth="1"/>
    <col min="11004" max="11004" width="0.85546875" style="178" customWidth="1"/>
    <col min="11005" max="11005" width="31" style="178" customWidth="1"/>
    <col min="11006" max="11006" width="3.85546875" style="178" customWidth="1"/>
    <col min="11007" max="11007" width="22" style="178" customWidth="1"/>
    <col min="11008" max="11253" width="9.140625" style="178"/>
    <col min="11254" max="11254" width="6.28515625" style="178" customWidth="1"/>
    <col min="11255" max="11255" width="6.7109375" style="178" customWidth="1"/>
    <col min="11256" max="11256" width="9.140625" style="178"/>
    <col min="11257" max="11257" width="64.5703125" style="178" customWidth="1"/>
    <col min="11258" max="11258" width="1.28515625" style="178" customWidth="1"/>
    <col min="11259" max="11259" width="28.7109375" style="178" customWidth="1"/>
    <col min="11260" max="11260" width="0.85546875" style="178" customWidth="1"/>
    <col min="11261" max="11261" width="31" style="178" customWidth="1"/>
    <col min="11262" max="11262" width="3.85546875" style="178" customWidth="1"/>
    <col min="11263" max="11263" width="22" style="178" customWidth="1"/>
    <col min="11264" max="11509" width="9.140625" style="178"/>
    <col min="11510" max="11510" width="6.28515625" style="178" customWidth="1"/>
    <col min="11511" max="11511" width="6.7109375" style="178" customWidth="1"/>
    <col min="11512" max="11512" width="9.140625" style="178"/>
    <col min="11513" max="11513" width="64.5703125" style="178" customWidth="1"/>
    <col min="11514" max="11514" width="1.28515625" style="178" customWidth="1"/>
    <col min="11515" max="11515" width="28.7109375" style="178" customWidth="1"/>
    <col min="11516" max="11516" width="0.85546875" style="178" customWidth="1"/>
    <col min="11517" max="11517" width="31" style="178" customWidth="1"/>
    <col min="11518" max="11518" width="3.85546875" style="178" customWidth="1"/>
    <col min="11519" max="11519" width="22" style="178" customWidth="1"/>
    <col min="11520" max="11765" width="9.140625" style="178"/>
    <col min="11766" max="11766" width="6.28515625" style="178" customWidth="1"/>
    <col min="11767" max="11767" width="6.7109375" style="178" customWidth="1"/>
    <col min="11768" max="11768" width="9.140625" style="178"/>
    <col min="11769" max="11769" width="64.5703125" style="178" customWidth="1"/>
    <col min="11770" max="11770" width="1.28515625" style="178" customWidth="1"/>
    <col min="11771" max="11771" width="28.7109375" style="178" customWidth="1"/>
    <col min="11772" max="11772" width="0.85546875" style="178" customWidth="1"/>
    <col min="11773" max="11773" width="31" style="178" customWidth="1"/>
    <col min="11774" max="11774" width="3.85546875" style="178" customWidth="1"/>
    <col min="11775" max="11775" width="22" style="178" customWidth="1"/>
    <col min="11776" max="12021" width="9.140625" style="178"/>
    <col min="12022" max="12022" width="6.28515625" style="178" customWidth="1"/>
    <col min="12023" max="12023" width="6.7109375" style="178" customWidth="1"/>
    <col min="12024" max="12024" width="9.140625" style="178"/>
    <col min="12025" max="12025" width="64.5703125" style="178" customWidth="1"/>
    <col min="12026" max="12026" width="1.28515625" style="178" customWidth="1"/>
    <col min="12027" max="12027" width="28.7109375" style="178" customWidth="1"/>
    <col min="12028" max="12028" width="0.85546875" style="178" customWidth="1"/>
    <col min="12029" max="12029" width="31" style="178" customWidth="1"/>
    <col min="12030" max="12030" width="3.85546875" style="178" customWidth="1"/>
    <col min="12031" max="12031" width="22" style="178" customWidth="1"/>
    <col min="12032" max="12277" width="9.140625" style="178"/>
    <col min="12278" max="12278" width="6.28515625" style="178" customWidth="1"/>
    <col min="12279" max="12279" width="6.7109375" style="178" customWidth="1"/>
    <col min="12280" max="12280" width="9.140625" style="178"/>
    <col min="12281" max="12281" width="64.5703125" style="178" customWidth="1"/>
    <col min="12282" max="12282" width="1.28515625" style="178" customWidth="1"/>
    <col min="12283" max="12283" width="28.7109375" style="178" customWidth="1"/>
    <col min="12284" max="12284" width="0.85546875" style="178" customWidth="1"/>
    <col min="12285" max="12285" width="31" style="178" customWidth="1"/>
    <col min="12286" max="12286" width="3.85546875" style="178" customWidth="1"/>
    <col min="12287" max="12287" width="22" style="178" customWidth="1"/>
    <col min="12288" max="12533" width="9.140625" style="178"/>
    <col min="12534" max="12534" width="6.28515625" style="178" customWidth="1"/>
    <col min="12535" max="12535" width="6.7109375" style="178" customWidth="1"/>
    <col min="12536" max="12536" width="9.140625" style="178"/>
    <col min="12537" max="12537" width="64.5703125" style="178" customWidth="1"/>
    <col min="12538" max="12538" width="1.28515625" style="178" customWidth="1"/>
    <col min="12539" max="12539" width="28.7109375" style="178" customWidth="1"/>
    <col min="12540" max="12540" width="0.85546875" style="178" customWidth="1"/>
    <col min="12541" max="12541" width="31" style="178" customWidth="1"/>
    <col min="12542" max="12542" width="3.85546875" style="178" customWidth="1"/>
    <col min="12543" max="12543" width="22" style="178" customWidth="1"/>
    <col min="12544" max="12789" width="9.140625" style="178"/>
    <col min="12790" max="12790" width="6.28515625" style="178" customWidth="1"/>
    <col min="12791" max="12791" width="6.7109375" style="178" customWidth="1"/>
    <col min="12792" max="12792" width="9.140625" style="178"/>
    <col min="12793" max="12793" width="64.5703125" style="178" customWidth="1"/>
    <col min="12794" max="12794" width="1.28515625" style="178" customWidth="1"/>
    <col min="12795" max="12795" width="28.7109375" style="178" customWidth="1"/>
    <col min="12796" max="12796" width="0.85546875" style="178" customWidth="1"/>
    <col min="12797" max="12797" width="31" style="178" customWidth="1"/>
    <col min="12798" max="12798" width="3.85546875" style="178" customWidth="1"/>
    <col min="12799" max="12799" width="22" style="178" customWidth="1"/>
    <col min="12800" max="13045" width="9.140625" style="178"/>
    <col min="13046" max="13046" width="6.28515625" style="178" customWidth="1"/>
    <col min="13047" max="13047" width="6.7109375" style="178" customWidth="1"/>
    <col min="13048" max="13048" width="9.140625" style="178"/>
    <col min="13049" max="13049" width="64.5703125" style="178" customWidth="1"/>
    <col min="13050" max="13050" width="1.28515625" style="178" customWidth="1"/>
    <col min="13051" max="13051" width="28.7109375" style="178" customWidth="1"/>
    <col min="13052" max="13052" width="0.85546875" style="178" customWidth="1"/>
    <col min="13053" max="13053" width="31" style="178" customWidth="1"/>
    <col min="13054" max="13054" width="3.85546875" style="178" customWidth="1"/>
    <col min="13055" max="13055" width="22" style="178" customWidth="1"/>
    <col min="13056" max="13301" width="9.140625" style="178"/>
    <col min="13302" max="13302" width="6.28515625" style="178" customWidth="1"/>
    <col min="13303" max="13303" width="6.7109375" style="178" customWidth="1"/>
    <col min="13304" max="13304" width="9.140625" style="178"/>
    <col min="13305" max="13305" width="64.5703125" style="178" customWidth="1"/>
    <col min="13306" max="13306" width="1.28515625" style="178" customWidth="1"/>
    <col min="13307" max="13307" width="28.7109375" style="178" customWidth="1"/>
    <col min="13308" max="13308" width="0.85546875" style="178" customWidth="1"/>
    <col min="13309" max="13309" width="31" style="178" customWidth="1"/>
    <col min="13310" max="13310" width="3.85546875" style="178" customWidth="1"/>
    <col min="13311" max="13311" width="22" style="178" customWidth="1"/>
    <col min="13312" max="13557" width="9.140625" style="178"/>
    <col min="13558" max="13558" width="6.28515625" style="178" customWidth="1"/>
    <col min="13559" max="13559" width="6.7109375" style="178" customWidth="1"/>
    <col min="13560" max="13560" width="9.140625" style="178"/>
    <col min="13561" max="13561" width="64.5703125" style="178" customWidth="1"/>
    <col min="13562" max="13562" width="1.28515625" style="178" customWidth="1"/>
    <col min="13563" max="13563" width="28.7109375" style="178" customWidth="1"/>
    <col min="13564" max="13564" width="0.85546875" style="178" customWidth="1"/>
    <col min="13565" max="13565" width="31" style="178" customWidth="1"/>
    <col min="13566" max="13566" width="3.85546875" style="178" customWidth="1"/>
    <col min="13567" max="13567" width="22" style="178" customWidth="1"/>
    <col min="13568" max="13813" width="9.140625" style="178"/>
    <col min="13814" max="13814" width="6.28515625" style="178" customWidth="1"/>
    <col min="13815" max="13815" width="6.7109375" style="178" customWidth="1"/>
    <col min="13816" max="13816" width="9.140625" style="178"/>
    <col min="13817" max="13817" width="64.5703125" style="178" customWidth="1"/>
    <col min="13818" max="13818" width="1.28515625" style="178" customWidth="1"/>
    <col min="13819" max="13819" width="28.7109375" style="178" customWidth="1"/>
    <col min="13820" max="13820" width="0.85546875" style="178" customWidth="1"/>
    <col min="13821" max="13821" width="31" style="178" customWidth="1"/>
    <col min="13822" max="13822" width="3.85546875" style="178" customWidth="1"/>
    <col min="13823" max="13823" width="22" style="178" customWidth="1"/>
    <col min="13824" max="14069" width="9.140625" style="178"/>
    <col min="14070" max="14070" width="6.28515625" style="178" customWidth="1"/>
    <col min="14071" max="14071" width="6.7109375" style="178" customWidth="1"/>
    <col min="14072" max="14072" width="9.140625" style="178"/>
    <col min="14073" max="14073" width="64.5703125" style="178" customWidth="1"/>
    <col min="14074" max="14074" width="1.28515625" style="178" customWidth="1"/>
    <col min="14075" max="14075" width="28.7109375" style="178" customWidth="1"/>
    <col min="14076" max="14076" width="0.85546875" style="178" customWidth="1"/>
    <col min="14077" max="14077" width="31" style="178" customWidth="1"/>
    <col min="14078" max="14078" width="3.85546875" style="178" customWidth="1"/>
    <col min="14079" max="14079" width="22" style="178" customWidth="1"/>
    <col min="14080" max="14325" width="9.140625" style="178"/>
    <col min="14326" max="14326" width="6.28515625" style="178" customWidth="1"/>
    <col min="14327" max="14327" width="6.7109375" style="178" customWidth="1"/>
    <col min="14328" max="14328" width="9.140625" style="178"/>
    <col min="14329" max="14329" width="64.5703125" style="178" customWidth="1"/>
    <col min="14330" max="14330" width="1.28515625" style="178" customWidth="1"/>
    <col min="14331" max="14331" width="28.7109375" style="178" customWidth="1"/>
    <col min="14332" max="14332" width="0.85546875" style="178" customWidth="1"/>
    <col min="14333" max="14333" width="31" style="178" customWidth="1"/>
    <col min="14334" max="14334" width="3.85546875" style="178" customWidth="1"/>
    <col min="14335" max="14335" width="22" style="178" customWidth="1"/>
    <col min="14336" max="14581" width="9.140625" style="178"/>
    <col min="14582" max="14582" width="6.28515625" style="178" customWidth="1"/>
    <col min="14583" max="14583" width="6.7109375" style="178" customWidth="1"/>
    <col min="14584" max="14584" width="9.140625" style="178"/>
    <col min="14585" max="14585" width="64.5703125" style="178" customWidth="1"/>
    <col min="14586" max="14586" width="1.28515625" style="178" customWidth="1"/>
    <col min="14587" max="14587" width="28.7109375" style="178" customWidth="1"/>
    <col min="14588" max="14588" width="0.85546875" style="178" customWidth="1"/>
    <col min="14589" max="14589" width="31" style="178" customWidth="1"/>
    <col min="14590" max="14590" width="3.85546875" style="178" customWidth="1"/>
    <col min="14591" max="14591" width="22" style="178" customWidth="1"/>
    <col min="14592" max="14837" width="9.140625" style="178"/>
    <col min="14838" max="14838" width="6.28515625" style="178" customWidth="1"/>
    <col min="14839" max="14839" width="6.7109375" style="178" customWidth="1"/>
    <col min="14840" max="14840" width="9.140625" style="178"/>
    <col min="14841" max="14841" width="64.5703125" style="178" customWidth="1"/>
    <col min="14842" max="14842" width="1.28515625" style="178" customWidth="1"/>
    <col min="14843" max="14843" width="28.7109375" style="178" customWidth="1"/>
    <col min="14844" max="14844" width="0.85546875" style="178" customWidth="1"/>
    <col min="14845" max="14845" width="31" style="178" customWidth="1"/>
    <col min="14846" max="14846" width="3.85546875" style="178" customWidth="1"/>
    <col min="14847" max="14847" width="22" style="178" customWidth="1"/>
    <col min="14848" max="15093" width="9.140625" style="178"/>
    <col min="15094" max="15094" width="6.28515625" style="178" customWidth="1"/>
    <col min="15095" max="15095" width="6.7109375" style="178" customWidth="1"/>
    <col min="15096" max="15096" width="9.140625" style="178"/>
    <col min="15097" max="15097" width="64.5703125" style="178" customWidth="1"/>
    <col min="15098" max="15098" width="1.28515625" style="178" customWidth="1"/>
    <col min="15099" max="15099" width="28.7109375" style="178" customWidth="1"/>
    <col min="15100" max="15100" width="0.85546875" style="178" customWidth="1"/>
    <col min="15101" max="15101" width="31" style="178" customWidth="1"/>
    <col min="15102" max="15102" width="3.85546875" style="178" customWidth="1"/>
    <col min="15103" max="15103" width="22" style="178" customWidth="1"/>
    <col min="15104" max="15349" width="9.140625" style="178"/>
    <col min="15350" max="15350" width="6.28515625" style="178" customWidth="1"/>
    <col min="15351" max="15351" width="6.7109375" style="178" customWidth="1"/>
    <col min="15352" max="15352" width="9.140625" style="178"/>
    <col min="15353" max="15353" width="64.5703125" style="178" customWidth="1"/>
    <col min="15354" max="15354" width="1.28515625" style="178" customWidth="1"/>
    <col min="15355" max="15355" width="28.7109375" style="178" customWidth="1"/>
    <col min="15356" max="15356" width="0.85546875" style="178" customWidth="1"/>
    <col min="15357" max="15357" width="31" style="178" customWidth="1"/>
    <col min="15358" max="15358" width="3.85546875" style="178" customWidth="1"/>
    <col min="15359" max="15359" width="22" style="178" customWidth="1"/>
    <col min="15360" max="15605" width="9.140625" style="178"/>
    <col min="15606" max="15606" width="6.28515625" style="178" customWidth="1"/>
    <col min="15607" max="15607" width="6.7109375" style="178" customWidth="1"/>
    <col min="15608" max="15608" width="9.140625" style="178"/>
    <col min="15609" max="15609" width="64.5703125" style="178" customWidth="1"/>
    <col min="15610" max="15610" width="1.28515625" style="178" customWidth="1"/>
    <col min="15611" max="15611" width="28.7109375" style="178" customWidth="1"/>
    <col min="15612" max="15612" width="0.85546875" style="178" customWidth="1"/>
    <col min="15613" max="15613" width="31" style="178" customWidth="1"/>
    <col min="15614" max="15614" width="3.85546875" style="178" customWidth="1"/>
    <col min="15615" max="15615" width="22" style="178" customWidth="1"/>
    <col min="15616" max="15861" width="9.140625" style="178"/>
    <col min="15862" max="15862" width="6.28515625" style="178" customWidth="1"/>
    <col min="15863" max="15863" width="6.7109375" style="178" customWidth="1"/>
    <col min="15864" max="15864" width="9.140625" style="178"/>
    <col min="15865" max="15865" width="64.5703125" style="178" customWidth="1"/>
    <col min="15866" max="15866" width="1.28515625" style="178" customWidth="1"/>
    <col min="15867" max="15867" width="28.7109375" style="178" customWidth="1"/>
    <col min="15868" max="15868" width="0.85546875" style="178" customWidth="1"/>
    <col min="15869" max="15869" width="31" style="178" customWidth="1"/>
    <col min="15870" max="15870" width="3.85546875" style="178" customWidth="1"/>
    <col min="15871" max="15871" width="22" style="178" customWidth="1"/>
    <col min="15872" max="16117" width="9.140625" style="178"/>
    <col min="16118" max="16118" width="6.28515625" style="178" customWidth="1"/>
    <col min="16119" max="16119" width="6.7109375" style="178" customWidth="1"/>
    <col min="16120" max="16120" width="9.140625" style="178"/>
    <col min="16121" max="16121" width="64.5703125" style="178" customWidth="1"/>
    <col min="16122" max="16122" width="1.28515625" style="178" customWidth="1"/>
    <col min="16123" max="16123" width="28.7109375" style="178" customWidth="1"/>
    <col min="16124" max="16124" width="0.85546875" style="178" customWidth="1"/>
    <col min="16125" max="16125" width="31" style="178" customWidth="1"/>
    <col min="16126" max="16126" width="3.85546875" style="178" customWidth="1"/>
    <col min="16127" max="16127" width="22" style="178" customWidth="1"/>
    <col min="16128" max="16384" width="9.140625" style="178"/>
  </cols>
  <sheetData>
    <row r="2" spans="2:21" s="166" customFormat="1">
      <c r="B2" s="163"/>
      <c r="C2" s="164" t="s">
        <v>222</v>
      </c>
      <c r="D2" s="164"/>
      <c r="E2" s="164"/>
      <c r="F2" s="165"/>
    </row>
    <row r="3" spans="2:21" s="172" customFormat="1">
      <c r="B3" s="167"/>
      <c r="C3" s="168" t="s">
        <v>223</v>
      </c>
      <c r="D3" s="169"/>
      <c r="E3" s="170" t="s">
        <v>42</v>
      </c>
      <c r="F3" s="171"/>
    </row>
    <row r="4" spans="2:21">
      <c r="B4" s="173"/>
      <c r="C4" s="174"/>
      <c r="D4" s="175"/>
      <c r="E4" s="176"/>
      <c r="F4" s="177"/>
    </row>
    <row r="5" spans="2:21" s="184" customFormat="1" ht="12.75" customHeight="1">
      <c r="B5" s="179"/>
      <c r="C5" s="180" t="s">
        <v>224</v>
      </c>
      <c r="D5" s="181"/>
      <c r="E5" s="182">
        <v>-19050</v>
      </c>
      <c r="F5" s="183"/>
      <c r="H5" s="414" t="s">
        <v>231</v>
      </c>
      <c r="I5" s="415"/>
      <c r="J5" s="415"/>
      <c r="K5" s="415"/>
      <c r="L5" s="415"/>
      <c r="M5" s="415"/>
      <c r="N5" s="415"/>
      <c r="O5" s="415"/>
      <c r="P5" s="415"/>
      <c r="Q5" s="415"/>
      <c r="R5" s="415"/>
      <c r="S5" s="415"/>
      <c r="T5" s="415"/>
      <c r="U5" s="415"/>
    </row>
    <row r="6" spans="2:21" s="184" customFormat="1">
      <c r="B6" s="179"/>
      <c r="C6" s="180" t="s">
        <v>225</v>
      </c>
      <c r="D6" s="181"/>
      <c r="E6" s="182">
        <v>-17132</v>
      </c>
      <c r="F6" s="183"/>
      <c r="H6" s="415"/>
      <c r="I6" s="415"/>
      <c r="J6" s="415"/>
      <c r="K6" s="415"/>
      <c r="L6" s="415"/>
      <c r="M6" s="415"/>
      <c r="N6" s="415"/>
      <c r="O6" s="415"/>
      <c r="P6" s="415"/>
      <c r="Q6" s="415"/>
      <c r="R6" s="415"/>
      <c r="S6" s="415"/>
      <c r="T6" s="415"/>
      <c r="U6" s="415"/>
    </row>
    <row r="7" spans="2:21" s="184" customFormat="1">
      <c r="B7" s="179"/>
      <c r="C7" s="180" t="s">
        <v>226</v>
      </c>
      <c r="D7" s="181"/>
      <c r="E7" s="182">
        <v>276578</v>
      </c>
      <c r="F7" s="183"/>
      <c r="H7" s="415"/>
      <c r="I7" s="415"/>
      <c r="J7" s="415"/>
      <c r="K7" s="415"/>
      <c r="L7" s="415"/>
      <c r="M7" s="415"/>
      <c r="N7" s="415"/>
      <c r="O7" s="415"/>
      <c r="P7" s="415"/>
      <c r="Q7" s="415"/>
      <c r="R7" s="415"/>
      <c r="S7" s="415"/>
      <c r="T7" s="415"/>
      <c r="U7" s="415"/>
    </row>
    <row r="8" spans="2:21" s="184" customFormat="1">
      <c r="B8" s="179"/>
      <c r="C8" s="185" t="s">
        <v>99</v>
      </c>
      <c r="D8" s="181"/>
      <c r="E8" s="182">
        <v>256332</v>
      </c>
      <c r="F8" s="183"/>
    </row>
    <row r="9" spans="2:21" s="191" customFormat="1">
      <c r="B9" s="186"/>
      <c r="C9" s="187" t="s">
        <v>227</v>
      </c>
      <c r="D9" s="188"/>
      <c r="E9" s="189">
        <v>496728</v>
      </c>
      <c r="F9" s="190"/>
    </row>
    <row r="10" spans="2:21" s="181" customFormat="1">
      <c r="B10" s="192"/>
      <c r="C10" s="193" t="s">
        <v>228</v>
      </c>
      <c r="E10" s="182">
        <v>-31341</v>
      </c>
      <c r="F10" s="194"/>
    </row>
    <row r="11" spans="2:21">
      <c r="B11" s="173"/>
      <c r="C11" s="185" t="s">
        <v>229</v>
      </c>
      <c r="D11" s="175"/>
      <c r="E11" s="182">
        <v>53426</v>
      </c>
      <c r="F11" s="177"/>
      <c r="H11" s="195"/>
    </row>
    <row r="12" spans="2:21" s="191" customFormat="1" ht="12.75" customHeight="1">
      <c r="B12" s="186"/>
      <c r="C12" s="187" t="s">
        <v>61</v>
      </c>
      <c r="D12" s="188"/>
      <c r="E12" s="189">
        <v>518813</v>
      </c>
      <c r="F12" s="190"/>
      <c r="H12" s="414" t="s">
        <v>235</v>
      </c>
      <c r="I12" s="414"/>
      <c r="J12" s="414"/>
      <c r="K12" s="414"/>
      <c r="L12" s="414"/>
      <c r="M12" s="414"/>
      <c r="N12" s="414"/>
      <c r="O12" s="414"/>
      <c r="P12" s="414"/>
      <c r="Q12" s="414"/>
      <c r="R12" s="414"/>
      <c r="S12" s="414"/>
      <c r="T12" s="414"/>
      <c r="U12" s="414"/>
    </row>
    <row r="13" spans="2:21" s="184" customFormat="1">
      <c r="B13" s="196"/>
      <c r="C13" s="197"/>
      <c r="D13" s="198"/>
      <c r="E13" s="199"/>
      <c r="F13" s="200"/>
      <c r="H13" s="414"/>
      <c r="I13" s="414"/>
      <c r="J13" s="414"/>
      <c r="K13" s="414"/>
      <c r="L13" s="414"/>
      <c r="M13" s="414"/>
      <c r="N13" s="414"/>
      <c r="O13" s="414"/>
      <c r="P13" s="414"/>
      <c r="Q13" s="414"/>
      <c r="R13" s="414"/>
      <c r="S13" s="414"/>
      <c r="T13" s="414"/>
      <c r="U13" s="414"/>
    </row>
    <row r="14" spans="2:21" s="184" customFormat="1">
      <c r="C14" s="180"/>
      <c r="D14" s="181"/>
      <c r="E14" s="201"/>
      <c r="H14" s="414"/>
      <c r="I14" s="414"/>
      <c r="J14" s="414"/>
      <c r="K14" s="414"/>
      <c r="L14" s="414"/>
      <c r="M14" s="414"/>
      <c r="N14" s="414"/>
      <c r="O14" s="414"/>
      <c r="P14" s="414"/>
      <c r="Q14" s="414"/>
      <c r="R14" s="414"/>
      <c r="S14" s="414"/>
      <c r="T14" s="414"/>
      <c r="U14" s="414"/>
    </row>
    <row r="15" spans="2:21">
      <c r="H15" s="414"/>
      <c r="I15" s="414"/>
      <c r="J15" s="414"/>
      <c r="K15" s="414"/>
      <c r="L15" s="414"/>
      <c r="M15" s="414"/>
      <c r="N15" s="414"/>
      <c r="O15" s="414"/>
      <c r="P15" s="414"/>
      <c r="Q15" s="414"/>
      <c r="R15" s="414"/>
      <c r="S15" s="414"/>
      <c r="T15" s="414"/>
      <c r="U15" s="414"/>
    </row>
    <row r="16" spans="2:21">
      <c r="B16" s="202"/>
      <c r="C16" s="203" t="s">
        <v>230</v>
      </c>
      <c r="D16" s="204"/>
      <c r="E16" s="203"/>
      <c r="F16" s="205"/>
    </row>
    <row r="17" spans="2:6">
      <c r="B17" s="173"/>
      <c r="C17" s="206" t="s">
        <v>68</v>
      </c>
      <c r="E17" s="207" t="s">
        <v>42</v>
      </c>
      <c r="F17" s="177"/>
    </row>
    <row r="18" spans="2:6">
      <c r="B18" s="173"/>
      <c r="C18" s="208" t="s">
        <v>51</v>
      </c>
      <c r="E18" s="209">
        <v>3204060</v>
      </c>
      <c r="F18" s="177"/>
    </row>
    <row r="19" spans="2:6">
      <c r="B19" s="173"/>
      <c r="C19" s="210" t="s">
        <v>69</v>
      </c>
      <c r="E19" s="211">
        <v>-2621270</v>
      </c>
      <c r="F19" s="177"/>
    </row>
    <row r="20" spans="2:6">
      <c r="B20" s="173"/>
      <c r="C20" s="208" t="s">
        <v>55</v>
      </c>
      <c r="E20" s="212">
        <v>582790</v>
      </c>
      <c r="F20" s="177"/>
    </row>
    <row r="21" spans="2:6">
      <c r="B21" s="173"/>
      <c r="C21" s="213" t="s">
        <v>70</v>
      </c>
      <c r="E21" s="214">
        <v>0.182</v>
      </c>
      <c r="F21" s="177"/>
    </row>
    <row r="22" spans="2:6">
      <c r="B22" s="173"/>
      <c r="C22" s="208" t="s">
        <v>71</v>
      </c>
      <c r="E22" s="215">
        <v>-373735</v>
      </c>
      <c r="F22" s="177"/>
    </row>
    <row r="23" spans="2:6">
      <c r="B23" s="173"/>
      <c r="C23" s="210" t="s">
        <v>72</v>
      </c>
      <c r="E23" s="211">
        <v>-73674</v>
      </c>
      <c r="F23" s="177"/>
    </row>
    <row r="24" spans="2:6">
      <c r="B24" s="173"/>
      <c r="C24" s="210" t="s">
        <v>75</v>
      </c>
      <c r="E24" s="211">
        <v>-112907</v>
      </c>
      <c r="F24" s="177"/>
    </row>
    <row r="25" spans="2:6">
      <c r="B25" s="173"/>
      <c r="C25" s="216" t="s">
        <v>76</v>
      </c>
      <c r="E25" s="211">
        <v>-187154</v>
      </c>
      <c r="F25" s="177"/>
    </row>
    <row r="26" spans="2:6">
      <c r="B26" s="173"/>
      <c r="C26" s="208" t="s">
        <v>84</v>
      </c>
      <c r="E26" s="212">
        <v>209055</v>
      </c>
      <c r="F26" s="177"/>
    </row>
    <row r="27" spans="2:6">
      <c r="B27" s="173"/>
      <c r="C27" s="213" t="s">
        <v>85</v>
      </c>
      <c r="E27" s="217">
        <v>6.6000000000000003E-2</v>
      </c>
      <c r="F27" s="177"/>
    </row>
    <row r="28" spans="2:6">
      <c r="B28" s="173"/>
      <c r="C28" s="208" t="s">
        <v>86</v>
      </c>
      <c r="E28" s="212">
        <v>-276578</v>
      </c>
      <c r="F28" s="177"/>
    </row>
    <row r="29" spans="2:6">
      <c r="B29" s="173"/>
      <c r="C29" s="210" t="s">
        <v>87</v>
      </c>
      <c r="E29" s="211">
        <v>31341</v>
      </c>
      <c r="F29" s="177"/>
    </row>
    <row r="30" spans="2:6">
      <c r="B30" s="173"/>
      <c r="C30" s="208" t="s">
        <v>88</v>
      </c>
      <c r="E30" s="212">
        <v>-36182</v>
      </c>
      <c r="F30" s="177"/>
    </row>
    <row r="31" spans="2:6">
      <c r="B31" s="173"/>
      <c r="C31" s="210" t="s">
        <v>89</v>
      </c>
      <c r="E31" s="211">
        <v>17132</v>
      </c>
      <c r="F31" s="177"/>
    </row>
    <row r="32" spans="2:6">
      <c r="B32" s="173"/>
      <c r="C32" s="218" t="s">
        <v>90</v>
      </c>
      <c r="E32" s="212">
        <v>-19050</v>
      </c>
      <c r="F32" s="177"/>
    </row>
    <row r="33" spans="2:6">
      <c r="B33" s="173"/>
      <c r="C33" s="213" t="s">
        <v>91</v>
      </c>
      <c r="E33" s="217">
        <v>-5.0000000000000001E-3</v>
      </c>
      <c r="F33" s="177"/>
    </row>
    <row r="34" spans="2:6">
      <c r="B34" s="173"/>
      <c r="C34" s="219" t="s">
        <v>92</v>
      </c>
      <c r="E34" s="219"/>
      <c r="F34" s="177"/>
    </row>
    <row r="35" spans="2:6">
      <c r="B35" s="173"/>
      <c r="C35" s="208" t="s">
        <v>93</v>
      </c>
      <c r="E35" s="220">
        <v>-32179</v>
      </c>
      <c r="F35" s="177"/>
    </row>
    <row r="36" spans="2:6">
      <c r="B36" s="173"/>
      <c r="C36" s="208" t="s">
        <v>94</v>
      </c>
      <c r="E36" s="220">
        <v>13129</v>
      </c>
      <c r="F36" s="177"/>
    </row>
    <row r="37" spans="2:6">
      <c r="B37" s="173"/>
      <c r="C37" s="208" t="s">
        <v>95</v>
      </c>
      <c r="E37" s="221">
        <v>496728</v>
      </c>
      <c r="F37" s="177"/>
    </row>
    <row r="38" spans="2:6">
      <c r="B38" s="173"/>
      <c r="C38" s="213" t="s">
        <v>96</v>
      </c>
      <c r="E38" s="222">
        <v>0.155</v>
      </c>
      <c r="F38" s="177"/>
    </row>
    <row r="39" spans="2:6">
      <c r="B39" s="173"/>
      <c r="C39" s="208" t="s">
        <v>97</v>
      </c>
      <c r="E39" s="221">
        <v>518813</v>
      </c>
      <c r="F39" s="177"/>
    </row>
    <row r="40" spans="2:6">
      <c r="B40" s="173"/>
      <c r="C40" s="213" t="s">
        <v>98</v>
      </c>
      <c r="E40" s="222">
        <v>0.16200000000000001</v>
      </c>
      <c r="F40" s="177"/>
    </row>
    <row r="41" spans="2:6">
      <c r="B41" s="173"/>
      <c r="C41" s="210" t="s">
        <v>99</v>
      </c>
      <c r="E41" s="223">
        <v>256332</v>
      </c>
      <c r="F41" s="177"/>
    </row>
    <row r="42" spans="2:6" ht="5.25" customHeight="1">
      <c r="B42" s="224"/>
      <c r="C42" s="225"/>
      <c r="D42" s="225"/>
      <c r="E42" s="225"/>
      <c r="F42" s="226"/>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60" zoomScaleNormal="60" workbookViewId="0"/>
  </sheetViews>
  <sheetFormatPr defaultRowHeight="15"/>
  <sheetData>
    <row r="29" spans="11:16" ht="15" customHeight="1">
      <c r="K29" s="416" t="s">
        <v>232</v>
      </c>
      <c r="L29" s="416"/>
      <c r="M29" s="416"/>
      <c r="N29" s="416"/>
      <c r="O29" s="416"/>
      <c r="P29" s="416"/>
    </row>
    <row r="30" spans="11:16">
      <c r="K30" s="416"/>
      <c r="L30" s="416"/>
      <c r="M30" s="416"/>
      <c r="N30" s="416"/>
      <c r="O30" s="416"/>
      <c r="P30" s="416"/>
    </row>
    <row r="36" spans="2:7" ht="40.5" customHeight="1">
      <c r="B36" s="417" t="s">
        <v>233</v>
      </c>
      <c r="C36" s="417"/>
      <c r="D36" s="417"/>
      <c r="E36" s="417"/>
      <c r="F36" s="417"/>
      <c r="G36" s="417"/>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A25" sqref="A25"/>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O21" sqref="O21"/>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topLeftCell="A10" zoomScale="50" zoomScaleNormal="50" workbookViewId="0">
      <selection activeCell="K42" sqref="K42"/>
    </sheetView>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381" t="s">
        <v>6</v>
      </c>
      <c r="B6" s="381"/>
      <c r="C6" s="381"/>
      <c r="D6" s="381"/>
      <c r="E6" s="381"/>
      <c r="F6" s="381"/>
      <c r="G6" s="381"/>
      <c r="H6" s="381"/>
      <c r="I6" s="381"/>
      <c r="J6" s="381"/>
      <c r="K6" s="381"/>
      <c r="L6" s="381"/>
      <c r="M6" s="381"/>
    </row>
    <row r="7" spans="1:13" ht="33.75">
      <c r="A7" s="382">
        <v>1253079108</v>
      </c>
      <c r="B7" s="382"/>
      <c r="C7" s="382"/>
      <c r="D7" s="382"/>
      <c r="E7" s="382"/>
      <c r="F7" s="382"/>
      <c r="G7" s="382"/>
      <c r="H7" s="382"/>
      <c r="I7" s="382"/>
      <c r="J7" s="382"/>
      <c r="K7" s="382"/>
      <c r="L7" s="382"/>
      <c r="M7" s="382"/>
    </row>
    <row r="8" spans="1:13" ht="33.75">
      <c r="D8" s="383" t="s">
        <v>7</v>
      </c>
      <c r="E8" s="384"/>
      <c r="F8" s="385"/>
      <c r="G8" s="3"/>
      <c r="H8" s="386" t="s">
        <v>8</v>
      </c>
      <c r="I8" s="387"/>
      <c r="J8" s="388"/>
    </row>
    <row r="9" spans="1:13" ht="33.75">
      <c r="D9" s="4" t="s">
        <v>9</v>
      </c>
      <c r="E9" s="5">
        <v>0.56279999999999997</v>
      </c>
      <c r="F9" s="6">
        <v>705260684</v>
      </c>
      <c r="G9" s="3"/>
      <c r="H9" s="4" t="s">
        <v>10</v>
      </c>
      <c r="I9" s="5">
        <v>0.43719999999999998</v>
      </c>
      <c r="J9" s="6">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58"/>
  <sheetViews>
    <sheetView showGridLines="0" topLeftCell="A7" zoomScale="50" zoomScaleNormal="50" workbookViewId="0"/>
  </sheetViews>
  <sheetFormatPr defaultColWidth="8.7109375"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14" spans="2:6" ht="22.5">
      <c r="B14" s="7" t="s">
        <v>12</v>
      </c>
      <c r="C14" s="8" t="s">
        <v>13</v>
      </c>
      <c r="E14" s="7" t="s">
        <v>12</v>
      </c>
      <c r="F14" s="8" t="s">
        <v>13</v>
      </c>
    </row>
    <row r="15" spans="2:6" ht="22.5">
      <c r="B15" s="9" t="s">
        <v>14</v>
      </c>
      <c r="C15" s="370">
        <v>6817.07</v>
      </c>
      <c r="E15" s="9" t="s">
        <v>14</v>
      </c>
      <c r="F15" s="370">
        <v>1831.52</v>
      </c>
    </row>
    <row r="16" spans="2:6" ht="22.5">
      <c r="B16" s="9" t="s">
        <v>15</v>
      </c>
      <c r="C16" s="370">
        <v>1710.9899999999998</v>
      </c>
      <c r="E16" s="9" t="s">
        <v>15</v>
      </c>
      <c r="F16" s="370">
        <v>132.22</v>
      </c>
    </row>
    <row r="17" spans="2:6" ht="22.5">
      <c r="B17" s="9" t="s">
        <v>11</v>
      </c>
      <c r="C17" s="370">
        <v>1040.3900000000001</v>
      </c>
      <c r="E17" s="9" t="s">
        <v>11</v>
      </c>
      <c r="F17" s="370">
        <v>11.71</v>
      </c>
    </row>
    <row r="18" spans="2:6" ht="22.5">
      <c r="B18" s="11" t="s">
        <v>16</v>
      </c>
      <c r="C18" s="12">
        <v>9568.4499999999989</v>
      </c>
      <c r="E18" s="11" t="s">
        <v>250</v>
      </c>
      <c r="F18" s="12">
        <v>1975.45</v>
      </c>
    </row>
    <row r="19" spans="2:6" ht="22.5">
      <c r="B19" s="9"/>
      <c r="C19" s="10"/>
    </row>
    <row r="20" spans="2:6" ht="22.5">
      <c r="B20" s="9"/>
      <c r="C20" s="10"/>
      <c r="E20" s="9"/>
      <c r="F20" s="10"/>
    </row>
    <row r="21" spans="2:6" ht="22.5">
      <c r="B21" s="13" t="s">
        <v>18</v>
      </c>
      <c r="C21" s="10"/>
      <c r="E21" s="9"/>
      <c r="F21" s="10"/>
    </row>
    <row r="22" spans="2:6" ht="22.5">
      <c r="B22" s="13"/>
      <c r="C22" s="10"/>
      <c r="E22" s="9"/>
      <c r="F22" s="10"/>
    </row>
    <row r="23" spans="2:6" ht="22.5">
      <c r="B23" s="13"/>
      <c r="C23" s="10"/>
      <c r="E23" s="9"/>
      <c r="F23" s="10"/>
    </row>
    <row r="24" spans="2:6" ht="22.5">
      <c r="B24" s="7" t="s">
        <v>12</v>
      </c>
      <c r="C24" s="8" t="s">
        <v>19</v>
      </c>
      <c r="E24" s="10"/>
    </row>
    <row r="25" spans="2:6" ht="22.5">
      <c r="B25" s="9" t="s">
        <v>20</v>
      </c>
      <c r="C25" s="10">
        <v>1.6</v>
      </c>
      <c r="E25" s="10"/>
    </row>
    <row r="26" spans="2:6" ht="22.5">
      <c r="B26" s="9" t="s">
        <v>21</v>
      </c>
      <c r="C26" s="10">
        <v>0.6</v>
      </c>
      <c r="E26" s="10"/>
    </row>
    <row r="27" spans="2:6" ht="22.5">
      <c r="B27" s="9" t="s">
        <v>22</v>
      </c>
      <c r="C27" s="10">
        <v>0.5</v>
      </c>
      <c r="E27" s="9"/>
      <c r="F27" s="10"/>
    </row>
    <row r="28" spans="2:6" ht="22.5">
      <c r="B28" s="14" t="s">
        <v>417</v>
      </c>
      <c r="F28" s="10"/>
    </row>
    <row r="32" spans="2:6" ht="22.5">
      <c r="B32" s="7" t="s">
        <v>304</v>
      </c>
      <c r="C32" s="8" t="s">
        <v>12</v>
      </c>
      <c r="D32" s="8" t="s">
        <v>23</v>
      </c>
      <c r="E32" s="8" t="s">
        <v>24</v>
      </c>
      <c r="F32" s="8" t="s">
        <v>17</v>
      </c>
    </row>
    <row r="33" spans="2:6" ht="22.5">
      <c r="B33" s="9" t="s">
        <v>27</v>
      </c>
      <c r="C33" s="289">
        <v>21055841</v>
      </c>
      <c r="D33" s="289">
        <v>747932</v>
      </c>
      <c r="E33" s="289">
        <v>71476</v>
      </c>
      <c r="F33" s="289">
        <v>21875249</v>
      </c>
    </row>
    <row r="35" spans="2:6" ht="27">
      <c r="B35" s="15" t="s">
        <v>418</v>
      </c>
    </row>
    <row r="58" spans="2:2">
      <c r="B58" t="s">
        <v>25</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P42"/>
  <sheetViews>
    <sheetView showGridLines="0" topLeftCell="S7" zoomScale="50" zoomScaleNormal="50" workbookViewId="0">
      <selection activeCell="AF31" sqref="AF31"/>
    </sheetView>
  </sheetViews>
  <sheetFormatPr defaultRowHeight="15"/>
  <cols>
    <col min="2" max="3" width="9.140625" customWidth="1"/>
    <col min="4" max="4" width="12.85546875" customWidth="1"/>
    <col min="5" max="5" width="9" hidden="1" customWidth="1"/>
    <col min="6" max="6" width="10.28515625" bestFit="1" customWidth="1"/>
    <col min="7" max="7" width="9.140625" bestFit="1" customWidth="1"/>
    <col min="8" max="11" width="10.28515625" bestFit="1" customWidth="1"/>
    <col min="12" max="16" width="10.28515625" customWidth="1"/>
    <col min="17" max="17" width="18.28515625" customWidth="1"/>
    <col min="18" max="18" width="16.42578125" customWidth="1"/>
    <col min="19" max="19" width="16.5703125" customWidth="1"/>
    <col min="20" max="20" width="27.85546875" customWidth="1"/>
    <col min="21" max="21" width="13.5703125" customWidth="1"/>
    <col min="22" max="22" width="13.85546875" customWidth="1"/>
    <col min="23" max="24" width="12.5703125" customWidth="1"/>
    <col min="25" max="29" width="15.42578125" customWidth="1"/>
    <col min="30" max="30" width="12" customWidth="1"/>
    <col min="31" max="31" width="19.7109375" customWidth="1"/>
    <col min="32" max="32" width="15" bestFit="1" customWidth="1"/>
    <col min="33" max="34" width="15" customWidth="1"/>
    <col min="35" max="35" width="9.85546875" bestFit="1" customWidth="1"/>
    <col min="36" max="36" width="13.140625" customWidth="1"/>
    <col min="37" max="39" width="9.85546875" bestFit="1" customWidth="1"/>
    <col min="40" max="40" width="9.85546875" customWidth="1"/>
    <col min="41" max="41" width="9.85546875" bestFit="1" customWidth="1"/>
    <col min="42" max="42" width="9.85546875" customWidth="1"/>
  </cols>
  <sheetData>
    <row r="1" spans="4:29" ht="30" customHeight="1"/>
    <row r="2" spans="4:29" ht="33.75">
      <c r="D2" s="16"/>
      <c r="E2" s="16"/>
      <c r="F2" s="16"/>
      <c r="G2" s="16"/>
      <c r="H2" s="16"/>
      <c r="I2" s="16"/>
      <c r="J2" s="16"/>
      <c r="K2" s="16"/>
      <c r="L2" s="16"/>
      <c r="M2" s="16"/>
      <c r="N2" s="16"/>
      <c r="O2" s="16"/>
      <c r="P2" s="16"/>
      <c r="Q2" s="16"/>
      <c r="R2" s="16"/>
      <c r="S2" s="16"/>
      <c r="T2" s="16"/>
      <c r="U2" s="16"/>
      <c r="V2" s="16"/>
      <c r="W2" s="16"/>
      <c r="X2" s="16"/>
      <c r="Y2" s="16"/>
      <c r="Z2" s="16"/>
      <c r="AA2" s="16"/>
      <c r="AB2" s="16"/>
      <c r="AC2" s="16"/>
    </row>
    <row r="3" spans="4:29" ht="66.75" customHeight="1">
      <c r="D3" s="394" t="s">
        <v>349</v>
      </c>
      <c r="E3" s="394"/>
      <c r="F3" s="394"/>
      <c r="G3" s="394"/>
      <c r="H3" s="394"/>
      <c r="I3" s="394"/>
      <c r="J3" s="394"/>
      <c r="K3" s="394"/>
      <c r="L3" s="394"/>
      <c r="M3" s="394"/>
      <c r="N3" s="394"/>
      <c r="O3" s="394"/>
      <c r="P3" s="394"/>
      <c r="Q3" s="394"/>
      <c r="R3" s="394"/>
      <c r="S3" s="394"/>
      <c r="T3" s="394"/>
      <c r="U3" s="394"/>
      <c r="V3" s="394"/>
      <c r="W3" s="17"/>
      <c r="X3" s="17"/>
      <c r="Y3" s="17"/>
      <c r="Z3" s="17"/>
      <c r="AA3" s="17"/>
      <c r="AB3" s="17"/>
      <c r="AC3" s="17"/>
    </row>
    <row r="18" spans="2:42" ht="21">
      <c r="Q18" s="18"/>
      <c r="R18" s="18"/>
      <c r="S18" s="18"/>
      <c r="T18" s="395" t="s">
        <v>28</v>
      </c>
      <c r="U18" s="396"/>
      <c r="V18" s="18"/>
    </row>
    <row r="19" spans="2:42" ht="42">
      <c r="Q19" s="21" t="s">
        <v>29</v>
      </c>
      <c r="R19" s="20" t="s">
        <v>30</v>
      </c>
      <c r="S19" s="21" t="s">
        <v>31</v>
      </c>
      <c r="T19" s="22" t="s">
        <v>32</v>
      </c>
      <c r="U19" s="19" t="s">
        <v>33</v>
      </c>
      <c r="V19" s="22" t="s">
        <v>17</v>
      </c>
    </row>
    <row r="20" spans="2:42" ht="21">
      <c r="D20" s="397" t="s">
        <v>34</v>
      </c>
      <c r="E20" s="398"/>
      <c r="F20" s="398"/>
      <c r="G20" s="398"/>
      <c r="H20" s="398"/>
      <c r="I20" s="398"/>
      <c r="J20" s="398"/>
      <c r="K20" s="398"/>
      <c r="L20" s="398"/>
      <c r="M20" s="398"/>
      <c r="N20" s="398"/>
      <c r="O20" s="398"/>
      <c r="P20" s="399"/>
      <c r="Q20" s="23">
        <v>1000</v>
      </c>
      <c r="R20" s="23">
        <v>1800</v>
      </c>
      <c r="S20" s="23">
        <v>2710</v>
      </c>
      <c r="T20" s="23">
        <v>360</v>
      </c>
      <c r="U20" s="23">
        <v>1030</v>
      </c>
      <c r="V20" s="23">
        <v>6900</v>
      </c>
    </row>
    <row r="21" spans="2:42" ht="20.25">
      <c r="D21" s="24" t="s">
        <v>350</v>
      </c>
    </row>
    <row r="22" spans="2:42" ht="20.25">
      <c r="D22" s="24" t="s">
        <v>351</v>
      </c>
    </row>
    <row r="23" spans="2:42" ht="30.75" customHeight="1">
      <c r="B23" s="402" t="s">
        <v>35</v>
      </c>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402"/>
    </row>
    <row r="24" spans="2:42" ht="23.25">
      <c r="B24" s="25" t="s">
        <v>36</v>
      </c>
      <c r="C24" s="26"/>
      <c r="D24" s="26"/>
      <c r="E24" s="27" t="s">
        <v>37</v>
      </c>
      <c r="F24" s="27" t="s">
        <v>38</v>
      </c>
      <c r="G24" s="27" t="s">
        <v>39</v>
      </c>
      <c r="H24" s="27" t="s">
        <v>40</v>
      </c>
      <c r="I24" s="27" t="s">
        <v>41</v>
      </c>
      <c r="J24" s="27" t="s">
        <v>42</v>
      </c>
      <c r="K24" s="27" t="s">
        <v>43</v>
      </c>
      <c r="L24" s="27" t="s">
        <v>215</v>
      </c>
      <c r="M24" s="27" t="s">
        <v>240</v>
      </c>
      <c r="N24" s="27" t="s">
        <v>251</v>
      </c>
      <c r="O24" s="27" t="s">
        <v>263</v>
      </c>
      <c r="P24" s="27" t="s">
        <v>270</v>
      </c>
      <c r="Q24" s="27" t="s">
        <v>283</v>
      </c>
      <c r="R24" s="27" t="s">
        <v>305</v>
      </c>
      <c r="S24" s="27" t="s">
        <v>313</v>
      </c>
      <c r="T24" s="27" t="s">
        <v>323</v>
      </c>
      <c r="U24" s="27" t="s">
        <v>331</v>
      </c>
      <c r="V24" s="27" t="s">
        <v>334</v>
      </c>
      <c r="W24" s="27" t="s">
        <v>348</v>
      </c>
      <c r="X24" s="27" t="s">
        <v>361</v>
      </c>
      <c r="Y24" s="27" t="s">
        <v>362</v>
      </c>
      <c r="Z24" s="27" t="s">
        <v>411</v>
      </c>
      <c r="AA24" s="27" t="s">
        <v>413</v>
      </c>
      <c r="AB24" s="27" t="s">
        <v>419</v>
      </c>
      <c r="AC24" s="27" t="s">
        <v>421</v>
      </c>
      <c r="AE24" s="392" t="s">
        <v>36</v>
      </c>
      <c r="AF24" s="393"/>
      <c r="AG24" s="27">
        <v>2013</v>
      </c>
      <c r="AH24" s="27">
        <v>2014</v>
      </c>
      <c r="AI24" s="27">
        <v>2015</v>
      </c>
      <c r="AJ24" s="27">
        <v>2016</v>
      </c>
      <c r="AK24" s="27">
        <v>2017</v>
      </c>
      <c r="AL24" s="27">
        <v>2018</v>
      </c>
      <c r="AM24" s="27">
        <v>2019</v>
      </c>
      <c r="AN24" s="27">
        <v>2020</v>
      </c>
      <c r="AO24" s="27">
        <v>2021</v>
      </c>
      <c r="AP24" s="27">
        <v>2022</v>
      </c>
    </row>
    <row r="25" spans="2:42" ht="23.25">
      <c r="B25" s="28" t="s">
        <v>44</v>
      </c>
      <c r="C25" s="29"/>
      <c r="D25" s="29"/>
      <c r="E25" s="30">
        <v>737</v>
      </c>
      <c r="F25" s="30">
        <v>769</v>
      </c>
      <c r="G25" s="30">
        <v>760</v>
      </c>
      <c r="H25" s="30">
        <v>747</v>
      </c>
      <c r="I25" s="30">
        <v>715</v>
      </c>
      <c r="J25" s="30">
        <v>813</v>
      </c>
      <c r="K25" s="30">
        <v>845</v>
      </c>
      <c r="L25" s="30">
        <v>714</v>
      </c>
      <c r="M25" s="234">
        <v>800</v>
      </c>
      <c r="N25" s="234">
        <v>833</v>
      </c>
      <c r="O25" s="234">
        <v>834</v>
      </c>
      <c r="P25" s="234">
        <v>797</v>
      </c>
      <c r="Q25" s="234">
        <v>771</v>
      </c>
      <c r="R25" s="234">
        <v>533</v>
      </c>
      <c r="S25" s="234">
        <v>696</v>
      </c>
      <c r="T25" s="234">
        <v>760</v>
      </c>
      <c r="U25" s="234">
        <v>780</v>
      </c>
      <c r="V25" s="234">
        <v>751</v>
      </c>
      <c r="W25" s="234">
        <v>924</v>
      </c>
      <c r="X25" s="234">
        <v>723</v>
      </c>
      <c r="Y25" s="234">
        <v>677</v>
      </c>
      <c r="Z25" s="234">
        <v>671</v>
      </c>
      <c r="AA25" s="234">
        <v>660</v>
      </c>
      <c r="AB25" s="234">
        <v>650</v>
      </c>
      <c r="AC25" s="234">
        <v>717</v>
      </c>
      <c r="AE25" s="400" t="s">
        <v>44</v>
      </c>
      <c r="AF25" s="401"/>
      <c r="AG25" s="30">
        <v>6859</v>
      </c>
      <c r="AH25" s="30">
        <v>6055</v>
      </c>
      <c r="AI25" s="30">
        <v>5007</v>
      </c>
      <c r="AJ25" s="30">
        <v>3143</v>
      </c>
      <c r="AK25" s="30">
        <v>3013</v>
      </c>
      <c r="AL25" s="30">
        <v>3087</v>
      </c>
      <c r="AM25" s="30">
        <v>3264</v>
      </c>
      <c r="AN25" s="30">
        <v>2760</v>
      </c>
      <c r="AO25" s="30">
        <v>3178</v>
      </c>
      <c r="AP25" s="30">
        <v>2658</v>
      </c>
    </row>
    <row r="26" spans="2:42" ht="23.25">
      <c r="B26" s="28" t="s">
        <v>45</v>
      </c>
      <c r="C26" s="29"/>
      <c r="D26" s="29"/>
      <c r="E26" s="30">
        <v>965</v>
      </c>
      <c r="F26" s="30">
        <v>1000</v>
      </c>
      <c r="G26" s="30">
        <v>983</v>
      </c>
      <c r="H26" s="30">
        <v>1096</v>
      </c>
      <c r="I26" s="30">
        <v>1072</v>
      </c>
      <c r="J26" s="30">
        <v>1058</v>
      </c>
      <c r="K26" s="30">
        <v>1066</v>
      </c>
      <c r="L26" s="30">
        <v>1048</v>
      </c>
      <c r="M26" s="234">
        <v>977</v>
      </c>
      <c r="N26" s="234">
        <v>1100</v>
      </c>
      <c r="O26" s="234">
        <v>1043</v>
      </c>
      <c r="P26" s="234">
        <v>944</v>
      </c>
      <c r="Q26" s="234">
        <v>1075</v>
      </c>
      <c r="R26" s="234">
        <v>676</v>
      </c>
      <c r="S26" s="234">
        <v>801</v>
      </c>
      <c r="T26" s="234">
        <v>1143</v>
      </c>
      <c r="U26" s="234">
        <v>1292</v>
      </c>
      <c r="V26" s="234">
        <v>1324</v>
      </c>
      <c r="W26" s="234">
        <v>1213</v>
      </c>
      <c r="X26" s="234">
        <v>1166</v>
      </c>
      <c r="Y26" s="234">
        <v>1091</v>
      </c>
      <c r="Z26" s="234">
        <v>1072</v>
      </c>
      <c r="AA26" s="234">
        <v>1037</v>
      </c>
      <c r="AB26" s="234">
        <v>1004</v>
      </c>
      <c r="AC26" s="234">
        <v>971</v>
      </c>
      <c r="AE26" s="400" t="s">
        <v>45</v>
      </c>
      <c r="AF26" s="401"/>
      <c r="AG26" s="30">
        <v>6306</v>
      </c>
      <c r="AH26" s="30">
        <v>5524</v>
      </c>
      <c r="AI26" s="30">
        <v>4848</v>
      </c>
      <c r="AJ26" s="30">
        <v>3618</v>
      </c>
      <c r="AK26" s="30">
        <v>4044</v>
      </c>
      <c r="AL26" s="30">
        <v>4244</v>
      </c>
      <c r="AM26" s="30">
        <v>4064</v>
      </c>
      <c r="AN26" s="30">
        <v>3695</v>
      </c>
      <c r="AO26" s="30">
        <v>4995</v>
      </c>
      <c r="AP26" s="30">
        <v>4204</v>
      </c>
    </row>
    <row r="27" spans="2:42" ht="48.75" customHeight="1">
      <c r="B27" s="389" t="s">
        <v>271</v>
      </c>
      <c r="C27" s="390"/>
      <c r="D27" s="391"/>
      <c r="E27" s="30">
        <v>313</v>
      </c>
      <c r="F27" s="30">
        <v>279</v>
      </c>
      <c r="G27" s="30">
        <v>356</v>
      </c>
      <c r="H27" s="30">
        <v>433</v>
      </c>
      <c r="I27" s="30">
        <v>423</v>
      </c>
      <c r="J27" s="30">
        <v>405</v>
      </c>
      <c r="K27" s="30">
        <v>343</v>
      </c>
      <c r="L27" s="30">
        <v>324</v>
      </c>
      <c r="M27" s="234">
        <v>356</v>
      </c>
      <c r="N27" s="234">
        <v>384</v>
      </c>
      <c r="O27" s="234">
        <v>309</v>
      </c>
      <c r="P27" s="234">
        <v>223</v>
      </c>
      <c r="Q27" s="234">
        <v>368</v>
      </c>
      <c r="R27" s="234">
        <v>116</v>
      </c>
      <c r="S27" s="234">
        <v>240.02845350291045</v>
      </c>
      <c r="T27" s="234">
        <v>521</v>
      </c>
      <c r="U27" s="234">
        <v>670</v>
      </c>
      <c r="V27" s="234">
        <v>652</v>
      </c>
      <c r="W27" s="234">
        <v>502.22396284646311</v>
      </c>
      <c r="X27" s="234">
        <v>462.19381891770183</v>
      </c>
      <c r="Y27" s="234">
        <v>451</v>
      </c>
      <c r="Z27" s="234">
        <v>482.46705873206452</v>
      </c>
      <c r="AA27" s="234">
        <v>512</v>
      </c>
      <c r="AB27" s="234">
        <v>499</v>
      </c>
      <c r="AC27" s="234">
        <v>488.87922581292992</v>
      </c>
      <c r="AE27" s="389" t="s">
        <v>271</v>
      </c>
      <c r="AF27" s="391"/>
      <c r="AG27" s="30"/>
      <c r="AH27" s="30"/>
      <c r="AI27" s="30"/>
      <c r="AJ27" s="30">
        <v>798.59370473110334</v>
      </c>
      <c r="AK27" s="30">
        <v>1381</v>
      </c>
      <c r="AL27" s="30">
        <v>1495</v>
      </c>
      <c r="AM27" s="30">
        <v>1272</v>
      </c>
      <c r="AN27" s="30">
        <v>1245</v>
      </c>
      <c r="AO27" s="30">
        <v>2285.7800948229724</v>
      </c>
      <c r="AP27" s="30">
        <v>1944.0311879749527</v>
      </c>
    </row>
    <row r="28" spans="2:42">
      <c r="E28" s="31"/>
      <c r="F28" s="31"/>
      <c r="G28" s="31"/>
      <c r="H28" s="31"/>
      <c r="I28" s="31"/>
      <c r="J28" s="31"/>
      <c r="K28" s="31"/>
      <c r="L28" s="31"/>
      <c r="M28" s="31"/>
      <c r="N28" s="31"/>
      <c r="O28" s="31"/>
      <c r="P28" s="31"/>
    </row>
    <row r="30" spans="2:42">
      <c r="T30" s="31"/>
    </row>
    <row r="42" spans="18:18">
      <c r="R42" s="31"/>
    </row>
  </sheetData>
  <mergeCells count="9">
    <mergeCell ref="B27:D27"/>
    <mergeCell ref="AE27:AF27"/>
    <mergeCell ref="AE24:AF24"/>
    <mergeCell ref="D3:V3"/>
    <mergeCell ref="T18:U18"/>
    <mergeCell ref="D20:P20"/>
    <mergeCell ref="AE25:AF25"/>
    <mergeCell ref="AE26:AF26"/>
    <mergeCell ref="B23:AK23"/>
  </mergeCells>
  <phoneticPr fontId="59"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N30"/>
  <sheetViews>
    <sheetView showGridLines="0" zoomScale="50" zoomScaleNormal="50" workbookViewId="0">
      <pane xSplit="2" ySplit="3" topLeftCell="X4" activePane="bottomRight" state="frozen"/>
      <selection pane="topRight" activeCell="C1" sqref="C1"/>
      <selection pane="bottomLeft" activeCell="A4" sqref="A4"/>
      <selection pane="bottomRight" activeCell="AA11" sqref="AA11:AA13"/>
    </sheetView>
  </sheetViews>
  <sheetFormatPr defaultRowHeight="15"/>
  <cols>
    <col min="1" max="1" width="9.140625" customWidth="1"/>
    <col min="2" max="2" width="59.42578125" bestFit="1" customWidth="1"/>
    <col min="3" max="7" width="12.140625" hidden="1" customWidth="1"/>
    <col min="8" max="16" width="12.140625" customWidth="1"/>
    <col min="17" max="17" width="12.28515625" customWidth="1"/>
    <col min="18" max="18" width="11.28515625" bestFit="1" customWidth="1"/>
    <col min="19" max="20" width="13.42578125" customWidth="1"/>
    <col min="21" max="27" width="11.85546875" customWidth="1"/>
    <col min="28" max="29" width="26.85546875" bestFit="1" customWidth="1"/>
    <col min="30" max="31" width="11.28515625" bestFit="1" customWidth="1"/>
    <col min="32" max="32" width="11.28515625" customWidth="1"/>
    <col min="33" max="34" width="11.28515625" bestFit="1" customWidth="1"/>
    <col min="35" max="35" width="13" bestFit="1" customWidth="1"/>
    <col min="36" max="37" width="11.28515625" bestFit="1" customWidth="1"/>
    <col min="38" max="39" width="11.28515625" customWidth="1"/>
  </cols>
  <sheetData>
    <row r="1" spans="2:40" ht="59.25" customHeight="1"/>
    <row r="2" spans="2:40" ht="30.75" customHeight="1">
      <c r="B2" s="251" t="s">
        <v>248</v>
      </c>
    </row>
    <row r="3" spans="2:40" ht="21">
      <c r="B3" s="32" t="s">
        <v>239</v>
      </c>
      <c r="C3" s="22" t="s">
        <v>37</v>
      </c>
      <c r="D3" s="22" t="s">
        <v>38</v>
      </c>
      <c r="E3" s="22" t="s">
        <v>39</v>
      </c>
      <c r="F3" s="22" t="s">
        <v>40</v>
      </c>
      <c r="G3" s="22" t="s">
        <v>41</v>
      </c>
      <c r="H3" s="33" t="s">
        <v>42</v>
      </c>
      <c r="I3" s="33" t="s">
        <v>43</v>
      </c>
      <c r="J3" s="33" t="s">
        <v>215</v>
      </c>
      <c r="K3" s="33" t="s">
        <v>240</v>
      </c>
      <c r="L3" s="33" t="s">
        <v>251</v>
      </c>
      <c r="M3" s="33" t="s">
        <v>263</v>
      </c>
      <c r="N3" s="33" t="s">
        <v>270</v>
      </c>
      <c r="O3" s="33" t="s">
        <v>283</v>
      </c>
      <c r="P3" s="33" t="s">
        <v>305</v>
      </c>
      <c r="Q3" s="33" t="s">
        <v>313</v>
      </c>
      <c r="R3" s="33" t="s">
        <v>323</v>
      </c>
      <c r="S3" s="33" t="s">
        <v>331</v>
      </c>
      <c r="T3" s="33" t="s">
        <v>334</v>
      </c>
      <c r="U3" s="33" t="s">
        <v>348</v>
      </c>
      <c r="V3" s="33" t="s">
        <v>361</v>
      </c>
      <c r="W3" s="33" t="s">
        <v>362</v>
      </c>
      <c r="X3" s="33" t="s">
        <v>411</v>
      </c>
      <c r="Y3" s="33" t="s">
        <v>413</v>
      </c>
      <c r="Z3" s="33" t="s">
        <v>419</v>
      </c>
      <c r="AA3" s="33" t="s">
        <v>421</v>
      </c>
      <c r="AC3" s="259" t="s">
        <v>239</v>
      </c>
      <c r="AD3" s="33">
        <v>2013</v>
      </c>
      <c r="AE3" s="22">
        <v>2014</v>
      </c>
      <c r="AF3" s="22">
        <v>2015</v>
      </c>
      <c r="AG3" s="22">
        <v>2016</v>
      </c>
      <c r="AH3" s="22">
        <v>2017</v>
      </c>
      <c r="AI3" s="27">
        <v>2018</v>
      </c>
      <c r="AJ3" s="27">
        <v>2019</v>
      </c>
      <c r="AK3" s="27">
        <v>2020</v>
      </c>
      <c r="AL3" s="27">
        <v>2021</v>
      </c>
      <c r="AM3" s="27">
        <v>2022</v>
      </c>
    </row>
    <row r="4" spans="2:40" ht="21">
      <c r="B4" s="37" t="s">
        <v>237</v>
      </c>
      <c r="C4" s="227">
        <v>0.318</v>
      </c>
      <c r="D4" s="228">
        <v>0.33900000000000002</v>
      </c>
      <c r="E4" s="228">
        <v>0.36699999999999999</v>
      </c>
      <c r="F4" s="228">
        <v>0.39800000000000002</v>
      </c>
      <c r="G4" s="228">
        <v>0.35099999999999998</v>
      </c>
      <c r="H4" s="228">
        <v>0.42399999999999999</v>
      </c>
      <c r="I4" s="228">
        <v>0.36699999999999999</v>
      </c>
      <c r="J4" s="228">
        <v>0.372</v>
      </c>
      <c r="K4" s="235">
        <v>0.35899999999999999</v>
      </c>
      <c r="L4" s="235">
        <v>0.34899999999999998</v>
      </c>
      <c r="M4" s="235">
        <v>0.375</v>
      </c>
      <c r="N4" s="235">
        <v>0.32400000000000001</v>
      </c>
      <c r="O4" s="235">
        <v>0.36699999999999999</v>
      </c>
      <c r="P4" s="235">
        <v>0.22800000000000001</v>
      </c>
      <c r="Q4" s="235">
        <v>0.27200000000000002</v>
      </c>
      <c r="R4" s="235">
        <v>0.33</v>
      </c>
      <c r="S4" s="235">
        <v>0.35499999999999998</v>
      </c>
      <c r="T4" s="235">
        <v>0.315</v>
      </c>
      <c r="U4" s="235">
        <v>0.30745106500682201</v>
      </c>
      <c r="V4" s="235">
        <v>0.33262364070459322</v>
      </c>
      <c r="W4" s="235">
        <v>0.38115124873664019</v>
      </c>
      <c r="X4" s="235">
        <v>0.35965550084273673</v>
      </c>
      <c r="Y4" s="235">
        <v>0.32737086921440417</v>
      </c>
      <c r="Z4" s="235">
        <v>0.31263416219786244</v>
      </c>
      <c r="AA4" s="235">
        <v>0.34542903999997809</v>
      </c>
      <c r="AB4" s="232"/>
      <c r="AC4" s="257" t="s">
        <v>237</v>
      </c>
      <c r="AD4" s="228">
        <v>0.31</v>
      </c>
      <c r="AE4" s="228">
        <v>0.3</v>
      </c>
      <c r="AF4" s="228">
        <v>0.28999999999999998</v>
      </c>
      <c r="AG4" s="228">
        <v>0.31</v>
      </c>
      <c r="AH4" s="228">
        <v>0.35699999999999998</v>
      </c>
      <c r="AI4" s="228">
        <v>0.377</v>
      </c>
      <c r="AJ4" s="228">
        <v>0.35199999999999998</v>
      </c>
      <c r="AK4" s="228">
        <v>0.31</v>
      </c>
      <c r="AL4" s="228">
        <v>0.32720638614516623</v>
      </c>
      <c r="AM4" s="228">
        <v>0.34513685927647608</v>
      </c>
      <c r="AN4" s="232"/>
    </row>
    <row r="5" spans="2:40" ht="21">
      <c r="B5" s="37" t="s">
        <v>236</v>
      </c>
      <c r="C5" s="229">
        <v>0.371</v>
      </c>
      <c r="D5" s="228">
        <v>0.33</v>
      </c>
      <c r="E5" s="228">
        <v>0.33400000000000002</v>
      </c>
      <c r="F5" s="228">
        <v>0.3</v>
      </c>
      <c r="G5" s="228">
        <v>0.34</v>
      </c>
      <c r="H5" s="228">
        <v>0.30399999999999999</v>
      </c>
      <c r="I5" s="228">
        <v>0.34200000000000003</v>
      </c>
      <c r="J5" s="228">
        <v>0.34899999999999998</v>
      </c>
      <c r="K5" s="235">
        <v>0.38600000000000001</v>
      </c>
      <c r="L5" s="235">
        <v>0.36799999999999999</v>
      </c>
      <c r="M5" s="235">
        <v>0.313</v>
      </c>
      <c r="N5" s="235">
        <v>0.38800000000000001</v>
      </c>
      <c r="O5" s="235">
        <v>0.317</v>
      </c>
      <c r="P5" s="235">
        <v>0.38600000000000001</v>
      </c>
      <c r="Q5" s="235">
        <v>0.35199999999999998</v>
      </c>
      <c r="R5" s="235">
        <v>0.33100000000000002</v>
      </c>
      <c r="S5" s="235">
        <v>0.32900000000000001</v>
      </c>
      <c r="T5" s="235">
        <v>0.34899999999999998</v>
      </c>
      <c r="U5" s="235">
        <v>0.35699999999999998</v>
      </c>
      <c r="V5" s="235">
        <v>0.25425883466341687</v>
      </c>
      <c r="W5" s="235">
        <v>0.29351256262266656</v>
      </c>
      <c r="X5" s="235">
        <v>0.28932078842284081</v>
      </c>
      <c r="Y5" s="235">
        <v>0.25260800355877705</v>
      </c>
      <c r="Z5" s="235">
        <v>0.26215011796059945</v>
      </c>
      <c r="AA5" s="235">
        <v>0.25789340416043904</v>
      </c>
      <c r="AB5" s="232"/>
      <c r="AC5" s="257" t="s">
        <v>236</v>
      </c>
      <c r="AD5" s="228">
        <v>0.36</v>
      </c>
      <c r="AE5" s="228">
        <v>0.37</v>
      </c>
      <c r="AF5" s="228">
        <v>0.37</v>
      </c>
      <c r="AG5" s="228">
        <v>0.38</v>
      </c>
      <c r="AH5" s="228">
        <v>0.33400000000000002</v>
      </c>
      <c r="AI5" s="228">
        <v>0.33500000000000002</v>
      </c>
      <c r="AJ5" s="228">
        <v>0.36299999999999999</v>
      </c>
      <c r="AK5" s="228">
        <v>0.34100000000000003</v>
      </c>
      <c r="AL5" s="228">
        <v>0.32645080542348925</v>
      </c>
      <c r="AM5" s="228">
        <v>0.27428971777802807</v>
      </c>
      <c r="AN5" s="232"/>
    </row>
    <row r="6" spans="2:40" ht="21">
      <c r="B6" s="37" t="s">
        <v>238</v>
      </c>
      <c r="C6" s="229">
        <v>0.311</v>
      </c>
      <c r="D6" s="228">
        <v>0.33100000000000002</v>
      </c>
      <c r="E6" s="228">
        <v>0.29899999999999999</v>
      </c>
      <c r="F6" s="228">
        <v>0.30199999999999999</v>
      </c>
      <c r="G6" s="228">
        <v>0.309</v>
      </c>
      <c r="H6" s="228">
        <v>0.27200000000000002</v>
      </c>
      <c r="I6" s="228">
        <v>0.29099999999999998</v>
      </c>
      <c r="J6" s="228">
        <v>0.28000000000000003</v>
      </c>
      <c r="K6" s="235">
        <v>0.254</v>
      </c>
      <c r="L6" s="235">
        <v>0.28299999999999997</v>
      </c>
      <c r="M6" s="235">
        <v>0.312</v>
      </c>
      <c r="N6" s="235">
        <v>0.28799999999999998</v>
      </c>
      <c r="O6" s="235">
        <v>0.316</v>
      </c>
      <c r="P6" s="235">
        <v>0.38600000000000001</v>
      </c>
      <c r="Q6" s="235">
        <v>0.376</v>
      </c>
      <c r="R6" s="235">
        <v>0.33900000000000002</v>
      </c>
      <c r="S6" s="235">
        <v>0.315</v>
      </c>
      <c r="T6" s="235">
        <v>0.33600000000000002</v>
      </c>
      <c r="U6" s="235">
        <v>0.33500000000000002</v>
      </c>
      <c r="V6" s="235">
        <v>0.41311752463198986</v>
      </c>
      <c r="W6" s="235">
        <v>0.32533618864069325</v>
      </c>
      <c r="X6" s="235">
        <v>0.35102371073442246</v>
      </c>
      <c r="Y6" s="235">
        <v>0.42002112722681884</v>
      </c>
      <c r="Z6" s="235">
        <v>0.42521571984153816</v>
      </c>
      <c r="AA6" s="235">
        <v>0.39667755583958286</v>
      </c>
      <c r="AB6" s="232"/>
      <c r="AC6" s="257" t="s">
        <v>238</v>
      </c>
      <c r="AD6" s="228">
        <v>0.33</v>
      </c>
      <c r="AE6" s="229">
        <v>0.33</v>
      </c>
      <c r="AF6" s="229">
        <v>0.34</v>
      </c>
      <c r="AG6" s="229">
        <v>0.31</v>
      </c>
      <c r="AH6" s="229">
        <v>0.31</v>
      </c>
      <c r="AI6" s="229">
        <v>0.28799999999999998</v>
      </c>
      <c r="AJ6" s="229">
        <v>0.28499999999999998</v>
      </c>
      <c r="AK6" s="229">
        <v>0.34899999999999998</v>
      </c>
      <c r="AL6" s="229">
        <v>0.34634280843134452</v>
      </c>
      <c r="AM6" s="229">
        <v>0.38057342294549579</v>
      </c>
      <c r="AN6" s="232"/>
    </row>
    <row r="7" spans="2:40" ht="21">
      <c r="B7" s="230" t="s">
        <v>49</v>
      </c>
      <c r="C7" s="231">
        <v>1</v>
      </c>
      <c r="D7" s="231">
        <v>1</v>
      </c>
      <c r="E7" s="231">
        <v>1</v>
      </c>
      <c r="F7" s="231">
        <v>1</v>
      </c>
      <c r="G7" s="231">
        <v>1</v>
      </c>
      <c r="H7" s="231">
        <v>1</v>
      </c>
      <c r="I7" s="231">
        <v>1</v>
      </c>
      <c r="J7" s="231">
        <v>1</v>
      </c>
      <c r="K7" s="236">
        <v>1</v>
      </c>
      <c r="L7" s="236">
        <v>1</v>
      </c>
      <c r="M7" s="236">
        <v>1</v>
      </c>
      <c r="N7" s="236">
        <v>1</v>
      </c>
      <c r="O7" s="236">
        <v>1</v>
      </c>
      <c r="P7" s="236">
        <v>1</v>
      </c>
      <c r="Q7" s="236">
        <v>1</v>
      </c>
      <c r="R7" s="236">
        <v>1</v>
      </c>
      <c r="S7" s="236">
        <v>1</v>
      </c>
      <c r="T7" s="236">
        <v>1</v>
      </c>
      <c r="U7" s="236">
        <v>1</v>
      </c>
      <c r="V7" s="236">
        <v>1</v>
      </c>
      <c r="W7" s="236">
        <v>1</v>
      </c>
      <c r="X7" s="236">
        <v>1</v>
      </c>
      <c r="Y7" s="236">
        <v>1</v>
      </c>
      <c r="Z7" s="236">
        <v>1</v>
      </c>
      <c r="AA7" s="236">
        <v>1</v>
      </c>
      <c r="AB7" s="232"/>
      <c r="AC7" s="246" t="s">
        <v>49</v>
      </c>
      <c r="AD7" s="231">
        <v>1</v>
      </c>
      <c r="AE7" s="231">
        <v>1</v>
      </c>
      <c r="AF7" s="231">
        <v>1</v>
      </c>
      <c r="AG7" s="231">
        <v>1</v>
      </c>
      <c r="AH7" s="247">
        <v>1</v>
      </c>
      <c r="AI7" s="247">
        <v>1</v>
      </c>
      <c r="AJ7" s="247">
        <v>1</v>
      </c>
      <c r="AK7" s="247">
        <v>1</v>
      </c>
      <c r="AL7" s="247">
        <v>1</v>
      </c>
      <c r="AM7" s="247">
        <v>1</v>
      </c>
      <c r="AN7" s="232"/>
    </row>
    <row r="8" spans="2:40" ht="15.75" customHeight="1">
      <c r="B8" s="243"/>
      <c r="C8" s="244"/>
      <c r="D8" s="244"/>
      <c r="E8" s="244"/>
      <c r="F8" s="244"/>
      <c r="G8" s="244"/>
      <c r="H8" s="244"/>
      <c r="I8" s="244"/>
      <c r="J8" s="244"/>
      <c r="K8" s="245"/>
      <c r="L8" s="245"/>
      <c r="M8" s="245"/>
      <c r="N8" s="245"/>
      <c r="O8" s="245"/>
      <c r="P8" s="245"/>
      <c r="Q8" s="245"/>
    </row>
    <row r="9" spans="2:40" ht="21">
      <c r="B9" s="251" t="s">
        <v>249</v>
      </c>
      <c r="C9" s="244"/>
      <c r="D9" s="244"/>
      <c r="E9" s="244"/>
      <c r="F9" s="244"/>
      <c r="G9" s="244"/>
      <c r="H9" s="244"/>
      <c r="I9" s="244"/>
      <c r="J9" s="244"/>
      <c r="K9" s="245"/>
      <c r="L9" s="245"/>
      <c r="M9" s="245"/>
      <c r="N9" s="245"/>
      <c r="O9" s="245"/>
      <c r="P9" s="245"/>
      <c r="Q9" s="245"/>
      <c r="AK9" s="232"/>
      <c r="AL9" s="232"/>
      <c r="AM9" s="232"/>
    </row>
    <row r="10" spans="2:40" ht="21">
      <c r="B10" s="32" t="s">
        <v>252</v>
      </c>
      <c r="C10" s="22" t="s">
        <v>37</v>
      </c>
      <c r="D10" s="22" t="s">
        <v>38</v>
      </c>
      <c r="E10" s="22" t="s">
        <v>39</v>
      </c>
      <c r="F10" s="22" t="s">
        <v>40</v>
      </c>
      <c r="G10" s="22" t="s">
        <v>41</v>
      </c>
      <c r="H10" s="33" t="s">
        <v>42</v>
      </c>
      <c r="I10" s="33" t="s">
        <v>43</v>
      </c>
      <c r="J10" s="33" t="s">
        <v>215</v>
      </c>
      <c r="K10" s="33" t="s">
        <v>240</v>
      </c>
      <c r="L10" s="33" t="s">
        <v>251</v>
      </c>
      <c r="M10" s="33" t="s">
        <v>263</v>
      </c>
      <c r="N10" s="33" t="s">
        <v>270</v>
      </c>
      <c r="O10" s="33" t="s">
        <v>283</v>
      </c>
      <c r="P10" s="33" t="s">
        <v>305</v>
      </c>
      <c r="Q10" s="33" t="s">
        <v>313</v>
      </c>
      <c r="R10" s="33" t="s">
        <v>323</v>
      </c>
      <c r="S10" s="33" t="s">
        <v>331</v>
      </c>
      <c r="T10" s="33" t="s">
        <v>334</v>
      </c>
      <c r="U10" s="33" t="s">
        <v>348</v>
      </c>
      <c r="V10" s="33" t="s">
        <v>361</v>
      </c>
      <c r="W10" s="33" t="s">
        <v>362</v>
      </c>
      <c r="X10" s="33" t="s">
        <v>411</v>
      </c>
      <c r="Y10" s="33" t="s">
        <v>413</v>
      </c>
      <c r="Z10" s="33" t="s">
        <v>419</v>
      </c>
      <c r="AA10" s="33" t="s">
        <v>421</v>
      </c>
      <c r="AC10" s="32" t="s">
        <v>252</v>
      </c>
      <c r="AD10" s="22">
        <v>2013</v>
      </c>
      <c r="AE10" s="22">
        <v>2014</v>
      </c>
      <c r="AF10" s="22">
        <v>2015</v>
      </c>
      <c r="AG10" s="22">
        <v>2016</v>
      </c>
      <c r="AH10" s="22">
        <v>2017</v>
      </c>
      <c r="AI10" s="27">
        <v>2018</v>
      </c>
      <c r="AJ10" s="27">
        <v>2019</v>
      </c>
      <c r="AK10" s="27">
        <v>2020</v>
      </c>
      <c r="AL10" s="27">
        <v>2021</v>
      </c>
      <c r="AM10" s="27">
        <v>2022</v>
      </c>
    </row>
    <row r="11" spans="2:40" ht="21">
      <c r="B11" s="256" t="s">
        <v>246</v>
      </c>
      <c r="C11" s="249">
        <v>825</v>
      </c>
      <c r="D11" s="249">
        <v>840</v>
      </c>
      <c r="E11" s="249">
        <v>882</v>
      </c>
      <c r="F11" s="249">
        <v>894</v>
      </c>
      <c r="G11" s="249">
        <v>919</v>
      </c>
      <c r="H11" s="249">
        <v>834</v>
      </c>
      <c r="I11" s="249">
        <v>992</v>
      </c>
      <c r="J11" s="249">
        <v>905</v>
      </c>
      <c r="K11" s="249">
        <v>885</v>
      </c>
      <c r="L11" s="249">
        <v>949</v>
      </c>
      <c r="M11" s="249">
        <v>945</v>
      </c>
      <c r="N11" s="249">
        <v>903</v>
      </c>
      <c r="O11" s="249">
        <v>902</v>
      </c>
      <c r="P11" s="249">
        <v>506</v>
      </c>
      <c r="Q11" s="249">
        <v>801</v>
      </c>
      <c r="R11" s="249">
        <v>1093</v>
      </c>
      <c r="S11" s="249">
        <v>1167</v>
      </c>
      <c r="T11" s="249">
        <v>1250</v>
      </c>
      <c r="U11" s="249">
        <v>1085.443</v>
      </c>
      <c r="V11" s="249">
        <v>791.73199999999997</v>
      </c>
      <c r="W11" s="249">
        <v>867.27673700000003</v>
      </c>
      <c r="X11" s="249">
        <v>947.50400000000002</v>
      </c>
      <c r="Y11" s="249">
        <v>937.75400000000002</v>
      </c>
      <c r="Z11" s="249">
        <v>871.64400000000001</v>
      </c>
      <c r="AA11" s="249">
        <v>933.59900000000005</v>
      </c>
      <c r="AB11" s="248"/>
      <c r="AC11" s="253" t="s">
        <v>246</v>
      </c>
      <c r="AD11" s="249">
        <v>5407</v>
      </c>
      <c r="AE11" s="249">
        <v>4572</v>
      </c>
      <c r="AF11" s="249">
        <v>3590</v>
      </c>
      <c r="AG11" s="249">
        <v>3176</v>
      </c>
      <c r="AH11" s="249">
        <v>3441</v>
      </c>
      <c r="AI11" s="249">
        <v>3650</v>
      </c>
      <c r="AJ11" s="249">
        <v>3681.6120000000001</v>
      </c>
      <c r="AK11" s="249">
        <v>3302</v>
      </c>
      <c r="AL11" s="249">
        <v>4293.741</v>
      </c>
      <c r="AM11" s="249">
        <v>3624.1787370000002</v>
      </c>
    </row>
    <row r="12" spans="2:40" ht="21">
      <c r="B12" s="257" t="s">
        <v>247</v>
      </c>
      <c r="C12" s="249">
        <v>105</v>
      </c>
      <c r="D12" s="249">
        <v>150</v>
      </c>
      <c r="E12" s="249">
        <v>134</v>
      </c>
      <c r="F12" s="249">
        <v>196</v>
      </c>
      <c r="G12" s="249">
        <v>170</v>
      </c>
      <c r="H12" s="249">
        <v>143</v>
      </c>
      <c r="I12" s="249">
        <v>115</v>
      </c>
      <c r="J12" s="249">
        <v>120</v>
      </c>
      <c r="K12" s="249">
        <v>119</v>
      </c>
      <c r="L12" s="249">
        <v>110</v>
      </c>
      <c r="M12" s="249">
        <v>88</v>
      </c>
      <c r="N12" s="249">
        <v>107</v>
      </c>
      <c r="O12" s="249">
        <v>145</v>
      </c>
      <c r="P12" s="249">
        <v>102</v>
      </c>
      <c r="Q12" s="249">
        <v>133</v>
      </c>
      <c r="R12" s="249">
        <v>40</v>
      </c>
      <c r="S12" s="249">
        <v>87</v>
      </c>
      <c r="T12" s="249">
        <v>65</v>
      </c>
      <c r="U12" s="249">
        <v>104.015</v>
      </c>
      <c r="V12" s="249">
        <v>272.42500000000001</v>
      </c>
      <c r="W12" s="249">
        <v>267.44844599999999</v>
      </c>
      <c r="X12" s="249">
        <v>140.54900000000001</v>
      </c>
      <c r="Y12" s="249">
        <v>108.904</v>
      </c>
      <c r="Z12" s="249">
        <v>91.763999999999996</v>
      </c>
      <c r="AA12" s="249">
        <v>100.985</v>
      </c>
      <c r="AB12" s="248"/>
      <c r="AC12" s="254" t="s">
        <v>247</v>
      </c>
      <c r="AD12" s="249">
        <v>813</v>
      </c>
      <c r="AE12" s="249">
        <v>968</v>
      </c>
      <c r="AF12" s="249">
        <v>1325</v>
      </c>
      <c r="AG12" s="249">
        <v>477</v>
      </c>
      <c r="AH12" s="249">
        <v>585</v>
      </c>
      <c r="AI12" s="249">
        <v>548</v>
      </c>
      <c r="AJ12" s="249">
        <v>423.83799999999997</v>
      </c>
      <c r="AK12" s="249">
        <v>421</v>
      </c>
      <c r="AL12" s="249">
        <v>528.97399999999993</v>
      </c>
      <c r="AM12" s="249">
        <v>608.66544599999997</v>
      </c>
    </row>
    <row r="13" spans="2:40" ht="21">
      <c r="B13" s="230" t="s">
        <v>17</v>
      </c>
      <c r="C13" s="250">
        <v>930</v>
      </c>
      <c r="D13" s="250">
        <v>990</v>
      </c>
      <c r="E13" s="250">
        <v>1016</v>
      </c>
      <c r="F13" s="250">
        <v>1090</v>
      </c>
      <c r="G13" s="250">
        <v>1089</v>
      </c>
      <c r="H13" s="250">
        <v>977</v>
      </c>
      <c r="I13" s="250">
        <v>1107</v>
      </c>
      <c r="J13" s="250">
        <v>1026</v>
      </c>
      <c r="K13" s="250">
        <v>1004</v>
      </c>
      <c r="L13" s="250">
        <v>1059</v>
      </c>
      <c r="M13" s="250">
        <v>1033</v>
      </c>
      <c r="N13" s="250">
        <v>1009</v>
      </c>
      <c r="O13" s="250">
        <v>1048</v>
      </c>
      <c r="P13" s="250">
        <v>608</v>
      </c>
      <c r="Q13" s="250">
        <v>934</v>
      </c>
      <c r="R13" s="250">
        <v>1133</v>
      </c>
      <c r="S13" s="250">
        <v>1254</v>
      </c>
      <c r="T13" s="250">
        <v>1315</v>
      </c>
      <c r="U13" s="250">
        <v>1189.4580000000001</v>
      </c>
      <c r="V13" s="250">
        <v>1064.1569999999999</v>
      </c>
      <c r="W13" s="250">
        <v>1134.725183</v>
      </c>
      <c r="X13" s="250">
        <v>1088.0530000000001</v>
      </c>
      <c r="Y13" s="250">
        <v>1046.6579999999999</v>
      </c>
      <c r="Z13" s="250">
        <v>963.40800000000002</v>
      </c>
      <c r="AA13" s="250">
        <v>1034.5840000000001</v>
      </c>
      <c r="AB13" s="248"/>
      <c r="AC13" s="255" t="s">
        <v>17</v>
      </c>
      <c r="AD13" s="250">
        <v>6220</v>
      </c>
      <c r="AE13" s="250">
        <v>5541</v>
      </c>
      <c r="AF13" s="250">
        <v>4915</v>
      </c>
      <c r="AG13" s="250">
        <v>3652</v>
      </c>
      <c r="AH13" s="250">
        <v>4026</v>
      </c>
      <c r="AI13" s="250">
        <v>4198</v>
      </c>
      <c r="AJ13" s="250">
        <v>4105.4560000000001</v>
      </c>
      <c r="AK13" s="250">
        <v>3723</v>
      </c>
      <c r="AL13" s="250">
        <v>4822.7150000000001</v>
      </c>
      <c r="AM13" s="250">
        <v>4232.8441830000002</v>
      </c>
    </row>
    <row r="14" spans="2:40" ht="21">
      <c r="B14" s="311" t="s">
        <v>328</v>
      </c>
      <c r="C14" s="244"/>
      <c r="D14" s="244"/>
      <c r="E14" s="244"/>
      <c r="F14" s="244"/>
      <c r="G14" s="244"/>
      <c r="H14" s="244"/>
      <c r="I14" s="244"/>
      <c r="J14" s="244"/>
      <c r="K14" s="245"/>
      <c r="L14" s="245"/>
      <c r="M14" s="245"/>
      <c r="N14" s="245"/>
      <c r="O14" s="245"/>
      <c r="P14" s="245"/>
    </row>
    <row r="23" spans="3:28">
      <c r="M23" s="283"/>
      <c r="N23" s="283"/>
      <c r="U23" s="282"/>
      <c r="V23" s="282"/>
      <c r="W23" s="282"/>
      <c r="X23" s="282"/>
      <c r="Y23" s="282"/>
      <c r="Z23" s="282"/>
      <c r="AA23" s="282"/>
      <c r="AB23" s="232"/>
    </row>
    <row r="24" spans="3:28">
      <c r="M24" s="283"/>
      <c r="N24" s="283"/>
      <c r="U24" s="282"/>
      <c r="V24" s="282"/>
      <c r="W24" s="282"/>
      <c r="X24" s="282"/>
      <c r="Y24" s="282"/>
      <c r="Z24" s="282"/>
      <c r="AA24" s="282"/>
      <c r="AB24" s="232"/>
    </row>
    <row r="25" spans="3:28" ht="25.5">
      <c r="D25" s="252"/>
      <c r="M25" s="283"/>
      <c r="N25" s="283"/>
      <c r="U25" s="282"/>
      <c r="V25" s="282"/>
      <c r="W25" s="282"/>
      <c r="X25" s="282"/>
      <c r="Y25" s="282"/>
      <c r="Z25" s="282"/>
      <c r="AA25" s="282"/>
      <c r="AB25" s="232"/>
    </row>
    <row r="27" spans="3:28" ht="28.5" customHeight="1">
      <c r="C27" s="258"/>
    </row>
    <row r="30" spans="3:28">
      <c r="I30" t="s">
        <v>26</v>
      </c>
    </row>
  </sheetData>
  <sortState xmlns:xlrd2="http://schemas.microsoft.com/office/spreadsheetml/2017/richdata2" ref="AD9:AK11">
    <sortCondition ref="AD9:AD11"/>
  </sortState>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M39"/>
  <sheetViews>
    <sheetView showGridLines="0" zoomScale="50" zoomScaleNormal="50" workbookViewId="0">
      <pane xSplit="2" ySplit="3" topLeftCell="Z4" activePane="bottomRight" state="frozen"/>
      <selection activeCell="AH23" sqref="AH23"/>
      <selection pane="topRight" activeCell="AH23" sqref="AH23"/>
      <selection pane="bottomLeft" activeCell="AH23" sqref="AH23"/>
      <selection pane="bottomRight" activeCell="Z20" sqref="Z20:Z25"/>
    </sheetView>
  </sheetViews>
  <sheetFormatPr defaultColWidth="9.140625" defaultRowHeight="15"/>
  <cols>
    <col min="1" max="1" width="9.140625" style="300" customWidth="1"/>
    <col min="2" max="2" width="59.42578125" style="300" bestFit="1" customWidth="1"/>
    <col min="3" max="8" width="12.140625" style="300" hidden="1" customWidth="1"/>
    <col min="9" max="16" width="12.140625" style="300" customWidth="1"/>
    <col min="17" max="20" width="12.28515625" style="300" customWidth="1"/>
    <col min="21" max="23" width="12.140625" style="300" bestFit="1" customWidth="1"/>
    <col min="24" max="24" width="10.85546875" style="300" customWidth="1"/>
    <col min="25" max="25" width="12.140625" style="300" bestFit="1" customWidth="1"/>
    <col min="26" max="27" width="10.85546875" style="300" customWidth="1"/>
    <col min="28" max="29" width="50.140625" style="300" bestFit="1" customWidth="1"/>
    <col min="30" max="33" width="11.85546875" style="300" bestFit="1" customWidth="1"/>
    <col min="34" max="35" width="12.7109375" style="300" bestFit="1" customWidth="1"/>
    <col min="36" max="36" width="12.28515625" style="300" customWidth="1"/>
    <col min="37" max="37" width="11.85546875" style="300" bestFit="1" customWidth="1"/>
    <col min="38" max="39" width="11.85546875" style="300" customWidth="1"/>
    <col min="40" max="42" width="9.140625" style="300"/>
    <col min="43" max="43" width="12.85546875" style="300" customWidth="1"/>
    <col min="44" max="16384" width="9.140625" style="300"/>
  </cols>
  <sheetData>
    <row r="1" spans="2:39" ht="59.25" customHeight="1"/>
    <row r="2" spans="2:39" ht="30.75" customHeight="1">
      <c r="B2" s="301"/>
    </row>
    <row r="3" spans="2:39" ht="21">
      <c r="B3" s="302" t="s">
        <v>324</v>
      </c>
      <c r="C3" s="303" t="s">
        <v>37</v>
      </c>
      <c r="D3" s="303" t="s">
        <v>38</v>
      </c>
      <c r="E3" s="303" t="s">
        <v>39</v>
      </c>
      <c r="F3" s="303" t="s">
        <v>40</v>
      </c>
      <c r="G3" s="303" t="s">
        <v>41</v>
      </c>
      <c r="H3" s="304" t="s">
        <v>42</v>
      </c>
      <c r="I3" s="304" t="s">
        <v>43</v>
      </c>
      <c r="J3" s="304" t="s">
        <v>215</v>
      </c>
      <c r="K3" s="304" t="s">
        <v>240</v>
      </c>
      <c r="L3" s="304" t="s">
        <v>251</v>
      </c>
      <c r="M3" s="304" t="s">
        <v>263</v>
      </c>
      <c r="N3" s="304" t="s">
        <v>270</v>
      </c>
      <c r="O3" s="304" t="s">
        <v>283</v>
      </c>
      <c r="P3" s="304" t="s">
        <v>305</v>
      </c>
      <c r="Q3" s="304" t="s">
        <v>313</v>
      </c>
      <c r="R3" s="304" t="s">
        <v>323</v>
      </c>
      <c r="S3" s="304" t="s">
        <v>331</v>
      </c>
      <c r="T3" s="304" t="s">
        <v>334</v>
      </c>
      <c r="U3" s="304" t="s">
        <v>348</v>
      </c>
      <c r="V3" s="304" t="s">
        <v>361</v>
      </c>
      <c r="W3" s="304" t="s">
        <v>362</v>
      </c>
      <c r="X3" s="335" t="s">
        <v>411</v>
      </c>
      <c r="Y3" s="335" t="s">
        <v>413</v>
      </c>
      <c r="Z3" s="335" t="s">
        <v>419</v>
      </c>
      <c r="AA3" s="335" t="s">
        <v>422</v>
      </c>
      <c r="AC3" s="305" t="s">
        <v>324</v>
      </c>
      <c r="AD3" s="315">
        <v>2013</v>
      </c>
      <c r="AE3" s="316">
        <v>2014</v>
      </c>
      <c r="AF3" s="316">
        <v>2015</v>
      </c>
      <c r="AG3" s="316">
        <v>2016</v>
      </c>
      <c r="AH3" s="316">
        <v>2017</v>
      </c>
      <c r="AI3" s="316">
        <v>2018</v>
      </c>
      <c r="AJ3" s="316">
        <v>2019</v>
      </c>
      <c r="AK3" s="316">
        <v>2020</v>
      </c>
      <c r="AL3" s="316">
        <v>2021</v>
      </c>
      <c r="AM3" s="316">
        <v>2022</v>
      </c>
    </row>
    <row r="4" spans="2:39" ht="21">
      <c r="B4" s="306" t="s">
        <v>29</v>
      </c>
      <c r="C4" s="295">
        <v>112</v>
      </c>
      <c r="D4" s="295">
        <v>126</v>
      </c>
      <c r="E4" s="295">
        <v>131</v>
      </c>
      <c r="F4" s="295">
        <v>112</v>
      </c>
      <c r="G4" s="295">
        <v>111</v>
      </c>
      <c r="H4" s="295">
        <v>98</v>
      </c>
      <c r="I4" s="295">
        <v>149</v>
      </c>
      <c r="J4" s="295">
        <v>113</v>
      </c>
      <c r="K4" s="293">
        <v>117</v>
      </c>
      <c r="L4" s="293">
        <v>112</v>
      </c>
      <c r="M4" s="293">
        <v>129</v>
      </c>
      <c r="N4" s="293">
        <v>96</v>
      </c>
      <c r="O4" s="293">
        <v>108</v>
      </c>
      <c r="P4" s="293">
        <v>80</v>
      </c>
      <c r="Q4" s="293">
        <v>87</v>
      </c>
      <c r="R4" s="293">
        <v>90</v>
      </c>
      <c r="S4" s="293">
        <v>138</v>
      </c>
      <c r="T4" s="293">
        <v>124.452</v>
      </c>
      <c r="U4" s="293">
        <v>121.16300000000001</v>
      </c>
      <c r="V4" s="293">
        <v>100.911</v>
      </c>
      <c r="W4" s="293">
        <v>111.76544800000001</v>
      </c>
      <c r="X4" s="293">
        <v>117.90555999999999</v>
      </c>
      <c r="Y4" s="293">
        <v>170.15945000000011</v>
      </c>
      <c r="Z4" s="293">
        <v>186.463515000001</v>
      </c>
      <c r="AA4" s="323"/>
      <c r="AC4" s="308" t="s">
        <v>29</v>
      </c>
      <c r="AD4" s="295">
        <v>1278</v>
      </c>
      <c r="AE4" s="295">
        <v>1217</v>
      </c>
      <c r="AF4" s="295">
        <v>890</v>
      </c>
      <c r="AG4" s="295">
        <v>518</v>
      </c>
      <c r="AH4" s="295">
        <v>481</v>
      </c>
      <c r="AI4" s="295">
        <v>471</v>
      </c>
      <c r="AJ4" s="295">
        <v>453</v>
      </c>
      <c r="AK4" s="295">
        <f>SUM(O4:R4)</f>
        <v>365</v>
      </c>
      <c r="AL4" s="295">
        <f>SUM(S4:V4)</f>
        <v>484.52600000000001</v>
      </c>
      <c r="AM4" s="295">
        <f>SUM(W4:Z4)</f>
        <v>586.29397300000119</v>
      </c>
    </row>
    <row r="5" spans="2:39" ht="21">
      <c r="B5" s="306" t="s">
        <v>30</v>
      </c>
      <c r="C5" s="295">
        <v>266</v>
      </c>
      <c r="D5" s="295">
        <v>288</v>
      </c>
      <c r="E5" s="295">
        <v>299</v>
      </c>
      <c r="F5" s="295">
        <v>286</v>
      </c>
      <c r="G5" s="295">
        <v>338</v>
      </c>
      <c r="H5" s="295">
        <v>302</v>
      </c>
      <c r="I5" s="295">
        <v>320</v>
      </c>
      <c r="J5" s="295">
        <v>312</v>
      </c>
      <c r="K5" s="293">
        <v>259</v>
      </c>
      <c r="L5" s="293">
        <v>340</v>
      </c>
      <c r="M5" s="293">
        <v>325</v>
      </c>
      <c r="N5" s="293">
        <v>322</v>
      </c>
      <c r="O5" s="293">
        <v>278</v>
      </c>
      <c r="P5" s="293">
        <v>185</v>
      </c>
      <c r="Q5" s="293">
        <v>307</v>
      </c>
      <c r="R5" s="293">
        <v>423</v>
      </c>
      <c r="S5" s="293">
        <v>438</v>
      </c>
      <c r="T5" s="293">
        <v>484.81299999999999</v>
      </c>
      <c r="U5" s="293">
        <v>405.18799999999999</v>
      </c>
      <c r="V5" s="293">
        <v>366.983</v>
      </c>
      <c r="W5" s="293">
        <v>405.91914100000002</v>
      </c>
      <c r="X5" s="293">
        <v>424.01665300000002</v>
      </c>
      <c r="Y5" s="293">
        <v>374.66142400000001</v>
      </c>
      <c r="Z5" s="293">
        <v>319.26737400000002</v>
      </c>
      <c r="AA5" s="323"/>
      <c r="AC5" s="308" t="s">
        <v>30</v>
      </c>
      <c r="AD5" s="295">
        <v>2165</v>
      </c>
      <c r="AE5" s="295">
        <v>1863</v>
      </c>
      <c r="AF5" s="295">
        <v>1580</v>
      </c>
      <c r="AG5" s="295">
        <v>975</v>
      </c>
      <c r="AH5" s="295">
        <v>1139</v>
      </c>
      <c r="AI5" s="295">
        <v>1273</v>
      </c>
      <c r="AJ5" s="295">
        <v>1245</v>
      </c>
      <c r="AK5" s="295">
        <f t="shared" ref="AK5:AK9" si="0">SUM(O5:R5)</f>
        <v>1193</v>
      </c>
      <c r="AL5" s="295">
        <f t="shared" ref="AL5:AL9" si="1">SUM(S5:V5)</f>
        <v>1694.9839999999999</v>
      </c>
      <c r="AM5" s="295">
        <f t="shared" ref="AM5:AM9" si="2">SUM(W5:Z5)</f>
        <v>1523.8645919999999</v>
      </c>
    </row>
    <row r="6" spans="2:39" ht="21">
      <c r="B6" s="306" t="s">
        <v>31</v>
      </c>
      <c r="C6" s="295">
        <v>296</v>
      </c>
      <c r="D6" s="295">
        <v>308</v>
      </c>
      <c r="E6" s="295">
        <v>311</v>
      </c>
      <c r="F6" s="295">
        <v>404</v>
      </c>
      <c r="G6" s="295">
        <v>368</v>
      </c>
      <c r="H6" s="295">
        <v>320</v>
      </c>
      <c r="I6" s="295">
        <v>329</v>
      </c>
      <c r="J6" s="295">
        <v>324</v>
      </c>
      <c r="K6" s="293">
        <v>353</v>
      </c>
      <c r="L6" s="293">
        <v>317</v>
      </c>
      <c r="M6" s="293">
        <v>277</v>
      </c>
      <c r="N6" s="293">
        <v>290</v>
      </c>
      <c r="O6" s="293">
        <v>338</v>
      </c>
      <c r="P6" s="293">
        <v>163</v>
      </c>
      <c r="Q6" s="293">
        <v>240</v>
      </c>
      <c r="R6" s="293">
        <v>319</v>
      </c>
      <c r="S6" s="293">
        <v>373</v>
      </c>
      <c r="T6" s="293">
        <v>390.14600000000002</v>
      </c>
      <c r="U6" s="293">
        <v>356.584</v>
      </c>
      <c r="V6" s="293">
        <v>293.214</v>
      </c>
      <c r="W6" s="293">
        <v>281.33656299999996</v>
      </c>
      <c r="X6" s="293">
        <v>255.13350499999999</v>
      </c>
      <c r="Y6" s="293">
        <v>231.97391999999999</v>
      </c>
      <c r="Z6" s="293">
        <v>198.13757000000001</v>
      </c>
      <c r="AA6" s="323"/>
      <c r="AC6" s="308" t="s">
        <v>31</v>
      </c>
      <c r="AD6" s="295">
        <v>1462</v>
      </c>
      <c r="AE6" s="295">
        <v>1309</v>
      </c>
      <c r="AF6" s="295">
        <v>1125</v>
      </c>
      <c r="AG6" s="295">
        <v>1155</v>
      </c>
      <c r="AH6" s="295">
        <v>1319</v>
      </c>
      <c r="AI6" s="295">
        <v>1341</v>
      </c>
      <c r="AJ6" s="295">
        <v>1236</v>
      </c>
      <c r="AK6" s="295">
        <f t="shared" si="0"/>
        <v>1060</v>
      </c>
      <c r="AL6" s="295">
        <f t="shared" si="1"/>
        <v>1412.944</v>
      </c>
      <c r="AM6" s="295">
        <f t="shared" si="2"/>
        <v>966.58155799999997</v>
      </c>
    </row>
    <row r="7" spans="2:39" ht="21">
      <c r="B7" s="306" t="s">
        <v>28</v>
      </c>
      <c r="C7" s="295">
        <v>232</v>
      </c>
      <c r="D7" s="295">
        <v>257</v>
      </c>
      <c r="E7" s="295">
        <v>264</v>
      </c>
      <c r="F7" s="295">
        <v>276</v>
      </c>
      <c r="G7" s="295">
        <v>260</v>
      </c>
      <c r="H7" s="295">
        <v>253</v>
      </c>
      <c r="I7" s="295">
        <v>301</v>
      </c>
      <c r="J7" s="295">
        <v>271</v>
      </c>
      <c r="K7" s="293">
        <v>269</v>
      </c>
      <c r="L7" s="293">
        <v>270</v>
      </c>
      <c r="M7" s="293">
        <v>282</v>
      </c>
      <c r="N7" s="293">
        <v>286</v>
      </c>
      <c r="O7" s="293">
        <v>300</v>
      </c>
      <c r="P7" s="293">
        <v>154</v>
      </c>
      <c r="Q7" s="293">
        <v>284</v>
      </c>
      <c r="R7" s="293">
        <v>288</v>
      </c>
      <c r="S7" s="293">
        <v>295</v>
      </c>
      <c r="T7" s="293">
        <v>302.78699999999998</v>
      </c>
      <c r="U7" s="293">
        <v>298.036</v>
      </c>
      <c r="V7" s="293">
        <v>262.97300000000001</v>
      </c>
      <c r="W7" s="293">
        <v>319.15868</v>
      </c>
      <c r="X7" s="293">
        <v>283.846565</v>
      </c>
      <c r="Y7" s="293">
        <v>260.674012</v>
      </c>
      <c r="Z7" s="293">
        <v>232.26748499999999</v>
      </c>
      <c r="AA7" s="323"/>
      <c r="AC7" s="308" t="s">
        <v>28</v>
      </c>
      <c r="AD7" s="295">
        <v>911</v>
      </c>
      <c r="AE7" s="295">
        <v>878</v>
      </c>
      <c r="AF7" s="295">
        <v>850</v>
      </c>
      <c r="AG7" s="295">
        <v>919</v>
      </c>
      <c r="AH7" s="295">
        <v>1028</v>
      </c>
      <c r="AI7" s="295">
        <v>1086</v>
      </c>
      <c r="AJ7" s="295">
        <v>1107</v>
      </c>
      <c r="AK7" s="295">
        <f t="shared" si="0"/>
        <v>1026</v>
      </c>
      <c r="AL7" s="295">
        <f t="shared" si="1"/>
        <v>1158.796</v>
      </c>
      <c r="AM7" s="295">
        <f t="shared" si="2"/>
        <v>1095.9467420000001</v>
      </c>
    </row>
    <row r="8" spans="2:39" ht="21">
      <c r="B8" s="306" t="s">
        <v>325</v>
      </c>
      <c r="C8" s="295">
        <v>23</v>
      </c>
      <c r="D8" s="295">
        <v>10</v>
      </c>
      <c r="E8" s="295">
        <v>11</v>
      </c>
      <c r="F8" s="295">
        <v>12</v>
      </c>
      <c r="G8" s="295">
        <v>12</v>
      </c>
      <c r="H8" s="295">
        <v>4</v>
      </c>
      <c r="I8" s="295">
        <v>6</v>
      </c>
      <c r="J8" s="295">
        <v>5</v>
      </c>
      <c r="K8" s="293">
        <v>5</v>
      </c>
      <c r="L8" s="293">
        <v>20</v>
      </c>
      <c r="M8" s="293">
        <v>19</v>
      </c>
      <c r="N8" s="293">
        <v>16</v>
      </c>
      <c r="O8" s="293">
        <v>24</v>
      </c>
      <c r="P8" s="293">
        <v>25</v>
      </c>
      <c r="Q8" s="293">
        <v>16</v>
      </c>
      <c r="R8" s="293">
        <v>13</v>
      </c>
      <c r="S8" s="293">
        <v>11</v>
      </c>
      <c r="T8" s="293">
        <v>12.542</v>
      </c>
      <c r="U8" s="293">
        <v>8.4870000000000001</v>
      </c>
      <c r="V8" s="293">
        <v>40.076000000000001</v>
      </c>
      <c r="W8" s="293">
        <v>16.545351</v>
      </c>
      <c r="X8" s="293">
        <v>7.1499480000000002</v>
      </c>
      <c r="Y8" s="293">
        <v>9.1905570000000001</v>
      </c>
      <c r="Z8" s="293">
        <v>27.271394000000001</v>
      </c>
      <c r="AA8" s="323"/>
      <c r="AC8" s="308" t="s">
        <v>325</v>
      </c>
      <c r="AD8" s="295">
        <v>405</v>
      </c>
      <c r="AE8" s="296">
        <v>274</v>
      </c>
      <c r="AF8" s="296">
        <v>466</v>
      </c>
      <c r="AG8" s="296">
        <v>84</v>
      </c>
      <c r="AH8" s="296">
        <v>58</v>
      </c>
      <c r="AI8" s="296">
        <v>27</v>
      </c>
      <c r="AJ8" s="296">
        <v>64</v>
      </c>
      <c r="AK8" s="296">
        <f t="shared" si="0"/>
        <v>78</v>
      </c>
      <c r="AL8" s="296">
        <f t="shared" si="1"/>
        <v>72.105000000000004</v>
      </c>
      <c r="AM8" s="295">
        <f t="shared" si="2"/>
        <v>60.157249999999998</v>
      </c>
    </row>
    <row r="9" spans="2:39" ht="21">
      <c r="B9" s="309" t="s">
        <v>17</v>
      </c>
      <c r="C9" s="294">
        <v>930</v>
      </c>
      <c r="D9" s="294">
        <v>990</v>
      </c>
      <c r="E9" s="294">
        <v>1016</v>
      </c>
      <c r="F9" s="294">
        <v>1090</v>
      </c>
      <c r="G9" s="294">
        <v>1089</v>
      </c>
      <c r="H9" s="294">
        <v>977</v>
      </c>
      <c r="I9" s="294">
        <v>1107</v>
      </c>
      <c r="J9" s="294">
        <v>1026</v>
      </c>
      <c r="K9" s="294">
        <v>1004</v>
      </c>
      <c r="L9" s="294">
        <v>1059</v>
      </c>
      <c r="M9" s="294">
        <v>1033</v>
      </c>
      <c r="N9" s="294">
        <v>1009</v>
      </c>
      <c r="O9" s="294">
        <v>1048</v>
      </c>
      <c r="P9" s="294">
        <v>608</v>
      </c>
      <c r="Q9" s="294">
        <v>934</v>
      </c>
      <c r="R9" s="294">
        <v>1133</v>
      </c>
      <c r="S9" s="294">
        <v>1254</v>
      </c>
      <c r="T9" s="294">
        <v>1315</v>
      </c>
      <c r="U9" s="294">
        <v>1189.4580000000001</v>
      </c>
      <c r="V9" s="294">
        <v>1064.1569999999999</v>
      </c>
      <c r="W9" s="294">
        <v>1134.725183</v>
      </c>
      <c r="X9" s="294">
        <v>1088.0522310000001</v>
      </c>
      <c r="Y9" s="294">
        <v>1046.6593630000002</v>
      </c>
      <c r="Z9" s="294">
        <v>963.407338000001</v>
      </c>
      <c r="AA9" s="314"/>
      <c r="AC9" s="309" t="s">
        <v>17</v>
      </c>
      <c r="AD9" s="297">
        <v>6220</v>
      </c>
      <c r="AE9" s="310">
        <v>5540</v>
      </c>
      <c r="AF9" s="310">
        <v>4911</v>
      </c>
      <c r="AG9" s="310">
        <v>3652</v>
      </c>
      <c r="AH9" s="310">
        <v>4025</v>
      </c>
      <c r="AI9" s="310">
        <v>4198</v>
      </c>
      <c r="AJ9" s="310">
        <v>4105</v>
      </c>
      <c r="AK9" s="310">
        <f t="shared" si="0"/>
        <v>3723</v>
      </c>
      <c r="AL9" s="310">
        <f t="shared" si="1"/>
        <v>4822.6149999999998</v>
      </c>
      <c r="AM9" s="310">
        <f t="shared" si="2"/>
        <v>4232.8441150000017</v>
      </c>
    </row>
    <row r="10" spans="2:39" ht="15.75" customHeight="1">
      <c r="B10" s="311"/>
      <c r="C10" s="312"/>
      <c r="D10" s="312"/>
      <c r="E10" s="312"/>
      <c r="F10" s="312"/>
      <c r="G10" s="312"/>
      <c r="H10" s="312"/>
      <c r="I10" s="312"/>
      <c r="J10" s="312"/>
      <c r="K10" s="313"/>
      <c r="L10" s="313"/>
      <c r="M10" s="313"/>
      <c r="N10" s="313"/>
      <c r="O10" s="313"/>
      <c r="P10" s="313"/>
      <c r="Q10" s="313"/>
      <c r="R10" s="313"/>
      <c r="S10" s="313"/>
      <c r="T10" s="313"/>
      <c r="U10" s="313"/>
      <c r="V10" s="313"/>
      <c r="W10" s="334"/>
      <c r="X10" s="313"/>
      <c r="Y10" s="313"/>
      <c r="Z10" s="313"/>
      <c r="AA10" s="313"/>
      <c r="AC10" s="311"/>
    </row>
    <row r="11" spans="2:39" ht="21">
      <c r="B11" s="302" t="s">
        <v>326</v>
      </c>
      <c r="C11" s="303" t="s">
        <v>37</v>
      </c>
      <c r="D11" s="303" t="s">
        <v>38</v>
      </c>
      <c r="E11" s="303" t="s">
        <v>39</v>
      </c>
      <c r="F11" s="303" t="s">
        <v>40</v>
      </c>
      <c r="G11" s="303" t="s">
        <v>41</v>
      </c>
      <c r="H11" s="304" t="s">
        <v>42</v>
      </c>
      <c r="I11" s="304" t="s">
        <v>43</v>
      </c>
      <c r="J11" s="304" t="s">
        <v>215</v>
      </c>
      <c r="K11" s="304" t="s">
        <v>240</v>
      </c>
      <c r="L11" s="304" t="s">
        <v>251</v>
      </c>
      <c r="M11" s="304" t="s">
        <v>263</v>
      </c>
      <c r="N11" s="304" t="s">
        <v>270</v>
      </c>
      <c r="O11" s="304" t="s">
        <v>283</v>
      </c>
      <c r="P11" s="304" t="s">
        <v>305</v>
      </c>
      <c r="Q11" s="304" t="s">
        <v>313</v>
      </c>
      <c r="R11" s="304" t="s">
        <v>323</v>
      </c>
      <c r="S11" s="304" t="str">
        <f>S3</f>
        <v>1T21</v>
      </c>
      <c r="T11" s="304" t="str">
        <f>T3</f>
        <v>2T21</v>
      </c>
      <c r="U11" s="303" t="str">
        <f>U3</f>
        <v>3T21</v>
      </c>
      <c r="V11" s="303" t="s">
        <v>361</v>
      </c>
      <c r="W11" s="303" t="s">
        <v>362</v>
      </c>
      <c r="X11" s="303" t="s">
        <v>411</v>
      </c>
      <c r="Y11" s="303" t="s">
        <v>413</v>
      </c>
      <c r="Z11" s="303" t="s">
        <v>419</v>
      </c>
      <c r="AA11" s="335" t="s">
        <v>422</v>
      </c>
      <c r="AC11" s="305" t="s">
        <v>326</v>
      </c>
      <c r="AD11" s="315">
        <v>2013</v>
      </c>
      <c r="AE11" s="316">
        <v>2014</v>
      </c>
      <c r="AF11" s="316">
        <v>2015</v>
      </c>
      <c r="AG11" s="316">
        <v>2016</v>
      </c>
      <c r="AH11" s="316">
        <v>2017</v>
      </c>
      <c r="AI11" s="316">
        <v>2018</v>
      </c>
      <c r="AJ11" s="316">
        <v>2019</v>
      </c>
      <c r="AK11" s="316">
        <v>2020</v>
      </c>
      <c r="AL11" s="316">
        <v>2021</v>
      </c>
      <c r="AM11" s="316">
        <v>2022</v>
      </c>
    </row>
    <row r="12" spans="2:39" ht="21">
      <c r="B12" s="306" t="s">
        <v>29</v>
      </c>
      <c r="C12" s="307">
        <v>107</v>
      </c>
      <c r="D12" s="295">
        <v>118</v>
      </c>
      <c r="E12" s="295">
        <v>114</v>
      </c>
      <c r="F12" s="295">
        <v>95</v>
      </c>
      <c r="G12" s="295">
        <v>103</v>
      </c>
      <c r="H12" s="295">
        <v>90</v>
      </c>
      <c r="I12" s="295">
        <v>117</v>
      </c>
      <c r="J12" s="295">
        <v>106</v>
      </c>
      <c r="K12" s="293">
        <v>94</v>
      </c>
      <c r="L12" s="293">
        <v>100</v>
      </c>
      <c r="M12" s="293">
        <v>120</v>
      </c>
      <c r="N12" s="293">
        <v>88</v>
      </c>
      <c r="O12" s="293">
        <v>94</v>
      </c>
      <c r="P12" s="293">
        <v>68</v>
      </c>
      <c r="Q12" s="293">
        <v>71</v>
      </c>
      <c r="R12" s="293">
        <v>79</v>
      </c>
      <c r="S12" s="293">
        <v>122</v>
      </c>
      <c r="T12" s="293">
        <v>116.831</v>
      </c>
      <c r="U12" s="293">
        <v>111.608</v>
      </c>
      <c r="V12" s="293">
        <v>91.14</v>
      </c>
      <c r="W12" s="293">
        <v>93.313000000000002</v>
      </c>
      <c r="X12" s="293">
        <v>105.558133</v>
      </c>
      <c r="Y12" s="293">
        <v>125.404715</v>
      </c>
      <c r="Z12" s="293">
        <v>139.72314699999998</v>
      </c>
      <c r="AA12" s="323"/>
      <c r="AC12" s="308" t="s">
        <v>29</v>
      </c>
      <c r="AD12" s="295">
        <v>1150</v>
      </c>
      <c r="AE12" s="295">
        <v>968</v>
      </c>
      <c r="AF12" s="295">
        <v>775</v>
      </c>
      <c r="AG12" s="295">
        <v>491</v>
      </c>
      <c r="AH12" s="295">
        <v>434</v>
      </c>
      <c r="AI12" s="295">
        <v>416</v>
      </c>
      <c r="AJ12" s="295">
        <v>400</v>
      </c>
      <c r="AK12" s="295">
        <f>SUM(O12:R12)</f>
        <v>312</v>
      </c>
      <c r="AL12" s="295">
        <f>SUM(S12:V12)</f>
        <v>441.57900000000001</v>
      </c>
      <c r="AM12" s="295">
        <f t="shared" ref="AM12:AM17" si="3">SUM(W12:Z12)</f>
        <v>463.99899499999998</v>
      </c>
    </row>
    <row r="13" spans="2:39" ht="21">
      <c r="B13" s="306" t="s">
        <v>30</v>
      </c>
      <c r="C13" s="296">
        <v>256</v>
      </c>
      <c r="D13" s="295">
        <v>273</v>
      </c>
      <c r="E13" s="295">
        <v>280</v>
      </c>
      <c r="F13" s="295">
        <v>276</v>
      </c>
      <c r="G13" s="295">
        <v>304</v>
      </c>
      <c r="H13" s="295">
        <v>285</v>
      </c>
      <c r="I13" s="295">
        <v>298</v>
      </c>
      <c r="J13" s="295">
        <v>299</v>
      </c>
      <c r="K13" s="293">
        <v>251</v>
      </c>
      <c r="L13" s="293">
        <v>330</v>
      </c>
      <c r="M13" s="293">
        <v>310</v>
      </c>
      <c r="N13" s="293">
        <v>311</v>
      </c>
      <c r="O13" s="293">
        <v>266</v>
      </c>
      <c r="P13" s="293">
        <v>171</v>
      </c>
      <c r="Q13" s="293">
        <v>289</v>
      </c>
      <c r="R13" s="293">
        <v>420</v>
      </c>
      <c r="S13" s="293">
        <v>433</v>
      </c>
      <c r="T13" s="293">
        <v>483.39499999999998</v>
      </c>
      <c r="U13" s="293">
        <v>389.73599999999999</v>
      </c>
      <c r="V13" s="293">
        <v>293.73700000000002</v>
      </c>
      <c r="W13" s="293">
        <v>314.727124</v>
      </c>
      <c r="X13" s="293">
        <v>375.022718</v>
      </c>
      <c r="Y13" s="293">
        <v>369.09075000000001</v>
      </c>
      <c r="Z13" s="293">
        <v>315.32825700000001</v>
      </c>
      <c r="AA13" s="323"/>
      <c r="AC13" s="308" t="s">
        <v>30</v>
      </c>
      <c r="AD13" s="295">
        <v>1910</v>
      </c>
      <c r="AE13" s="295">
        <v>1521</v>
      </c>
      <c r="AF13" s="295">
        <v>1025</v>
      </c>
      <c r="AG13" s="295">
        <v>885</v>
      </c>
      <c r="AH13" s="295">
        <v>1084</v>
      </c>
      <c r="AI13" s="295">
        <v>1187</v>
      </c>
      <c r="AJ13" s="295">
        <v>1201</v>
      </c>
      <c r="AK13" s="295">
        <f t="shared" ref="AK13:AK17" si="4">SUM(O13:R13)</f>
        <v>1146</v>
      </c>
      <c r="AL13" s="295">
        <f t="shared" ref="AL13:AL17" si="5">SUM(S13:V13)</f>
        <v>1599.8679999999999</v>
      </c>
      <c r="AM13" s="295">
        <f t="shared" si="3"/>
        <v>1374.1688490000001</v>
      </c>
    </row>
    <row r="14" spans="2:39" ht="21">
      <c r="B14" s="306" t="s">
        <v>31</v>
      </c>
      <c r="C14" s="296">
        <v>242</v>
      </c>
      <c r="D14" s="295">
        <v>238</v>
      </c>
      <c r="E14" s="295">
        <v>253</v>
      </c>
      <c r="F14" s="295">
        <v>268</v>
      </c>
      <c r="G14" s="295">
        <v>283</v>
      </c>
      <c r="H14" s="295">
        <v>230</v>
      </c>
      <c r="I14" s="295">
        <v>295</v>
      </c>
      <c r="J14" s="295">
        <v>266</v>
      </c>
      <c r="K14" s="293">
        <v>296</v>
      </c>
      <c r="L14" s="293">
        <v>257</v>
      </c>
      <c r="M14" s="293">
        <v>260</v>
      </c>
      <c r="N14" s="293">
        <v>266</v>
      </c>
      <c r="O14" s="293">
        <v>259</v>
      </c>
      <c r="P14" s="293">
        <v>140</v>
      </c>
      <c r="Q14" s="293">
        <v>211</v>
      </c>
      <c r="R14" s="293">
        <v>311</v>
      </c>
      <c r="S14" s="293">
        <v>335</v>
      </c>
      <c r="T14" s="293">
        <v>373.73700000000002</v>
      </c>
      <c r="U14" s="293">
        <v>316.30200000000002</v>
      </c>
      <c r="V14" s="293">
        <v>199.25800000000001</v>
      </c>
      <c r="W14" s="293">
        <v>216.03356299999999</v>
      </c>
      <c r="X14" s="293">
        <v>208.50324499999999</v>
      </c>
      <c r="Y14" s="293">
        <v>214.15456</v>
      </c>
      <c r="Z14" s="293">
        <v>184.66689000000002</v>
      </c>
      <c r="AA14" s="323"/>
      <c r="AC14" s="308" t="s">
        <v>31</v>
      </c>
      <c r="AD14" s="295">
        <v>1343</v>
      </c>
      <c r="AE14" s="295">
        <v>1163</v>
      </c>
      <c r="AF14" s="295">
        <v>978</v>
      </c>
      <c r="AG14" s="295">
        <v>968</v>
      </c>
      <c r="AH14" s="295">
        <v>1000</v>
      </c>
      <c r="AI14" s="295">
        <v>1075</v>
      </c>
      <c r="AJ14" s="295">
        <v>1079</v>
      </c>
      <c r="AK14" s="295">
        <f t="shared" si="4"/>
        <v>921</v>
      </c>
      <c r="AL14" s="295">
        <f t="shared" si="5"/>
        <v>1224.2970000000003</v>
      </c>
      <c r="AM14" s="295">
        <f t="shared" si="3"/>
        <v>823.35825799999998</v>
      </c>
    </row>
    <row r="15" spans="2:39" ht="21">
      <c r="B15" s="306" t="s">
        <v>28</v>
      </c>
      <c r="C15" s="296">
        <v>200</v>
      </c>
      <c r="D15" s="295">
        <v>202</v>
      </c>
      <c r="E15" s="295">
        <v>227</v>
      </c>
      <c r="F15" s="295">
        <v>247</v>
      </c>
      <c r="G15" s="295">
        <v>224</v>
      </c>
      <c r="H15" s="295">
        <v>225</v>
      </c>
      <c r="I15" s="295">
        <v>275</v>
      </c>
      <c r="J15" s="295">
        <v>229</v>
      </c>
      <c r="K15" s="293">
        <v>238</v>
      </c>
      <c r="L15" s="293">
        <v>250</v>
      </c>
      <c r="M15" s="293">
        <v>248</v>
      </c>
      <c r="N15" s="293">
        <v>229</v>
      </c>
      <c r="O15" s="293">
        <v>272</v>
      </c>
      <c r="P15" s="293">
        <v>113</v>
      </c>
      <c r="Q15" s="293">
        <v>216</v>
      </c>
      <c r="R15" s="293">
        <v>270</v>
      </c>
      <c r="S15" s="293">
        <v>265</v>
      </c>
      <c r="T15" s="293">
        <v>266.286</v>
      </c>
      <c r="U15" s="293">
        <v>261.94799999999998</v>
      </c>
      <c r="V15" s="293">
        <v>199.893</v>
      </c>
      <c r="W15" s="293">
        <v>226.97066999999998</v>
      </c>
      <c r="X15" s="293">
        <v>251.26970400000002</v>
      </c>
      <c r="Y15" s="293">
        <v>219.91421199999999</v>
      </c>
      <c r="Z15" s="293">
        <v>204.65347500000001</v>
      </c>
      <c r="AA15" s="323"/>
      <c r="AC15" s="308" t="s">
        <v>28</v>
      </c>
      <c r="AD15" s="295">
        <v>802</v>
      </c>
      <c r="AE15" s="295">
        <v>785</v>
      </c>
      <c r="AF15" s="295">
        <v>717</v>
      </c>
      <c r="AG15" s="295">
        <v>764</v>
      </c>
      <c r="AH15" s="295">
        <v>876</v>
      </c>
      <c r="AI15" s="295">
        <v>953</v>
      </c>
      <c r="AJ15" s="295">
        <v>965</v>
      </c>
      <c r="AK15" s="295">
        <f t="shared" si="4"/>
        <v>871</v>
      </c>
      <c r="AL15" s="295">
        <f t="shared" si="5"/>
        <v>993.12700000000007</v>
      </c>
      <c r="AM15" s="295">
        <f t="shared" si="3"/>
        <v>902.80806099999995</v>
      </c>
    </row>
    <row r="16" spans="2:39" ht="21">
      <c r="B16" s="306" t="s">
        <v>325</v>
      </c>
      <c r="C16" s="296">
        <v>20</v>
      </c>
      <c r="D16" s="295">
        <v>10</v>
      </c>
      <c r="E16" s="295">
        <v>8</v>
      </c>
      <c r="F16" s="295">
        <v>7</v>
      </c>
      <c r="G16" s="295">
        <v>6</v>
      </c>
      <c r="H16" s="295">
        <v>4</v>
      </c>
      <c r="I16" s="295">
        <v>6</v>
      </c>
      <c r="J16" s="295">
        <v>5</v>
      </c>
      <c r="K16" s="293">
        <v>5</v>
      </c>
      <c r="L16" s="293">
        <v>12</v>
      </c>
      <c r="M16" s="293">
        <v>6</v>
      </c>
      <c r="N16" s="293">
        <v>9</v>
      </c>
      <c r="O16" s="293">
        <v>12</v>
      </c>
      <c r="P16" s="293">
        <v>14</v>
      </c>
      <c r="Q16" s="293">
        <v>13</v>
      </c>
      <c r="R16" s="293">
        <v>13</v>
      </c>
      <c r="S16" s="293">
        <v>11</v>
      </c>
      <c r="T16" s="293">
        <v>9.3650000000000002</v>
      </c>
      <c r="U16" s="293">
        <v>5.8490000000000002</v>
      </c>
      <c r="V16" s="293">
        <v>7.7039999999999997</v>
      </c>
      <c r="W16" s="293">
        <v>16.232379999999999</v>
      </c>
      <c r="X16" s="293">
        <v>7.1499480000000002</v>
      </c>
      <c r="Y16" s="293">
        <v>9.1905570000000001</v>
      </c>
      <c r="Z16" s="293">
        <v>27.271394000000001</v>
      </c>
      <c r="AA16" s="323"/>
      <c r="AC16" s="308" t="s">
        <v>325</v>
      </c>
      <c r="AD16" s="295">
        <v>202</v>
      </c>
      <c r="AE16" s="296">
        <v>135</v>
      </c>
      <c r="AF16" s="296">
        <v>92</v>
      </c>
      <c r="AG16" s="296">
        <v>68</v>
      </c>
      <c r="AH16" s="296">
        <v>46</v>
      </c>
      <c r="AI16" s="296">
        <v>20</v>
      </c>
      <c r="AJ16" s="296">
        <v>36</v>
      </c>
      <c r="AK16" s="296">
        <f t="shared" si="4"/>
        <v>52</v>
      </c>
      <c r="AL16" s="296">
        <f t="shared" si="5"/>
        <v>33.917999999999999</v>
      </c>
      <c r="AM16" s="295">
        <f t="shared" si="3"/>
        <v>59.844279</v>
      </c>
    </row>
    <row r="17" spans="2:39" ht="21">
      <c r="B17" s="309" t="s">
        <v>17</v>
      </c>
      <c r="C17" s="294">
        <v>825</v>
      </c>
      <c r="D17" s="294">
        <v>840</v>
      </c>
      <c r="E17" s="294">
        <v>882</v>
      </c>
      <c r="F17" s="294">
        <v>894</v>
      </c>
      <c r="G17" s="294">
        <v>919</v>
      </c>
      <c r="H17" s="294">
        <v>834</v>
      </c>
      <c r="I17" s="294">
        <v>992</v>
      </c>
      <c r="J17" s="294">
        <v>905</v>
      </c>
      <c r="K17" s="294">
        <v>885</v>
      </c>
      <c r="L17" s="294">
        <v>949</v>
      </c>
      <c r="M17" s="294">
        <v>945</v>
      </c>
      <c r="N17" s="294">
        <v>903</v>
      </c>
      <c r="O17" s="294">
        <v>902</v>
      </c>
      <c r="P17" s="294">
        <v>506</v>
      </c>
      <c r="Q17" s="294">
        <v>801</v>
      </c>
      <c r="R17" s="294">
        <v>1093</v>
      </c>
      <c r="S17" s="294">
        <v>1167</v>
      </c>
      <c r="T17" s="294">
        <v>1250</v>
      </c>
      <c r="U17" s="294">
        <v>1085.443</v>
      </c>
      <c r="V17" s="294">
        <v>791.73199999999997</v>
      </c>
      <c r="W17" s="294">
        <v>867.27673700000003</v>
      </c>
      <c r="X17" s="294">
        <v>947.50400000000002</v>
      </c>
      <c r="Y17" s="294">
        <v>937.75479400000006</v>
      </c>
      <c r="Z17" s="294">
        <v>871.64316300000007</v>
      </c>
      <c r="AA17" s="314"/>
      <c r="AC17" s="309" t="s">
        <v>17</v>
      </c>
      <c r="AD17" s="297">
        <v>5407</v>
      </c>
      <c r="AE17" s="310">
        <v>4572</v>
      </c>
      <c r="AF17" s="310">
        <v>3587</v>
      </c>
      <c r="AG17" s="310">
        <v>3176</v>
      </c>
      <c r="AH17" s="310">
        <v>3441</v>
      </c>
      <c r="AI17" s="310">
        <v>3650</v>
      </c>
      <c r="AJ17" s="310">
        <v>3681</v>
      </c>
      <c r="AK17" s="310">
        <f t="shared" si="4"/>
        <v>3302</v>
      </c>
      <c r="AL17" s="310">
        <f t="shared" si="5"/>
        <v>4294.1750000000002</v>
      </c>
      <c r="AM17" s="310">
        <f t="shared" si="3"/>
        <v>3624.1786940000002</v>
      </c>
    </row>
    <row r="18" spans="2:39" ht="21">
      <c r="B18" s="301"/>
      <c r="C18" s="312"/>
      <c r="D18" s="312"/>
      <c r="E18" s="312"/>
      <c r="F18" s="312"/>
      <c r="G18" s="312"/>
      <c r="H18" s="312"/>
      <c r="I18" s="312"/>
      <c r="J18" s="312"/>
      <c r="K18" s="313"/>
      <c r="L18" s="313"/>
      <c r="M18" s="313"/>
      <c r="N18" s="313"/>
      <c r="O18" s="313"/>
      <c r="P18" s="313"/>
      <c r="Q18" s="313"/>
      <c r="R18" s="313"/>
      <c r="S18" s="313"/>
      <c r="T18" s="313"/>
      <c r="U18" s="313"/>
      <c r="V18" s="313"/>
      <c r="W18" s="313"/>
      <c r="X18" s="313"/>
      <c r="Y18" s="313"/>
      <c r="Z18" s="313"/>
      <c r="AA18" s="313"/>
      <c r="AC18" s="301"/>
    </row>
    <row r="19" spans="2:39" ht="21">
      <c r="B19" s="302" t="s">
        <v>327</v>
      </c>
      <c r="C19" s="303" t="s">
        <v>37</v>
      </c>
      <c r="D19" s="303" t="s">
        <v>38</v>
      </c>
      <c r="E19" s="303" t="s">
        <v>39</v>
      </c>
      <c r="F19" s="303" t="s">
        <v>40</v>
      </c>
      <c r="G19" s="303" t="s">
        <v>41</v>
      </c>
      <c r="H19" s="304" t="s">
        <v>42</v>
      </c>
      <c r="I19" s="304" t="s">
        <v>43</v>
      </c>
      <c r="J19" s="304" t="s">
        <v>215</v>
      </c>
      <c r="K19" s="304" t="s">
        <v>240</v>
      </c>
      <c r="L19" s="304" t="s">
        <v>251</v>
      </c>
      <c r="M19" s="304" t="s">
        <v>263</v>
      </c>
      <c r="N19" s="304" t="s">
        <v>270</v>
      </c>
      <c r="O19" s="304" t="s">
        <v>283</v>
      </c>
      <c r="P19" s="304" t="s">
        <v>305</v>
      </c>
      <c r="Q19" s="304" t="s">
        <v>313</v>
      </c>
      <c r="R19" s="304" t="s">
        <v>323</v>
      </c>
      <c r="S19" s="304" t="str">
        <f>S11</f>
        <v>1T21</v>
      </c>
      <c r="T19" s="304" t="str">
        <f>T11</f>
        <v>2T21</v>
      </c>
      <c r="U19" s="303" t="str">
        <f>U11</f>
        <v>3T21</v>
      </c>
      <c r="V19" s="303" t="s">
        <v>361</v>
      </c>
      <c r="W19" s="303" t="s">
        <v>362</v>
      </c>
      <c r="X19" s="303" t="s">
        <v>411</v>
      </c>
      <c r="Y19" s="303" t="s">
        <v>413</v>
      </c>
      <c r="Z19" s="303" t="s">
        <v>419</v>
      </c>
      <c r="AA19" s="335" t="s">
        <v>422</v>
      </c>
      <c r="AC19" s="305" t="s">
        <v>327</v>
      </c>
      <c r="AD19" s="315">
        <v>2013</v>
      </c>
      <c r="AE19" s="316">
        <v>2014</v>
      </c>
      <c r="AF19" s="316">
        <v>2015</v>
      </c>
      <c r="AG19" s="316">
        <v>2016</v>
      </c>
      <c r="AH19" s="316">
        <v>2017</v>
      </c>
      <c r="AI19" s="316">
        <v>2018</v>
      </c>
      <c r="AJ19" s="316">
        <v>2019</v>
      </c>
      <c r="AK19" s="316">
        <v>2020</v>
      </c>
      <c r="AL19" s="316">
        <v>2021</v>
      </c>
      <c r="AM19" s="316">
        <v>2022</v>
      </c>
    </row>
    <row r="20" spans="2:39" ht="21">
      <c r="B20" s="306" t="s">
        <v>29</v>
      </c>
      <c r="C20" s="307">
        <v>5</v>
      </c>
      <c r="D20" s="295">
        <v>9</v>
      </c>
      <c r="E20" s="295">
        <v>17</v>
      </c>
      <c r="F20" s="295">
        <v>16</v>
      </c>
      <c r="G20" s="295">
        <v>8</v>
      </c>
      <c r="H20" s="295">
        <v>9</v>
      </c>
      <c r="I20" s="295">
        <v>32</v>
      </c>
      <c r="J20" s="295">
        <v>7</v>
      </c>
      <c r="K20" s="293">
        <v>23</v>
      </c>
      <c r="L20" s="293">
        <v>12</v>
      </c>
      <c r="M20" s="293">
        <v>9</v>
      </c>
      <c r="N20" s="293">
        <v>8</v>
      </c>
      <c r="O20" s="293">
        <v>14</v>
      </c>
      <c r="P20" s="293">
        <v>12</v>
      </c>
      <c r="Q20" s="293">
        <v>16</v>
      </c>
      <c r="R20" s="293">
        <v>12</v>
      </c>
      <c r="S20" s="293">
        <v>16</v>
      </c>
      <c r="T20" s="293">
        <v>7.6210000000000004</v>
      </c>
      <c r="U20" s="293">
        <v>9.5549999999999997</v>
      </c>
      <c r="V20" s="293">
        <v>9.7710000000000008</v>
      </c>
      <c r="W20" s="293">
        <v>18.452448</v>
      </c>
      <c r="X20" s="293">
        <v>12.347427</v>
      </c>
      <c r="Y20" s="293">
        <v>44.754735000000103</v>
      </c>
      <c r="Z20" s="293">
        <v>46.740368000000096</v>
      </c>
      <c r="AA20" s="323"/>
      <c r="AC20" s="308" t="s">
        <v>29</v>
      </c>
      <c r="AD20" s="295">
        <v>128</v>
      </c>
      <c r="AE20" s="295">
        <v>249</v>
      </c>
      <c r="AF20" s="295">
        <v>115</v>
      </c>
      <c r="AG20" s="295">
        <v>27</v>
      </c>
      <c r="AH20" s="295">
        <v>47</v>
      </c>
      <c r="AI20" s="295">
        <v>56</v>
      </c>
      <c r="AJ20" s="295">
        <v>53</v>
      </c>
      <c r="AK20" s="295">
        <f>SUM(O20:R20)</f>
        <v>54</v>
      </c>
      <c r="AL20" s="295">
        <f>SUM(S20:V20)</f>
        <v>42.947000000000003</v>
      </c>
      <c r="AM20" s="295">
        <f t="shared" ref="AM20:AM25" si="6">SUM(W20:Z20)</f>
        <v>122.29497800000021</v>
      </c>
    </row>
    <row r="21" spans="2:39" ht="21">
      <c r="B21" s="306" t="s">
        <v>30</v>
      </c>
      <c r="C21" s="296">
        <v>10</v>
      </c>
      <c r="D21" s="295">
        <v>16</v>
      </c>
      <c r="E21" s="295">
        <v>20</v>
      </c>
      <c r="F21" s="295">
        <v>10</v>
      </c>
      <c r="G21" s="295">
        <v>34</v>
      </c>
      <c r="H21" s="295">
        <v>17</v>
      </c>
      <c r="I21" s="295">
        <v>23</v>
      </c>
      <c r="J21" s="295">
        <v>13</v>
      </c>
      <c r="K21" s="293">
        <v>8</v>
      </c>
      <c r="L21" s="293">
        <v>10</v>
      </c>
      <c r="M21" s="293">
        <v>14</v>
      </c>
      <c r="N21" s="293">
        <v>11</v>
      </c>
      <c r="O21" s="293">
        <v>13</v>
      </c>
      <c r="P21" s="293">
        <v>14</v>
      </c>
      <c r="Q21" s="293">
        <v>18</v>
      </c>
      <c r="R21" s="293">
        <v>3</v>
      </c>
      <c r="S21" s="293">
        <v>4</v>
      </c>
      <c r="T21" s="293">
        <v>1.4179999999999999</v>
      </c>
      <c r="U21" s="293">
        <v>15.452</v>
      </c>
      <c r="V21" s="293">
        <v>73.245999999999995</v>
      </c>
      <c r="W21" s="293">
        <v>91.192017000000007</v>
      </c>
      <c r="X21" s="293">
        <v>48.993935</v>
      </c>
      <c r="Y21" s="293">
        <v>5.5706740000000003</v>
      </c>
      <c r="Z21" s="293">
        <v>3.939117</v>
      </c>
      <c r="AA21" s="323"/>
      <c r="AC21" s="308" t="s">
        <v>30</v>
      </c>
      <c r="AD21" s="295">
        <v>254</v>
      </c>
      <c r="AE21" s="295">
        <v>342</v>
      </c>
      <c r="AF21" s="295">
        <v>555</v>
      </c>
      <c r="AG21" s="295">
        <v>91</v>
      </c>
      <c r="AH21" s="295">
        <v>55</v>
      </c>
      <c r="AI21" s="295">
        <v>87</v>
      </c>
      <c r="AJ21" s="295">
        <v>44</v>
      </c>
      <c r="AK21" s="295">
        <f t="shared" ref="AK21:AK25" si="7">SUM(O21:R21)</f>
        <v>48</v>
      </c>
      <c r="AL21" s="295">
        <f t="shared" ref="AL21:AL25" si="8">SUM(S21:V21)</f>
        <v>94.116</v>
      </c>
      <c r="AM21" s="295">
        <f t="shared" si="6"/>
        <v>149.69574300000002</v>
      </c>
    </row>
    <row r="22" spans="2:39" ht="21">
      <c r="B22" s="306" t="s">
        <v>31</v>
      </c>
      <c r="C22" s="296">
        <v>54</v>
      </c>
      <c r="D22" s="295">
        <v>70</v>
      </c>
      <c r="E22" s="295">
        <v>59</v>
      </c>
      <c r="F22" s="295">
        <v>135</v>
      </c>
      <c r="G22" s="295">
        <v>85</v>
      </c>
      <c r="H22" s="295">
        <v>89</v>
      </c>
      <c r="I22" s="295">
        <v>33</v>
      </c>
      <c r="J22" s="295">
        <v>58</v>
      </c>
      <c r="K22" s="293">
        <v>56</v>
      </c>
      <c r="L22" s="293">
        <v>60</v>
      </c>
      <c r="M22" s="293">
        <v>18</v>
      </c>
      <c r="N22" s="293">
        <v>23</v>
      </c>
      <c r="O22" s="293">
        <v>79</v>
      </c>
      <c r="P22" s="293">
        <v>24</v>
      </c>
      <c r="Q22" s="293">
        <v>29</v>
      </c>
      <c r="R22" s="293">
        <v>8</v>
      </c>
      <c r="S22" s="293">
        <v>38</v>
      </c>
      <c r="T22" s="293">
        <v>16.408999999999999</v>
      </c>
      <c r="U22" s="293">
        <v>40.281999999999996</v>
      </c>
      <c r="V22" s="293">
        <v>93.956000000000003</v>
      </c>
      <c r="W22" s="293">
        <v>65.302999999999997</v>
      </c>
      <c r="X22" s="293">
        <v>46.63026</v>
      </c>
      <c r="Y22" s="293">
        <v>17.81936</v>
      </c>
      <c r="Z22" s="293">
        <v>13.47068</v>
      </c>
      <c r="AA22" s="323"/>
      <c r="AC22" s="308" t="s">
        <v>31</v>
      </c>
      <c r="AD22" s="295">
        <v>119</v>
      </c>
      <c r="AE22" s="295">
        <v>146</v>
      </c>
      <c r="AF22" s="295">
        <v>147</v>
      </c>
      <c r="AG22" s="295">
        <v>187</v>
      </c>
      <c r="AH22" s="295">
        <v>318</v>
      </c>
      <c r="AI22" s="295">
        <v>266</v>
      </c>
      <c r="AJ22" s="295">
        <v>157</v>
      </c>
      <c r="AK22" s="295">
        <f t="shared" si="7"/>
        <v>140</v>
      </c>
      <c r="AL22" s="295">
        <f t="shared" si="8"/>
        <v>188.64699999999999</v>
      </c>
      <c r="AM22" s="295">
        <f t="shared" si="6"/>
        <v>143.22329999999997</v>
      </c>
    </row>
    <row r="23" spans="2:39" ht="21">
      <c r="B23" s="306" t="s">
        <v>28</v>
      </c>
      <c r="C23" s="296">
        <v>32</v>
      </c>
      <c r="D23" s="295">
        <v>55</v>
      </c>
      <c r="E23" s="295">
        <v>36</v>
      </c>
      <c r="F23" s="295">
        <v>29</v>
      </c>
      <c r="G23" s="295">
        <v>36</v>
      </c>
      <c r="H23" s="295">
        <v>28</v>
      </c>
      <c r="I23" s="295">
        <v>27</v>
      </c>
      <c r="J23" s="295">
        <v>42</v>
      </c>
      <c r="K23" s="293">
        <v>31</v>
      </c>
      <c r="L23" s="293">
        <v>19</v>
      </c>
      <c r="M23" s="293">
        <v>34</v>
      </c>
      <c r="N23" s="293">
        <v>57</v>
      </c>
      <c r="O23" s="293">
        <v>28</v>
      </c>
      <c r="P23" s="293">
        <v>41</v>
      </c>
      <c r="Q23" s="293">
        <v>68</v>
      </c>
      <c r="R23" s="293">
        <v>18</v>
      </c>
      <c r="S23" s="293">
        <v>30</v>
      </c>
      <c r="T23" s="293">
        <v>36.500999999999998</v>
      </c>
      <c r="U23" s="293">
        <v>36.088000000000001</v>
      </c>
      <c r="V23" s="293">
        <v>63.08</v>
      </c>
      <c r="W23" s="293">
        <v>92.188009999999991</v>
      </c>
      <c r="X23" s="293">
        <v>32.576861000000001</v>
      </c>
      <c r="Y23" s="293">
        <v>40.759800000000006</v>
      </c>
      <c r="Z23" s="293">
        <v>27.61401</v>
      </c>
      <c r="AA23" s="323"/>
      <c r="AC23" s="308" t="s">
        <v>28</v>
      </c>
      <c r="AD23" s="295">
        <v>109</v>
      </c>
      <c r="AE23" s="295">
        <v>93</v>
      </c>
      <c r="AF23" s="295">
        <v>133</v>
      </c>
      <c r="AG23" s="295">
        <v>155</v>
      </c>
      <c r="AH23" s="295">
        <v>152</v>
      </c>
      <c r="AI23" s="295">
        <v>133</v>
      </c>
      <c r="AJ23" s="295">
        <v>142</v>
      </c>
      <c r="AK23" s="295">
        <f t="shared" si="7"/>
        <v>155</v>
      </c>
      <c r="AL23" s="295">
        <f t="shared" si="8"/>
        <v>165.66899999999998</v>
      </c>
      <c r="AM23" s="295">
        <f t="shared" si="6"/>
        <v>193.13868100000002</v>
      </c>
    </row>
    <row r="24" spans="2:39" ht="21">
      <c r="B24" s="306" t="s">
        <v>325</v>
      </c>
      <c r="C24" s="296">
        <v>3</v>
      </c>
      <c r="D24" s="295">
        <v>0</v>
      </c>
      <c r="E24" s="295">
        <v>3</v>
      </c>
      <c r="F24" s="295">
        <v>5</v>
      </c>
      <c r="G24" s="295">
        <v>7</v>
      </c>
      <c r="H24" s="295">
        <v>0</v>
      </c>
      <c r="I24" s="295">
        <v>0</v>
      </c>
      <c r="J24" s="295">
        <v>0</v>
      </c>
      <c r="K24" s="293">
        <v>0</v>
      </c>
      <c r="L24" s="293">
        <v>8</v>
      </c>
      <c r="M24" s="293">
        <v>13</v>
      </c>
      <c r="N24" s="293">
        <v>7</v>
      </c>
      <c r="O24" s="293">
        <v>12</v>
      </c>
      <c r="P24" s="293">
        <v>11</v>
      </c>
      <c r="Q24" s="293">
        <v>3</v>
      </c>
      <c r="R24" s="293">
        <v>0</v>
      </c>
      <c r="S24" s="293" t="s">
        <v>25</v>
      </c>
      <c r="T24" s="293">
        <v>3.177</v>
      </c>
      <c r="U24" s="293">
        <v>2.6379999999999999</v>
      </c>
      <c r="V24" s="293">
        <v>32.372</v>
      </c>
      <c r="W24" s="293">
        <v>0.312971</v>
      </c>
      <c r="X24" s="293">
        <v>0</v>
      </c>
      <c r="Y24" s="293">
        <v>0</v>
      </c>
      <c r="Z24" s="293">
        <v>0</v>
      </c>
      <c r="AA24" s="323"/>
      <c r="AC24" s="308" t="s">
        <v>325</v>
      </c>
      <c r="AD24" s="295">
        <v>203</v>
      </c>
      <c r="AE24" s="296">
        <v>139</v>
      </c>
      <c r="AF24" s="296">
        <v>374</v>
      </c>
      <c r="AG24" s="296">
        <v>16</v>
      </c>
      <c r="AH24" s="296">
        <v>12</v>
      </c>
      <c r="AI24" s="296">
        <v>7</v>
      </c>
      <c r="AJ24" s="296">
        <v>28</v>
      </c>
      <c r="AK24" s="296">
        <f t="shared" si="7"/>
        <v>26</v>
      </c>
      <c r="AL24" s="296">
        <f t="shared" si="8"/>
        <v>38.186999999999998</v>
      </c>
      <c r="AM24" s="295">
        <f t="shared" si="6"/>
        <v>0.312971</v>
      </c>
    </row>
    <row r="25" spans="2:39" ht="21">
      <c r="B25" s="309" t="s">
        <v>17</v>
      </c>
      <c r="C25" s="294">
        <v>105</v>
      </c>
      <c r="D25" s="294">
        <v>150</v>
      </c>
      <c r="E25" s="294">
        <v>134</v>
      </c>
      <c r="F25" s="294">
        <v>196</v>
      </c>
      <c r="G25" s="294">
        <v>170</v>
      </c>
      <c r="H25" s="294">
        <v>143</v>
      </c>
      <c r="I25" s="294">
        <v>115</v>
      </c>
      <c r="J25" s="294">
        <v>120</v>
      </c>
      <c r="K25" s="294">
        <v>119</v>
      </c>
      <c r="L25" s="294">
        <v>110</v>
      </c>
      <c r="M25" s="294">
        <v>88</v>
      </c>
      <c r="N25" s="294">
        <v>107</v>
      </c>
      <c r="O25" s="294">
        <v>145</v>
      </c>
      <c r="P25" s="294">
        <v>102</v>
      </c>
      <c r="Q25" s="294">
        <v>133</v>
      </c>
      <c r="R25" s="294">
        <v>40</v>
      </c>
      <c r="S25" s="294">
        <v>87</v>
      </c>
      <c r="T25" s="294">
        <v>65</v>
      </c>
      <c r="U25" s="294">
        <v>104.01499999999999</v>
      </c>
      <c r="V25" s="294">
        <v>272.42500000000001</v>
      </c>
      <c r="W25" s="294">
        <v>267.44844600000005</v>
      </c>
      <c r="X25" s="294">
        <v>140.54900000000001</v>
      </c>
      <c r="Y25" s="294">
        <v>108.90456900000012</v>
      </c>
      <c r="Z25" s="294">
        <v>91.764175000000108</v>
      </c>
      <c r="AA25" s="314"/>
      <c r="AC25" s="309" t="s">
        <v>17</v>
      </c>
      <c r="AD25" s="297">
        <v>813</v>
      </c>
      <c r="AE25" s="310">
        <v>968</v>
      </c>
      <c r="AF25" s="310">
        <v>1324</v>
      </c>
      <c r="AG25" s="310">
        <v>477</v>
      </c>
      <c r="AH25" s="310">
        <v>584</v>
      </c>
      <c r="AI25" s="310">
        <v>548</v>
      </c>
      <c r="AJ25" s="310">
        <v>424</v>
      </c>
      <c r="AK25" s="310">
        <f t="shared" si="7"/>
        <v>420</v>
      </c>
      <c r="AL25" s="310">
        <f t="shared" si="8"/>
        <v>528.44000000000005</v>
      </c>
      <c r="AM25" s="310">
        <f t="shared" si="6"/>
        <v>608.66619000000037</v>
      </c>
    </row>
    <row r="26" spans="2:39" ht="21">
      <c r="B26" s="311" t="s">
        <v>328</v>
      </c>
      <c r="C26" s="312"/>
      <c r="D26" s="312"/>
      <c r="E26" s="312"/>
      <c r="F26" s="312"/>
      <c r="G26" s="312"/>
      <c r="H26" s="312"/>
      <c r="I26" s="312"/>
      <c r="J26" s="312"/>
      <c r="K26" s="313"/>
      <c r="L26" s="313"/>
      <c r="M26" s="313"/>
      <c r="N26" s="313"/>
      <c r="O26" s="313"/>
      <c r="P26" s="313"/>
    </row>
    <row r="39" ht="28.5" customHeight="1"/>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1:AK33"/>
  <sheetViews>
    <sheetView showGridLines="0" topLeftCell="P1" zoomScale="50" zoomScaleNormal="50" workbookViewId="0">
      <selection activeCell="AM6" sqref="AM6"/>
    </sheetView>
  </sheetViews>
  <sheetFormatPr defaultRowHeight="1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19" width="17" customWidth="1"/>
    <col min="20" max="20" width="11.5703125" customWidth="1"/>
    <col min="21" max="22" width="12.140625" customWidth="1"/>
    <col min="23" max="23" width="20.5703125" bestFit="1" customWidth="1"/>
    <col min="24" max="27" width="12.140625" customWidth="1"/>
    <col min="28" max="28" width="9.85546875" customWidth="1"/>
    <col min="29" max="29" width="57.85546875" bestFit="1" customWidth="1"/>
    <col min="30" max="30" width="13.85546875" bestFit="1" customWidth="1"/>
    <col min="31" max="31" width="17" customWidth="1"/>
    <col min="32" max="33" width="10.140625" bestFit="1" customWidth="1"/>
    <col min="34" max="35" width="10.140625" customWidth="1"/>
  </cols>
  <sheetData>
    <row r="1" spans="2:37" ht="59.25" customHeight="1"/>
    <row r="2" spans="2:37" ht="30.75" customHeight="1">
      <c r="B2" s="251"/>
    </row>
    <row r="3" spans="2:37" ht="21">
      <c r="B3" s="32" t="s">
        <v>321</v>
      </c>
      <c r="C3" s="22" t="s">
        <v>37</v>
      </c>
      <c r="D3" s="22" t="s">
        <v>38</v>
      </c>
      <c r="E3" s="22" t="s">
        <v>39</v>
      </c>
      <c r="F3" s="22" t="s">
        <v>40</v>
      </c>
      <c r="G3" s="22" t="s">
        <v>41</v>
      </c>
      <c r="H3" s="33" t="s">
        <v>42</v>
      </c>
      <c r="I3" s="33" t="s">
        <v>43</v>
      </c>
      <c r="J3" s="33" t="s">
        <v>215</v>
      </c>
      <c r="K3" s="33" t="s">
        <v>240</v>
      </c>
      <c r="L3" s="33" t="s">
        <v>251</v>
      </c>
      <c r="M3" s="33" t="s">
        <v>263</v>
      </c>
      <c r="N3" s="33" t="s">
        <v>270</v>
      </c>
      <c r="O3" s="33" t="s">
        <v>283</v>
      </c>
      <c r="P3" s="33" t="s">
        <v>305</v>
      </c>
      <c r="Q3" s="33" t="s">
        <v>313</v>
      </c>
      <c r="R3" s="33" t="s">
        <v>323</v>
      </c>
      <c r="S3" s="33" t="s">
        <v>331</v>
      </c>
      <c r="T3" s="33" t="s">
        <v>334</v>
      </c>
      <c r="U3" s="33" t="s">
        <v>348</v>
      </c>
      <c r="V3" s="33" t="s">
        <v>361</v>
      </c>
      <c r="W3" s="33" t="s">
        <v>362</v>
      </c>
      <c r="X3" s="33" t="s">
        <v>411</v>
      </c>
      <c r="Y3" s="33" t="s">
        <v>413</v>
      </c>
      <c r="Z3" s="33" t="s">
        <v>419</v>
      </c>
      <c r="AA3" s="33" t="s">
        <v>422</v>
      </c>
      <c r="AC3" s="32" t="s">
        <v>321</v>
      </c>
      <c r="AD3" s="22">
        <v>2017</v>
      </c>
      <c r="AE3" s="27">
        <v>2018</v>
      </c>
      <c r="AF3" s="27">
        <v>2019</v>
      </c>
      <c r="AG3" s="27">
        <v>2020</v>
      </c>
      <c r="AH3" s="27">
        <v>2021</v>
      </c>
      <c r="AI3" s="27">
        <v>2022</v>
      </c>
    </row>
    <row r="4" spans="2:37" ht="21">
      <c r="B4" s="37" t="s">
        <v>315</v>
      </c>
      <c r="C4" s="227">
        <v>0.16</v>
      </c>
      <c r="D4" s="228">
        <v>0.183</v>
      </c>
      <c r="E4" s="228">
        <v>0.161</v>
      </c>
      <c r="F4" s="228">
        <v>0.13900000000000001</v>
      </c>
      <c r="G4" s="228">
        <v>0.14099999999999999</v>
      </c>
      <c r="H4" s="228">
        <v>0.14299999999999999</v>
      </c>
      <c r="I4" s="228">
        <v>0.15</v>
      </c>
      <c r="J4" s="228">
        <v>0.16500000000000001</v>
      </c>
      <c r="K4" s="235">
        <v>0.192</v>
      </c>
      <c r="L4" s="235">
        <v>0.17399999999999999</v>
      </c>
      <c r="M4" s="235">
        <v>0.17100000000000001</v>
      </c>
      <c r="N4" s="235">
        <v>0.184</v>
      </c>
      <c r="O4" s="235">
        <v>0.14899999999999999</v>
      </c>
      <c r="P4" s="235">
        <v>0.185</v>
      </c>
      <c r="Q4" s="235">
        <v>0.14699999999999999</v>
      </c>
      <c r="R4" s="235">
        <v>0.10100000000000001</v>
      </c>
      <c r="S4" s="235">
        <v>0.08</v>
      </c>
      <c r="T4" s="235">
        <v>7.8574247762738289E-2</v>
      </c>
      <c r="U4" s="235">
        <v>9.1926925068003804E-2</v>
      </c>
      <c r="V4" s="235">
        <v>0.1210272022022599</v>
      </c>
      <c r="W4" s="235">
        <v>0.1890313236286458</v>
      </c>
      <c r="X4" s="235">
        <v>0.20894226756162124</v>
      </c>
      <c r="Y4" s="235">
        <v>0.21170542357071401</v>
      </c>
      <c r="Z4" s="235">
        <v>0.23331279839905511</v>
      </c>
      <c r="AA4" s="320"/>
      <c r="AB4" s="232"/>
      <c r="AC4" s="256" t="s">
        <v>315</v>
      </c>
      <c r="AD4" s="235">
        <v>0.16</v>
      </c>
      <c r="AE4" s="235">
        <v>0.15</v>
      </c>
      <c r="AF4" s="235">
        <v>0.18</v>
      </c>
      <c r="AG4" s="235">
        <v>0.13800000000000001</v>
      </c>
      <c r="AH4" s="235">
        <v>9.2999999999999999E-2</v>
      </c>
      <c r="AI4" s="235">
        <v>0.21156518416948414</v>
      </c>
      <c r="AJ4" s="232"/>
      <c r="AK4" s="232"/>
    </row>
    <row r="5" spans="2:37" ht="21">
      <c r="B5" s="37" t="s">
        <v>320</v>
      </c>
      <c r="C5" s="229">
        <v>6.8000000000000005E-2</v>
      </c>
      <c r="D5" s="228">
        <v>6.5000000000000002E-2</v>
      </c>
      <c r="E5" s="228">
        <v>6.4000000000000001E-2</v>
      </c>
      <c r="F5" s="228">
        <v>5.8000000000000003E-2</v>
      </c>
      <c r="G5" s="228">
        <v>5.8000000000000003E-2</v>
      </c>
      <c r="H5" s="228">
        <v>5.2999999999999999E-2</v>
      </c>
      <c r="I5" s="228">
        <v>0.05</v>
      </c>
      <c r="J5" s="228">
        <v>0.05</v>
      </c>
      <c r="K5" s="235">
        <v>5.0999999999999997E-2</v>
      </c>
      <c r="L5" s="235">
        <v>4.7E-2</v>
      </c>
      <c r="M5" s="235">
        <v>4.8000000000000001E-2</v>
      </c>
      <c r="N5" s="235">
        <v>5.1999999999999998E-2</v>
      </c>
      <c r="O5" s="235">
        <v>0.05</v>
      </c>
      <c r="P5" s="235">
        <v>5.5E-2</v>
      </c>
      <c r="Q5" s="235">
        <v>4.2999999999999997E-2</v>
      </c>
      <c r="R5" s="235">
        <v>3.5999999999999997E-2</v>
      </c>
      <c r="S5" s="235">
        <v>0.03</v>
      </c>
      <c r="T5" s="235">
        <v>2.532350561982671E-2</v>
      </c>
      <c r="U5" s="235">
        <v>2.4474433056653026E-2</v>
      </c>
      <c r="V5" s="235">
        <v>2.6691234542115382E-2</v>
      </c>
      <c r="W5" s="235">
        <v>1.8852636018315477E-2</v>
      </c>
      <c r="X5" s="235">
        <v>1.1128462250112343E-2</v>
      </c>
      <c r="Y5" s="235">
        <v>8.5051998502925948E-3</v>
      </c>
      <c r="Z5" s="235">
        <v>6.9925136779923069E-3</v>
      </c>
      <c r="AA5" s="320"/>
      <c r="AB5" s="232"/>
      <c r="AC5" s="257" t="s">
        <v>320</v>
      </c>
      <c r="AD5" s="235">
        <v>6.8000000000000005E-2</v>
      </c>
      <c r="AE5" s="235">
        <v>5.2999999999999999E-2</v>
      </c>
      <c r="AF5" s="235">
        <v>4.9000000000000002E-2</v>
      </c>
      <c r="AG5" s="235">
        <v>4.4999999999999998E-2</v>
      </c>
      <c r="AH5" s="235">
        <v>2.5999999999999999E-2</v>
      </c>
      <c r="AI5" s="235">
        <v>1.1122396880108073E-2</v>
      </c>
      <c r="AK5" s="232"/>
    </row>
    <row r="6" spans="2:37" ht="21">
      <c r="B6" s="37" t="s">
        <v>318</v>
      </c>
      <c r="C6" s="229">
        <v>9.6000000000000002E-2</v>
      </c>
      <c r="D6" s="228">
        <v>9.2999999999999999E-2</v>
      </c>
      <c r="E6" s="228">
        <v>0.10100000000000001</v>
      </c>
      <c r="F6" s="228">
        <v>9.2999999999999999E-2</v>
      </c>
      <c r="G6" s="228">
        <v>9.2999999999999999E-2</v>
      </c>
      <c r="H6" s="228">
        <v>8.5999999999999993E-2</v>
      </c>
      <c r="I6" s="228">
        <v>9.4E-2</v>
      </c>
      <c r="J6" s="228">
        <v>9.7000000000000003E-2</v>
      </c>
      <c r="K6" s="235">
        <v>0.10299999999999999</v>
      </c>
      <c r="L6" s="235">
        <v>0.10299999999999999</v>
      </c>
      <c r="M6" s="235">
        <v>0.104</v>
      </c>
      <c r="N6" s="235">
        <v>0.114</v>
      </c>
      <c r="O6" s="235">
        <v>0.105</v>
      </c>
      <c r="P6" s="235">
        <v>0.107</v>
      </c>
      <c r="Q6" s="235">
        <v>0.09</v>
      </c>
      <c r="R6" s="235">
        <v>8.2000000000000003E-2</v>
      </c>
      <c r="S6" s="235">
        <v>7.0000000000000007E-2</v>
      </c>
      <c r="T6" s="235">
        <v>6.7511963652187909E-2</v>
      </c>
      <c r="U6" s="235">
        <v>6.408365314739832E-2</v>
      </c>
      <c r="V6" s="235">
        <v>8.1738348049822926E-2</v>
      </c>
      <c r="W6" s="235">
        <v>9.4084563898657575E-2</v>
      </c>
      <c r="X6" s="235">
        <v>9.2807594095415363E-2</v>
      </c>
      <c r="Y6" s="235">
        <v>8.9362953374630724E-2</v>
      </c>
      <c r="Z6" s="235">
        <v>9.21660239561366E-2</v>
      </c>
      <c r="AA6" s="320"/>
      <c r="AB6" s="232"/>
      <c r="AC6" s="257" t="s">
        <v>318</v>
      </c>
      <c r="AD6" s="235">
        <v>9.6000000000000002E-2</v>
      </c>
      <c r="AE6" s="235">
        <v>9.2999999999999999E-2</v>
      </c>
      <c r="AF6" s="235">
        <v>0.106</v>
      </c>
      <c r="AG6" s="235">
        <v>9.4E-2</v>
      </c>
      <c r="AH6" s="235">
        <v>7.0999999999999994E-2</v>
      </c>
      <c r="AI6" s="235">
        <v>9.1997618135494452E-2</v>
      </c>
      <c r="AK6" s="232"/>
    </row>
    <row r="7" spans="2:37" ht="21">
      <c r="B7" s="37" t="s">
        <v>319</v>
      </c>
      <c r="C7" s="229">
        <v>8.5000000000000006E-2</v>
      </c>
      <c r="D7" s="228">
        <v>8.4000000000000005E-2</v>
      </c>
      <c r="E7" s="228">
        <v>8.3000000000000004E-2</v>
      </c>
      <c r="F7" s="228">
        <v>7.5999999999999998E-2</v>
      </c>
      <c r="G7" s="228">
        <v>8.2000000000000003E-2</v>
      </c>
      <c r="H7" s="228">
        <v>8.1000000000000003E-2</v>
      </c>
      <c r="I7" s="228">
        <v>7.8E-2</v>
      </c>
      <c r="J7" s="228">
        <v>8.3000000000000004E-2</v>
      </c>
      <c r="K7" s="235">
        <v>8.3000000000000004E-2</v>
      </c>
      <c r="L7" s="235">
        <v>8.1000000000000003E-2</v>
      </c>
      <c r="M7" s="235">
        <v>0.09</v>
      </c>
      <c r="N7" s="235">
        <v>0.105</v>
      </c>
      <c r="O7" s="235">
        <v>8.7999999999999995E-2</v>
      </c>
      <c r="P7" s="235">
        <v>0.10100000000000001</v>
      </c>
      <c r="Q7" s="235">
        <v>8.6999999999999994E-2</v>
      </c>
      <c r="R7" s="235">
        <v>7.2999999999999995E-2</v>
      </c>
      <c r="S7" s="235">
        <v>6.0999999999999999E-2</v>
      </c>
      <c r="T7" s="235">
        <v>5.9659641394324059E-2</v>
      </c>
      <c r="U7" s="235">
        <v>6.4483966797820924E-2</v>
      </c>
      <c r="V7" s="235">
        <v>7.7584960658966071E-2</v>
      </c>
      <c r="W7" s="235">
        <v>8.1516609850734278E-2</v>
      </c>
      <c r="X7" s="235">
        <v>7.4460380481373212E-2</v>
      </c>
      <c r="Y7" s="235">
        <v>7.048929372759144E-2</v>
      </c>
      <c r="Z7" s="235">
        <v>7.5649445348026839E-2</v>
      </c>
      <c r="AA7" s="320"/>
      <c r="AB7" s="232"/>
      <c r="AC7" s="257" t="s">
        <v>319</v>
      </c>
      <c r="AD7" s="235">
        <v>8.4000000000000005E-2</v>
      </c>
      <c r="AE7" s="235">
        <v>8.1000000000000003E-2</v>
      </c>
      <c r="AF7" s="235">
        <v>8.8999999999999996E-2</v>
      </c>
      <c r="AG7" s="235">
        <v>8.4999999999999964E-2</v>
      </c>
      <c r="AH7" s="235">
        <v>6.6000000000000003E-2</v>
      </c>
      <c r="AI7" s="235">
        <v>7.5238459141943964E-2</v>
      </c>
      <c r="AK7" s="232"/>
    </row>
    <row r="8" spans="2:37" ht="21">
      <c r="B8" s="37" t="s">
        <v>316</v>
      </c>
      <c r="C8" s="229">
        <v>0.16400000000000001</v>
      </c>
      <c r="D8" s="228">
        <v>0.17100000000000001</v>
      </c>
      <c r="E8" s="228">
        <v>0.17</v>
      </c>
      <c r="F8" s="228">
        <v>0.159</v>
      </c>
      <c r="G8" s="228">
        <v>0.121</v>
      </c>
      <c r="H8" s="228">
        <v>0.11700000000000001</v>
      </c>
      <c r="I8" s="228">
        <v>0.111</v>
      </c>
      <c r="J8" s="228">
        <v>0.121</v>
      </c>
      <c r="K8" s="235">
        <v>0.104</v>
      </c>
      <c r="L8" s="235">
        <v>0.104</v>
      </c>
      <c r="M8" s="235">
        <v>0.112</v>
      </c>
      <c r="N8" s="235">
        <v>0.12</v>
      </c>
      <c r="O8" s="235">
        <v>0.111</v>
      </c>
      <c r="P8" s="235">
        <v>0.14299999999999999</v>
      </c>
      <c r="Q8" s="235">
        <v>0.111</v>
      </c>
      <c r="R8" s="235">
        <v>9.2999999999999999E-2</v>
      </c>
      <c r="S8" s="235">
        <v>7.0000000000000007E-2</v>
      </c>
      <c r="T8" s="235">
        <v>6.7435388158292753E-2</v>
      </c>
      <c r="U8" s="235">
        <v>6.6203879556227002E-2</v>
      </c>
      <c r="V8" s="235">
        <v>8.3521140208011602E-2</v>
      </c>
      <c r="W8" s="235">
        <v>8.1753465473976022E-2</v>
      </c>
      <c r="X8" s="235">
        <v>7.8913169957749302E-2</v>
      </c>
      <c r="Y8" s="235">
        <v>6.9416025621366007E-2</v>
      </c>
      <c r="Z8" s="235">
        <v>8.2532411274780393E-2</v>
      </c>
      <c r="AA8" s="320"/>
      <c r="AB8" s="232"/>
      <c r="AC8" s="257" t="s">
        <v>316</v>
      </c>
      <c r="AD8" s="235">
        <v>0.13600000000000001</v>
      </c>
      <c r="AE8" s="235">
        <v>0.11799999999999999</v>
      </c>
      <c r="AF8" s="235">
        <v>0.11</v>
      </c>
      <c r="AG8" s="235">
        <v>0.108</v>
      </c>
      <c r="AH8" s="235">
        <v>7.1999999999999995E-2</v>
      </c>
      <c r="AI8" s="235">
        <v>7.790833310682603E-2</v>
      </c>
      <c r="AK8" s="232"/>
    </row>
    <row r="9" spans="2:37" ht="21">
      <c r="B9" s="37" t="s">
        <v>330</v>
      </c>
      <c r="C9" s="229">
        <v>0.115</v>
      </c>
      <c r="D9" s="228">
        <v>0.114</v>
      </c>
      <c r="E9" s="228">
        <v>9.6000000000000002E-2</v>
      </c>
      <c r="F9" s="228">
        <v>9.1999999999999998E-2</v>
      </c>
      <c r="G9" s="228">
        <v>8.2000000000000003E-2</v>
      </c>
      <c r="H9" s="228">
        <v>8.3000000000000004E-2</v>
      </c>
      <c r="I9" s="228">
        <v>0.09</v>
      </c>
      <c r="J9" s="228">
        <v>0.10199999999999999</v>
      </c>
      <c r="K9" s="235">
        <v>0.106</v>
      </c>
      <c r="L9" s="235">
        <v>0.129</v>
      </c>
      <c r="M9" s="235">
        <v>0.14499999999999999</v>
      </c>
      <c r="N9" s="235">
        <v>0.14199999999999999</v>
      </c>
      <c r="O9" s="235">
        <v>0.129</v>
      </c>
      <c r="P9" s="235">
        <v>0.13400000000000001</v>
      </c>
      <c r="Q9" s="235">
        <v>0.17199999999999999</v>
      </c>
      <c r="R9" s="235">
        <v>0.14499999999999999</v>
      </c>
      <c r="S9" s="235">
        <v>0.14299999999999999</v>
      </c>
      <c r="T9" s="235">
        <v>0.14365788730074883</v>
      </c>
      <c r="U9" s="235">
        <v>0.19111776683844531</v>
      </c>
      <c r="V9" s="235">
        <v>0.11096919589921825</v>
      </c>
      <c r="W9" s="235">
        <v>0.11219552099192498</v>
      </c>
      <c r="X9" s="235">
        <v>9.9957166179481444E-2</v>
      </c>
      <c r="Y9" s="235">
        <v>7.6517287563076825E-2</v>
      </c>
      <c r="Z9" s="235">
        <v>8.3842805398644291E-2</v>
      </c>
      <c r="AA9" s="320"/>
      <c r="AB9" s="232"/>
      <c r="AC9" s="257" t="s">
        <v>314</v>
      </c>
      <c r="AD9" s="235">
        <v>0.10299999999999999</v>
      </c>
      <c r="AE9" s="235">
        <v>0.09</v>
      </c>
      <c r="AF9" s="235">
        <v>0.13100000000000001</v>
      </c>
      <c r="AG9" s="235">
        <v>0.14599999999999999</v>
      </c>
      <c r="AH9" s="235">
        <v>0.14899999999999999</v>
      </c>
      <c r="AI9" s="235">
        <v>9.2217988550031646E-2</v>
      </c>
      <c r="AK9" s="232"/>
    </row>
    <row r="10" spans="2:37" ht="21">
      <c r="B10" s="230" t="s">
        <v>317</v>
      </c>
      <c r="C10" s="231">
        <v>0.311</v>
      </c>
      <c r="D10" s="231">
        <v>0.28999999999999998</v>
      </c>
      <c r="E10" s="231">
        <v>0.32500000000000001</v>
      </c>
      <c r="F10" s="231">
        <v>0.38300000000000001</v>
      </c>
      <c r="G10" s="231">
        <v>0.42199999999999999</v>
      </c>
      <c r="H10" s="231">
        <v>0.437</v>
      </c>
      <c r="I10" s="231">
        <v>0.42699999999999999</v>
      </c>
      <c r="J10" s="231">
        <v>0.38100000000000001</v>
      </c>
      <c r="K10" s="236">
        <v>0.36099999999999999</v>
      </c>
      <c r="L10" s="236">
        <v>0.36299999999999999</v>
      </c>
      <c r="M10" s="236">
        <v>0.33</v>
      </c>
      <c r="N10" s="236">
        <v>0.28499999999999998</v>
      </c>
      <c r="O10" s="236">
        <v>0.36799999999999999</v>
      </c>
      <c r="P10" s="236">
        <v>0.27600000000000002</v>
      </c>
      <c r="Q10" s="236">
        <v>0.35</v>
      </c>
      <c r="R10" s="236">
        <f>100%-SUM(R4:R9)</f>
        <v>0.47</v>
      </c>
      <c r="S10" s="236">
        <f>100%-SUM(S4:S9)</f>
        <v>0.54600000000000004</v>
      </c>
      <c r="T10" s="236">
        <v>0.55783736611188139</v>
      </c>
      <c r="U10" s="236">
        <v>0.49770937553545169</v>
      </c>
      <c r="V10" s="236">
        <v>0.49846791843960592</v>
      </c>
      <c r="W10" s="236">
        <v>0.42256588013774588</v>
      </c>
      <c r="X10" s="236">
        <v>0.43379095947424712</v>
      </c>
      <c r="Y10" s="236">
        <v>0.47400381629232852</v>
      </c>
      <c r="Z10" s="236">
        <v>0.42523424326284665</v>
      </c>
      <c r="AA10" s="317"/>
      <c r="AB10" s="232"/>
      <c r="AC10" s="230" t="s">
        <v>317</v>
      </c>
      <c r="AD10" s="236">
        <v>0.35299999999999998</v>
      </c>
      <c r="AE10" s="236">
        <v>0.41699999999999998</v>
      </c>
      <c r="AF10" s="236">
        <v>0.33600000000000002</v>
      </c>
      <c r="AG10" s="236">
        <v>0.38400000000000001</v>
      </c>
      <c r="AH10" s="236">
        <v>0.52400000000000002</v>
      </c>
      <c r="AI10" s="236">
        <v>0.43995002001611161</v>
      </c>
      <c r="AK10" s="232"/>
    </row>
    <row r="11" spans="2:37" ht="21">
      <c r="B11" s="251"/>
      <c r="C11" s="244"/>
      <c r="D11" s="244"/>
      <c r="E11" s="244"/>
      <c r="F11" s="244"/>
      <c r="G11" s="244"/>
      <c r="H11" s="244"/>
      <c r="I11" s="244"/>
      <c r="J11" s="244"/>
      <c r="K11" s="245"/>
      <c r="L11" s="245"/>
      <c r="M11" s="245"/>
      <c r="N11" s="245"/>
      <c r="O11" s="245"/>
      <c r="P11" s="245"/>
      <c r="Q11" s="245"/>
      <c r="R11" s="245"/>
      <c r="S11" s="245"/>
      <c r="T11" s="245"/>
    </row>
    <row r="12" spans="2:37" ht="21">
      <c r="B12" s="32" t="s">
        <v>264</v>
      </c>
      <c r="C12" s="22" t="s">
        <v>37</v>
      </c>
      <c r="D12" s="22" t="s">
        <v>38</v>
      </c>
      <c r="E12" s="22" t="s">
        <v>39</v>
      </c>
      <c r="F12" s="22" t="s">
        <v>40</v>
      </c>
      <c r="G12" s="22" t="s">
        <v>41</v>
      </c>
      <c r="H12" s="33" t="s">
        <v>42</v>
      </c>
      <c r="I12" s="33" t="s">
        <v>43</v>
      </c>
      <c r="J12" s="33" t="s">
        <v>215</v>
      </c>
      <c r="K12" s="33" t="s">
        <v>240</v>
      </c>
      <c r="L12" s="33" t="s">
        <v>251</v>
      </c>
      <c r="M12" s="33" t="s">
        <v>263</v>
      </c>
      <c r="N12" s="33" t="s">
        <v>270</v>
      </c>
      <c r="O12" s="33" t="s">
        <v>283</v>
      </c>
      <c r="P12" s="33" t="s">
        <v>305</v>
      </c>
      <c r="Q12" s="33" t="s">
        <v>313</v>
      </c>
      <c r="R12" s="33" t="s">
        <v>323</v>
      </c>
      <c r="S12" s="33" t="s">
        <v>331</v>
      </c>
      <c r="T12" s="33" t="s">
        <v>334</v>
      </c>
      <c r="U12" s="33" t="s">
        <v>348</v>
      </c>
      <c r="V12" s="33" t="s">
        <v>361</v>
      </c>
      <c r="W12" s="33" t="s">
        <v>362</v>
      </c>
      <c r="X12" s="33" t="s">
        <v>411</v>
      </c>
      <c r="Y12" s="33" t="s">
        <v>413</v>
      </c>
      <c r="Z12" s="33" t="s">
        <v>419</v>
      </c>
      <c r="AA12" s="33" t="s">
        <v>421</v>
      </c>
      <c r="AC12" s="32" t="s">
        <v>264</v>
      </c>
      <c r="AD12" s="22">
        <v>2017</v>
      </c>
      <c r="AE12" s="27">
        <v>2018</v>
      </c>
      <c r="AF12" s="27">
        <v>2019</v>
      </c>
      <c r="AG12" s="27">
        <v>2020</v>
      </c>
      <c r="AH12" s="27">
        <v>2021</v>
      </c>
      <c r="AI12" s="27">
        <v>2022</v>
      </c>
    </row>
    <row r="13" spans="2:37" ht="21">
      <c r="B13" s="256" t="s">
        <v>265</v>
      </c>
      <c r="C13" s="249">
        <v>1613.7</v>
      </c>
      <c r="D13" s="249">
        <v>1726.7</v>
      </c>
      <c r="E13" s="249">
        <v>1648.8</v>
      </c>
      <c r="F13" s="249">
        <v>1769.9</v>
      </c>
      <c r="G13" s="249">
        <v>1869.6</v>
      </c>
      <c r="H13" s="249">
        <v>2014.7</v>
      </c>
      <c r="I13" s="249">
        <v>2109.3000000000002</v>
      </c>
      <c r="J13" s="249">
        <v>2274.4</v>
      </c>
      <c r="K13" s="249">
        <v>2127.3000000000002</v>
      </c>
      <c r="L13" s="249">
        <v>2292.4</v>
      </c>
      <c r="M13" s="249">
        <v>2335.6999999999998</v>
      </c>
      <c r="N13" s="249">
        <v>2318.3000000000002</v>
      </c>
      <c r="O13" s="249">
        <v>2278.9</v>
      </c>
      <c r="P13" s="249">
        <v>2594</v>
      </c>
      <c r="Q13" s="249">
        <v>2445.3000000000002</v>
      </c>
      <c r="R13" s="249">
        <v>2763</v>
      </c>
      <c r="S13" s="249">
        <v>3152</v>
      </c>
      <c r="T13" s="249">
        <v>3827</v>
      </c>
      <c r="U13" s="249">
        <v>4032</v>
      </c>
      <c r="V13" s="249">
        <v>4208.2425075120391</v>
      </c>
      <c r="W13" s="249">
        <v>4424.8214176076044</v>
      </c>
      <c r="X13" s="249">
        <v>5146.2805509809286</v>
      </c>
      <c r="Y13" s="249">
        <v>5287.124241142993</v>
      </c>
      <c r="Z13" s="249">
        <v>5141.8066555011765</v>
      </c>
      <c r="AA13" s="249">
        <v>4656.2453804482757</v>
      </c>
      <c r="AB13" s="248"/>
      <c r="AC13" s="256" t="s">
        <v>265</v>
      </c>
      <c r="AD13" s="249">
        <v>1685.8</v>
      </c>
      <c r="AE13" s="249">
        <v>2062.8000000000002</v>
      </c>
      <c r="AF13" s="249">
        <v>2266.8000000000002</v>
      </c>
      <c r="AG13" s="249">
        <v>2588</v>
      </c>
      <c r="AH13" s="249">
        <v>3783.8545516663667</v>
      </c>
      <c r="AI13" s="249">
        <v>5004.3222153611678</v>
      </c>
    </row>
    <row r="14" spans="2:37" ht="21">
      <c r="B14" s="257" t="s">
        <v>322</v>
      </c>
      <c r="C14" s="249">
        <v>1731.7</v>
      </c>
      <c r="D14" s="249">
        <v>1847</v>
      </c>
      <c r="E14" s="249">
        <v>1760.7</v>
      </c>
      <c r="F14" s="249">
        <v>1879</v>
      </c>
      <c r="G14" s="249">
        <v>1985.4</v>
      </c>
      <c r="H14" s="249">
        <v>2126.5</v>
      </c>
      <c r="I14" s="249">
        <v>2220.3000000000002</v>
      </c>
      <c r="J14" s="249">
        <v>2394.8000000000002</v>
      </c>
      <c r="K14" s="249">
        <v>2241.3000000000002</v>
      </c>
      <c r="L14" s="249">
        <v>2404.5</v>
      </c>
      <c r="M14" s="249">
        <v>2454.8000000000002</v>
      </c>
      <c r="N14" s="249">
        <v>2444.9</v>
      </c>
      <c r="O14" s="249">
        <v>2399.1999999999998</v>
      </c>
      <c r="P14" s="249">
        <v>2743.8</v>
      </c>
      <c r="Q14" s="249">
        <v>2556</v>
      </c>
      <c r="R14" s="249">
        <v>2867</v>
      </c>
      <c r="S14" s="249">
        <v>3249</v>
      </c>
      <c r="T14" s="249">
        <v>3926</v>
      </c>
      <c r="U14" s="249">
        <v>4133</v>
      </c>
      <c r="V14" s="249">
        <v>4323.6442528273319</v>
      </c>
      <c r="W14" s="249">
        <v>4509.8438624457276</v>
      </c>
      <c r="X14" s="249">
        <v>5204.1952412655664</v>
      </c>
      <c r="Y14" s="249">
        <v>5332.4780325067586</v>
      </c>
      <c r="Z14" s="249">
        <v>5179.4210216300053</v>
      </c>
      <c r="AA14" s="249">
        <v>4742.3945242648688</v>
      </c>
      <c r="AB14" s="248"/>
      <c r="AC14" s="257" t="s">
        <v>322</v>
      </c>
      <c r="AD14" s="249">
        <v>1808.2</v>
      </c>
      <c r="AE14" s="249">
        <v>2177.5</v>
      </c>
      <c r="AF14" s="249">
        <v>2384.3000000000002</v>
      </c>
      <c r="AG14" s="249">
        <v>2706</v>
      </c>
      <c r="AH14" s="249">
        <v>3886.6595635815102</v>
      </c>
      <c r="AI14" s="249">
        <v>5060.6083094334599</v>
      </c>
    </row>
    <row r="15" spans="2:37" ht="21">
      <c r="B15" s="230" t="s">
        <v>266</v>
      </c>
      <c r="C15" s="250">
        <v>1933.2</v>
      </c>
      <c r="D15" s="250">
        <v>2133.1999999999998</v>
      </c>
      <c r="E15" s="250">
        <v>2174.1999999999998</v>
      </c>
      <c r="F15" s="250">
        <v>2176.1</v>
      </c>
      <c r="G15" s="250">
        <v>2258.8000000000002</v>
      </c>
      <c r="H15" s="250">
        <v>2445.3000000000002</v>
      </c>
      <c r="I15" s="250">
        <v>2605.6</v>
      </c>
      <c r="J15" s="250">
        <v>2801</v>
      </c>
      <c r="K15" s="250">
        <v>2783.5</v>
      </c>
      <c r="L15" s="250">
        <v>2764.7</v>
      </c>
      <c r="M15" s="250">
        <v>2931.6</v>
      </c>
      <c r="N15" s="250">
        <v>2996.7</v>
      </c>
      <c r="O15" s="250">
        <v>2821.4</v>
      </c>
      <c r="P15" s="250">
        <v>3234.9</v>
      </c>
      <c r="Q15" s="250">
        <v>3065.9</v>
      </c>
      <c r="R15" s="250">
        <v>3287</v>
      </c>
      <c r="S15" s="250">
        <v>3556</v>
      </c>
      <c r="T15" s="250">
        <v>4335</v>
      </c>
      <c r="U15" s="250">
        <v>4825</v>
      </c>
      <c r="V15" s="250">
        <v>5128</v>
      </c>
      <c r="W15" s="250">
        <v>5128.6318622291747</v>
      </c>
      <c r="X15" s="250">
        <v>5646.7376932017878</v>
      </c>
      <c r="Y15" s="250">
        <v>6640.2373999877946</v>
      </c>
      <c r="Z15" s="250">
        <v>6417.1034107900887</v>
      </c>
      <c r="AA15" s="250">
        <v>5678.3424210378389</v>
      </c>
      <c r="AB15" s="248"/>
      <c r="AC15" s="230" t="s">
        <v>266</v>
      </c>
      <c r="AD15" s="250">
        <v>2109</v>
      </c>
      <c r="AE15" s="250">
        <v>2526</v>
      </c>
      <c r="AF15" s="250">
        <v>2868.3</v>
      </c>
      <c r="AG15" s="250">
        <v>3123</v>
      </c>
      <c r="AH15" s="250">
        <v>4428</v>
      </c>
      <c r="AI15" s="250">
        <v>5928.8470110522176</v>
      </c>
    </row>
    <row r="16" spans="2:37" s="299" customFormat="1" ht="21">
      <c r="B16" s="311" t="s">
        <v>328</v>
      </c>
      <c r="C16" s="298"/>
      <c r="D16" s="298"/>
      <c r="E16" s="298"/>
      <c r="F16" s="298"/>
      <c r="G16" s="298"/>
      <c r="H16" s="298"/>
      <c r="I16" s="298"/>
      <c r="J16" s="298"/>
      <c r="K16" s="298"/>
      <c r="L16" s="298"/>
      <c r="M16" s="298"/>
      <c r="N16" s="298"/>
      <c r="O16" s="298"/>
      <c r="P16" s="298"/>
      <c r="Q16" s="298"/>
      <c r="R16" s="298"/>
      <c r="S16" s="298"/>
      <c r="AB16" s="298"/>
      <c r="AC16" s="298"/>
      <c r="AD16" s="298"/>
      <c r="AE16" s="298"/>
    </row>
    <row r="17" spans="2:31" s="299" customFormat="1" ht="83.25" customHeight="1">
      <c r="B17" s="403" t="s">
        <v>329</v>
      </c>
      <c r="C17" s="403"/>
      <c r="D17" s="403"/>
      <c r="E17" s="403"/>
      <c r="F17" s="403"/>
      <c r="G17" s="403"/>
      <c r="H17" s="403"/>
      <c r="I17" s="403"/>
      <c r="J17" s="403"/>
      <c r="K17" s="403"/>
      <c r="L17" s="403"/>
      <c r="M17" s="403"/>
      <c r="N17" s="403"/>
      <c r="O17" s="403"/>
      <c r="P17" s="403"/>
      <c r="Q17" s="403"/>
      <c r="R17" s="403"/>
      <c r="S17" s="318"/>
      <c r="W17" s="369" t="s">
        <v>416</v>
      </c>
      <c r="X17" s="33" t="s">
        <v>411</v>
      </c>
      <c r="Y17" s="33" t="s">
        <v>413</v>
      </c>
      <c r="Z17" s="33" t="s">
        <v>419</v>
      </c>
      <c r="AA17" s="33" t="s">
        <v>421</v>
      </c>
      <c r="AB17" s="298"/>
      <c r="AC17" s="298"/>
      <c r="AD17" s="298"/>
      <c r="AE17" s="298"/>
    </row>
    <row r="18" spans="2:31" s="299" customFormat="1" ht="24" customHeight="1">
      <c r="B18" s="318"/>
      <c r="C18" s="318"/>
      <c r="D18" s="318"/>
      <c r="E18" s="318"/>
      <c r="F18" s="318"/>
      <c r="G18" s="318"/>
      <c r="H18" s="318"/>
      <c r="I18" s="318"/>
      <c r="J18" s="318"/>
      <c r="K18" s="318"/>
      <c r="L18" s="318"/>
      <c r="M18" s="318"/>
      <c r="N18" s="318"/>
      <c r="O18" s="318"/>
      <c r="P18" s="318"/>
      <c r="Q18" s="318"/>
      <c r="R18" s="318"/>
      <c r="S18" s="318"/>
      <c r="T18" s="319"/>
      <c r="U18" s="319"/>
      <c r="W18" s="257" t="s">
        <v>414</v>
      </c>
      <c r="X18" s="235">
        <v>8.5999999999999993E-2</v>
      </c>
      <c r="Y18" s="235">
        <v>0.114</v>
      </c>
      <c r="Z18" s="235">
        <v>8.2441647090820913E-2</v>
      </c>
      <c r="AA18" s="235">
        <v>4.2172788235285537E-2</v>
      </c>
      <c r="AB18" s="298"/>
      <c r="AC18" s="298"/>
      <c r="AE18" s="298"/>
    </row>
    <row r="19" spans="2:31" s="299" customFormat="1" ht="21">
      <c r="C19" s="298"/>
      <c r="D19" s="298"/>
      <c r="E19" s="298"/>
      <c r="F19" s="298"/>
      <c r="G19" s="298"/>
      <c r="H19" s="298"/>
      <c r="I19" s="298"/>
      <c r="J19" s="298"/>
      <c r="K19" s="298"/>
      <c r="L19" s="298"/>
      <c r="M19" s="298"/>
      <c r="N19" s="298"/>
      <c r="O19" s="298"/>
      <c r="P19" s="298"/>
      <c r="Q19" s="298"/>
      <c r="R19" s="298"/>
      <c r="S19" s="298"/>
      <c r="W19" s="230" t="s">
        <v>415</v>
      </c>
      <c r="X19" s="236">
        <v>4.7E-2</v>
      </c>
      <c r="Y19" s="236">
        <v>0.08</v>
      </c>
      <c r="Z19" s="236">
        <v>9.2565128216761175E-2</v>
      </c>
      <c r="AA19" s="236">
        <v>7.2556385200295503E-2</v>
      </c>
      <c r="AB19" s="298"/>
      <c r="AC19" s="298"/>
      <c r="AD19" s="244"/>
      <c r="AE19" s="298"/>
    </row>
    <row r="20" spans="2:31" ht="46.5" customHeight="1"/>
    <row r="26" spans="2:31">
      <c r="M26" s="283"/>
      <c r="N26" s="283"/>
    </row>
    <row r="27" spans="2:31">
      <c r="M27" s="283"/>
      <c r="N27" s="283"/>
    </row>
    <row r="28" spans="2:31">
      <c r="N28" s="283"/>
    </row>
    <row r="30" spans="2:31" ht="28.5" customHeight="1">
      <c r="C30" s="258"/>
    </row>
    <row r="33" spans="9:9">
      <c r="I33" t="s">
        <v>26</v>
      </c>
    </row>
  </sheetData>
  <sortState xmlns:xlrd2="http://schemas.microsoft.com/office/spreadsheetml/2017/richdata2" ref="B4:AE9">
    <sortCondition ref="B4:B9"/>
  </sortState>
  <mergeCells count="1">
    <mergeCell ref="B17:R17"/>
  </mergeCells>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B1:W45"/>
  <sheetViews>
    <sheetView showGridLines="0" zoomScale="50" zoomScaleNormal="50" workbookViewId="0">
      <pane xSplit="2" ySplit="2" topLeftCell="C24" activePane="bottomRight" state="frozen"/>
      <selection activeCell="AH23" sqref="AH23"/>
      <selection pane="topRight" activeCell="AH23" sqref="AH23"/>
      <selection pane="bottomLeft" activeCell="AH23" sqref="AH23"/>
      <selection pane="bottomRight" activeCell="O3" sqref="O3"/>
    </sheetView>
  </sheetViews>
  <sheetFormatPr defaultColWidth="9.140625" defaultRowHeight="15"/>
  <cols>
    <col min="1" max="1" width="9.140625" customWidth="1"/>
    <col min="2" max="2" width="62.85546875" bestFit="1" customWidth="1"/>
    <col min="3" max="20" width="12.140625" customWidth="1"/>
    <col min="24" max="24" width="9.7109375" bestFit="1" customWidth="1"/>
    <col min="25" max="26" width="9.7109375" customWidth="1"/>
  </cols>
  <sheetData>
    <row r="1" spans="2:23" ht="59.25" customHeight="1"/>
    <row r="2" spans="2:23" ht="21">
      <c r="B2" s="32" t="s">
        <v>239</v>
      </c>
      <c r="C2" s="33" t="s">
        <v>283</v>
      </c>
      <c r="D2" s="33" t="s">
        <v>305</v>
      </c>
      <c r="E2" s="33" t="s">
        <v>313</v>
      </c>
      <c r="F2" s="33" t="s">
        <v>323</v>
      </c>
      <c r="G2" s="33" t="s">
        <v>331</v>
      </c>
      <c r="H2" s="33" t="s">
        <v>334</v>
      </c>
      <c r="I2" s="33" t="s">
        <v>348</v>
      </c>
      <c r="J2" s="33" t="s">
        <v>361</v>
      </c>
      <c r="K2" s="33" t="s">
        <v>362</v>
      </c>
      <c r="L2" s="33" t="s">
        <v>411</v>
      </c>
      <c r="M2" s="33" t="s">
        <v>413</v>
      </c>
      <c r="N2" s="33" t="s">
        <v>419</v>
      </c>
      <c r="O2" s="33" t="s">
        <v>421</v>
      </c>
    </row>
    <row r="3" spans="2:23" ht="21">
      <c r="B3" s="346" t="s">
        <v>366</v>
      </c>
      <c r="C3" s="343">
        <v>0.30977346294146946</v>
      </c>
      <c r="D3" s="343">
        <v>0.20071823883485523</v>
      </c>
      <c r="E3" s="343">
        <v>0.2986942229700697</v>
      </c>
      <c r="F3" s="343">
        <v>0.89532439266148789</v>
      </c>
      <c r="G3" s="343">
        <v>0.62690123851403257</v>
      </c>
      <c r="H3" s="343">
        <v>0.58795038002619981</v>
      </c>
      <c r="I3" s="343">
        <v>0.44120476623572408</v>
      </c>
      <c r="J3" s="343">
        <v>0.34103618152429954</v>
      </c>
      <c r="K3" s="343">
        <v>0.27610590532349821</v>
      </c>
      <c r="L3" s="343">
        <v>0.56738227874555736</v>
      </c>
      <c r="M3" s="343">
        <v>0.78074948063264415</v>
      </c>
      <c r="N3" s="343">
        <v>0.77764228785912348</v>
      </c>
      <c r="O3" s="343">
        <v>0.75874871391723875</v>
      </c>
      <c r="P3" s="282"/>
      <c r="Q3" s="282"/>
      <c r="R3" s="282"/>
      <c r="S3" s="282"/>
      <c r="T3" s="282"/>
      <c r="U3" s="282"/>
      <c r="V3" s="282"/>
      <c r="W3" s="282"/>
    </row>
    <row r="4" spans="2:23" ht="21">
      <c r="B4" s="37" t="s">
        <v>368</v>
      </c>
      <c r="C4" s="325">
        <v>0.25174725733269054</v>
      </c>
      <c r="D4" s="325">
        <v>0.16013739298639404</v>
      </c>
      <c r="E4" s="325">
        <v>0.25355484454920529</v>
      </c>
      <c r="F4" s="325">
        <v>0.77526339474057804</v>
      </c>
      <c r="G4" s="325">
        <v>0.60104717576280131</v>
      </c>
      <c r="H4" s="325">
        <v>0.58570941890738226</v>
      </c>
      <c r="I4" s="325">
        <v>0.43573118943058786</v>
      </c>
      <c r="J4" s="325">
        <v>0.15062943365652137</v>
      </c>
      <c r="K4" s="325">
        <v>0.16756909251625912</v>
      </c>
      <c r="L4" s="325">
        <v>0.45600562429544983</v>
      </c>
      <c r="M4" s="325">
        <v>0.76665693815853964</v>
      </c>
      <c r="N4" s="325">
        <v>0.77764228785912348</v>
      </c>
      <c r="O4" s="325">
        <v>0.75874871391723875</v>
      </c>
      <c r="P4" s="282"/>
      <c r="Q4" s="282"/>
      <c r="R4" s="282"/>
      <c r="S4" s="282"/>
      <c r="T4" s="282"/>
      <c r="U4" s="282"/>
      <c r="V4" s="282"/>
      <c r="W4" s="282"/>
    </row>
    <row r="5" spans="2:23" ht="21">
      <c r="B5" s="37" t="s">
        <v>369</v>
      </c>
      <c r="C5" s="325">
        <v>0</v>
      </c>
      <c r="D5" s="325">
        <v>0</v>
      </c>
      <c r="E5" s="325">
        <v>0</v>
      </c>
      <c r="F5" s="325">
        <v>0</v>
      </c>
      <c r="G5" s="325">
        <v>0</v>
      </c>
      <c r="H5" s="325">
        <v>0</v>
      </c>
      <c r="I5" s="325">
        <v>0</v>
      </c>
      <c r="J5" s="325">
        <v>5.7175820101815981E-2</v>
      </c>
      <c r="K5" s="325">
        <v>5.5778848336184683E-2</v>
      </c>
      <c r="L5" s="325">
        <v>0</v>
      </c>
      <c r="M5" s="325">
        <v>1.4092542474104497E-2</v>
      </c>
      <c r="N5" s="325">
        <v>0</v>
      </c>
      <c r="O5" s="325">
        <v>0</v>
      </c>
      <c r="P5" s="282"/>
      <c r="Q5" s="282"/>
      <c r="R5" s="282"/>
      <c r="S5" s="282"/>
      <c r="T5" s="282"/>
      <c r="U5" s="282"/>
      <c r="V5" s="282"/>
      <c r="W5" s="282"/>
    </row>
    <row r="6" spans="2:23" ht="21">
      <c r="B6" s="37" t="s">
        <v>370</v>
      </c>
      <c r="C6" s="325">
        <v>0</v>
      </c>
      <c r="D6" s="325">
        <v>0</v>
      </c>
      <c r="E6" s="325">
        <v>0</v>
      </c>
      <c r="F6" s="325">
        <v>0</v>
      </c>
      <c r="G6" s="325">
        <v>0</v>
      </c>
      <c r="H6" s="325">
        <v>0</v>
      </c>
      <c r="I6" s="325">
        <v>0</v>
      </c>
      <c r="J6" s="325">
        <v>0</v>
      </c>
      <c r="K6" s="325">
        <v>2.5722280938284804E-2</v>
      </c>
      <c r="L6" s="325">
        <v>0</v>
      </c>
      <c r="M6" s="325">
        <v>0</v>
      </c>
      <c r="N6" s="325">
        <v>0</v>
      </c>
      <c r="O6" s="325">
        <v>0</v>
      </c>
      <c r="P6" s="282"/>
      <c r="Q6" s="282"/>
      <c r="R6" s="282"/>
      <c r="S6" s="282"/>
      <c r="T6" s="282"/>
      <c r="U6" s="282"/>
      <c r="V6" s="282"/>
      <c r="W6" s="282"/>
    </row>
    <row r="7" spans="2:23" ht="21">
      <c r="B7" s="37" t="s">
        <v>404</v>
      </c>
      <c r="C7" s="325">
        <v>0</v>
      </c>
      <c r="D7" s="325">
        <v>2.2512376944716899E-3</v>
      </c>
      <c r="E7" s="325">
        <v>1.5179796876466259E-3</v>
      </c>
      <c r="F7" s="325">
        <v>1.6477450936847084E-3</v>
      </c>
      <c r="G7" s="325">
        <v>0</v>
      </c>
      <c r="H7" s="325">
        <v>0</v>
      </c>
      <c r="I7" s="325">
        <v>0</v>
      </c>
      <c r="J7" s="325">
        <v>6.4376212704146205E-3</v>
      </c>
      <c r="K7" s="325">
        <v>2.5056306652288238E-2</v>
      </c>
      <c r="L7" s="325">
        <v>1.3165797440096745E-2</v>
      </c>
      <c r="M7" s="325">
        <v>0</v>
      </c>
      <c r="N7" s="325">
        <v>0</v>
      </c>
      <c r="O7" s="325">
        <v>0</v>
      </c>
      <c r="P7" s="282"/>
      <c r="Q7" s="282"/>
      <c r="R7" s="282"/>
      <c r="S7" s="282"/>
      <c r="T7" s="282"/>
      <c r="U7" s="282"/>
      <c r="V7" s="282"/>
      <c r="W7" s="282"/>
    </row>
    <row r="8" spans="2:23" ht="21">
      <c r="B8" s="37" t="s">
        <v>371</v>
      </c>
      <c r="C8" s="325">
        <v>1.0573083697365393E-2</v>
      </c>
      <c r="D8" s="325">
        <v>7.1667101386621744E-3</v>
      </c>
      <c r="E8" s="325">
        <v>0</v>
      </c>
      <c r="F8" s="325">
        <v>0</v>
      </c>
      <c r="G8" s="325">
        <v>0</v>
      </c>
      <c r="H8" s="325">
        <v>0</v>
      </c>
      <c r="I8" s="325">
        <v>0</v>
      </c>
      <c r="J8" s="325">
        <v>8.5448550396744014E-3</v>
      </c>
      <c r="K8" s="325">
        <v>1.2418334244825486E-3</v>
      </c>
      <c r="L8" s="325">
        <v>3.1133648884072897E-4</v>
      </c>
      <c r="M8" s="325">
        <v>0</v>
      </c>
      <c r="N8" s="325">
        <v>0</v>
      </c>
      <c r="O8" s="325">
        <v>0</v>
      </c>
      <c r="Q8" s="282"/>
      <c r="R8" s="282"/>
      <c r="S8" s="282"/>
      <c r="T8" s="282"/>
      <c r="U8" s="282"/>
      <c r="V8" s="282"/>
      <c r="W8" s="282"/>
    </row>
    <row r="9" spans="2:23" ht="21">
      <c r="B9" s="37" t="s">
        <v>372</v>
      </c>
      <c r="C9" s="325">
        <v>1.4922046942903293E-2</v>
      </c>
      <c r="D9" s="325">
        <v>2.0327938640751921E-2</v>
      </c>
      <c r="E9" s="325">
        <v>1.3801993687205299E-3</v>
      </c>
      <c r="F9" s="325">
        <v>5.2585015199092342E-3</v>
      </c>
      <c r="G9" s="325">
        <v>9.5095087769243739E-4</v>
      </c>
      <c r="H9" s="325">
        <v>2.2409611188175848E-3</v>
      </c>
      <c r="I9" s="325">
        <v>3.0544584238802238E-3</v>
      </c>
      <c r="J9" s="325">
        <v>1.5867404792058251E-3</v>
      </c>
      <c r="K9" s="325">
        <v>7.3754345599879472E-4</v>
      </c>
      <c r="L9" s="325">
        <v>1.8593370926698444E-3</v>
      </c>
      <c r="M9" s="325">
        <v>0</v>
      </c>
      <c r="N9" s="325">
        <v>0</v>
      </c>
      <c r="O9" s="325">
        <v>0</v>
      </c>
      <c r="Q9" s="282"/>
      <c r="R9" s="282"/>
      <c r="S9" s="282"/>
      <c r="T9" s="282"/>
      <c r="U9" s="282"/>
      <c r="V9" s="282"/>
      <c r="W9" s="282"/>
    </row>
    <row r="10" spans="2:23" ht="21">
      <c r="B10" s="37" t="s">
        <v>373</v>
      </c>
      <c r="C10" s="325">
        <v>0</v>
      </c>
      <c r="D10" s="325">
        <v>0</v>
      </c>
      <c r="E10" s="325">
        <v>0</v>
      </c>
      <c r="F10" s="325">
        <v>0</v>
      </c>
      <c r="G10" s="325">
        <v>8.898869324437895E-4</v>
      </c>
      <c r="H10" s="325">
        <v>0</v>
      </c>
      <c r="I10" s="325">
        <v>0</v>
      </c>
      <c r="J10" s="325">
        <v>0</v>
      </c>
      <c r="K10" s="325">
        <v>0</v>
      </c>
      <c r="L10" s="325">
        <v>0</v>
      </c>
      <c r="M10" s="325">
        <v>0</v>
      </c>
      <c r="N10" s="325">
        <v>0</v>
      </c>
      <c r="O10" s="325">
        <v>0</v>
      </c>
      <c r="Q10" s="282"/>
      <c r="R10" s="282"/>
      <c r="S10" s="282"/>
      <c r="T10" s="282"/>
      <c r="U10" s="282"/>
      <c r="V10" s="282"/>
      <c r="W10" s="282"/>
    </row>
    <row r="11" spans="2:23" ht="21">
      <c r="B11" s="37" t="s">
        <v>374</v>
      </c>
      <c r="C11" s="325">
        <v>0</v>
      </c>
      <c r="D11" s="325">
        <v>0</v>
      </c>
      <c r="E11" s="325">
        <v>0</v>
      </c>
      <c r="F11" s="325">
        <v>0</v>
      </c>
      <c r="G11" s="325">
        <v>0</v>
      </c>
      <c r="H11" s="325">
        <v>0</v>
      </c>
      <c r="I11" s="325">
        <v>0</v>
      </c>
      <c r="J11" s="325">
        <v>3.6140538640350157E-3</v>
      </c>
      <c r="K11" s="325">
        <v>0</v>
      </c>
      <c r="L11" s="325">
        <v>0</v>
      </c>
      <c r="M11" s="325">
        <v>0</v>
      </c>
      <c r="N11" s="325">
        <v>0</v>
      </c>
      <c r="O11" s="325">
        <v>0</v>
      </c>
      <c r="Q11" s="282"/>
      <c r="R11" s="282"/>
      <c r="S11" s="282"/>
      <c r="T11" s="282"/>
      <c r="U11" s="282"/>
      <c r="V11" s="282"/>
      <c r="W11" s="282"/>
    </row>
    <row r="12" spans="2:23" ht="21">
      <c r="B12" s="37" t="s">
        <v>375</v>
      </c>
      <c r="C12" s="325">
        <v>0</v>
      </c>
      <c r="D12" s="325">
        <v>5.0666355355311063E-3</v>
      </c>
      <c r="E12" s="325">
        <v>0</v>
      </c>
      <c r="F12" s="325">
        <v>4.079301278445655E-3</v>
      </c>
      <c r="G12" s="325">
        <v>0</v>
      </c>
      <c r="H12" s="325">
        <v>0</v>
      </c>
      <c r="I12" s="325">
        <v>2.4191183812560559E-3</v>
      </c>
      <c r="J12" s="325">
        <v>5.4771677866777995E-4</v>
      </c>
      <c r="K12" s="325">
        <v>0</v>
      </c>
      <c r="L12" s="325">
        <v>0</v>
      </c>
      <c r="M12" s="325">
        <v>0</v>
      </c>
      <c r="N12" s="325">
        <v>0</v>
      </c>
      <c r="O12" s="325">
        <v>0</v>
      </c>
      <c r="Q12" s="282"/>
      <c r="R12" s="282"/>
      <c r="S12" s="282"/>
      <c r="T12" s="282"/>
      <c r="U12" s="282"/>
      <c r="V12" s="282"/>
      <c r="W12" s="282"/>
    </row>
    <row r="13" spans="2:23" ht="21">
      <c r="B13" s="37" t="s">
        <v>376</v>
      </c>
      <c r="C13" s="325">
        <v>3.2531074968510321E-2</v>
      </c>
      <c r="D13" s="325">
        <v>5.7683238390442747E-3</v>
      </c>
      <c r="E13" s="325">
        <v>4.2241199364497266E-2</v>
      </c>
      <c r="F13" s="325">
        <v>0.10907545002887033</v>
      </c>
      <c r="G13" s="325">
        <v>2.4013224941094979E-2</v>
      </c>
      <c r="H13" s="325">
        <v>0</v>
      </c>
      <c r="I13" s="325">
        <v>0</v>
      </c>
      <c r="J13" s="325">
        <v>0.1124999403339646</v>
      </c>
      <c r="K13" s="325">
        <v>0</v>
      </c>
      <c r="L13" s="325">
        <v>9.6040183428500195E-2</v>
      </c>
      <c r="M13" s="325">
        <v>0</v>
      </c>
      <c r="N13" s="325">
        <v>0</v>
      </c>
      <c r="O13" s="325">
        <v>0</v>
      </c>
      <c r="Q13" s="282"/>
      <c r="R13" s="282"/>
      <c r="S13" s="282"/>
      <c r="T13" s="282"/>
      <c r="U13" s="282"/>
      <c r="V13" s="282"/>
      <c r="W13" s="282"/>
    </row>
    <row r="14" spans="2:23" ht="21">
      <c r="B14" s="346" t="s">
        <v>390</v>
      </c>
      <c r="C14" s="344">
        <v>0.61611891592294565</v>
      </c>
      <c r="D14" s="344">
        <v>0.34280350912129959</v>
      </c>
      <c r="E14" s="344">
        <v>0.52137512635728234</v>
      </c>
      <c r="F14" s="344">
        <v>0</v>
      </c>
      <c r="G14" s="344">
        <v>2.7396098896695673E-2</v>
      </c>
      <c r="H14" s="344">
        <v>0.2505612696530416</v>
      </c>
      <c r="I14" s="344">
        <v>0.47287859926118814</v>
      </c>
      <c r="J14" s="344">
        <v>0.43068893011392567</v>
      </c>
      <c r="K14" s="344">
        <v>0.48471173643507171</v>
      </c>
      <c r="L14" s="344">
        <v>0.39895596315088211</v>
      </c>
      <c r="M14" s="344">
        <v>0.21925051936735582</v>
      </c>
      <c r="N14" s="344">
        <v>4.236243994387353E-2</v>
      </c>
      <c r="O14" s="344">
        <v>0</v>
      </c>
      <c r="P14" s="282"/>
      <c r="Q14" s="282"/>
      <c r="R14" s="282"/>
      <c r="S14" s="282"/>
      <c r="T14" s="282"/>
      <c r="U14" s="282"/>
      <c r="V14" s="282"/>
      <c r="W14" s="282"/>
    </row>
    <row r="15" spans="2:23" ht="21">
      <c r="B15" s="37" t="s">
        <v>377</v>
      </c>
      <c r="C15" s="325">
        <v>7.0296054106587777E-2</v>
      </c>
      <c r="D15" s="325">
        <v>8.2127748411805229E-2</v>
      </c>
      <c r="E15" s="325">
        <v>0.11947544726262109</v>
      </c>
      <c r="F15" s="325">
        <v>0</v>
      </c>
      <c r="G15" s="325">
        <v>2.2777080281660724E-2</v>
      </c>
      <c r="H15" s="325">
        <v>6.4603624279100658E-2</v>
      </c>
      <c r="I15" s="325">
        <v>0.14275447101627464</v>
      </c>
      <c r="J15" s="325">
        <v>0.14927384701197013</v>
      </c>
      <c r="K15" s="325">
        <v>0.14102729228664895</v>
      </c>
      <c r="L15" s="325">
        <v>0.19651024744305387</v>
      </c>
      <c r="M15" s="325">
        <v>4.1487084820499821E-2</v>
      </c>
      <c r="N15" s="325">
        <v>0</v>
      </c>
      <c r="O15" s="325">
        <v>0</v>
      </c>
      <c r="P15" s="282"/>
      <c r="Q15" s="282"/>
      <c r="R15" s="282"/>
      <c r="S15" s="282"/>
      <c r="T15" s="282"/>
      <c r="U15" s="282"/>
      <c r="V15" s="282"/>
      <c r="W15" s="282"/>
    </row>
    <row r="16" spans="2:23" ht="21">
      <c r="B16" s="37" t="s">
        <v>378</v>
      </c>
      <c r="C16" s="325">
        <v>0.1752619547214421</v>
      </c>
      <c r="D16" s="325">
        <v>0.14355287254275498</v>
      </c>
      <c r="E16" s="325">
        <v>8.9787862039129085E-2</v>
      </c>
      <c r="F16" s="325">
        <v>0</v>
      </c>
      <c r="G16" s="325">
        <v>0</v>
      </c>
      <c r="H16" s="325">
        <v>7.8745523915999219E-2</v>
      </c>
      <c r="I16" s="325">
        <v>8.6961164874745242E-2</v>
      </c>
      <c r="J16" s="325">
        <v>0.13100906549875604</v>
      </c>
      <c r="K16" s="325">
        <v>8.3163185040083173E-2</v>
      </c>
      <c r="L16" s="325">
        <v>3.1428048667920691E-2</v>
      </c>
      <c r="M16" s="325">
        <v>4.129576901471009E-2</v>
      </c>
      <c r="N16" s="325">
        <v>4.236243994387353E-2</v>
      </c>
      <c r="O16" s="325">
        <v>0</v>
      </c>
      <c r="P16" s="282"/>
      <c r="Q16" s="282"/>
      <c r="R16" s="282"/>
      <c r="S16" s="282"/>
      <c r="T16" s="282"/>
      <c r="U16" s="282"/>
      <c r="V16" s="282"/>
      <c r="W16" s="282"/>
    </row>
    <row r="17" spans="2:23" ht="21">
      <c r="B17" s="37" t="s">
        <v>379</v>
      </c>
      <c r="C17" s="325">
        <v>8.1899474687366608E-2</v>
      </c>
      <c r="D17" s="325">
        <v>0</v>
      </c>
      <c r="E17" s="325">
        <v>3.1555811467521844E-2</v>
      </c>
      <c r="F17" s="325">
        <v>0</v>
      </c>
      <c r="G17" s="325">
        <v>0</v>
      </c>
      <c r="H17" s="325">
        <v>7.1265820700003368E-2</v>
      </c>
      <c r="I17" s="325">
        <v>4.5838315539485842E-2</v>
      </c>
      <c r="J17" s="325">
        <v>2.1208418446329168E-2</v>
      </c>
      <c r="K17" s="325">
        <v>7.3959938873205247E-2</v>
      </c>
      <c r="L17" s="325">
        <v>6.4307316768282274E-2</v>
      </c>
      <c r="M17" s="325">
        <v>9.9121131891473143E-3</v>
      </c>
      <c r="N17" s="325">
        <v>0</v>
      </c>
      <c r="O17" s="325">
        <v>0</v>
      </c>
      <c r="P17" s="282"/>
      <c r="Q17" s="282"/>
      <c r="R17" s="282"/>
      <c r="S17" s="282"/>
      <c r="T17" s="282"/>
      <c r="U17" s="282"/>
      <c r="V17" s="282"/>
      <c r="W17" s="282"/>
    </row>
    <row r="18" spans="2:23" ht="21">
      <c r="B18" s="37" t="s">
        <v>380</v>
      </c>
      <c r="C18" s="325">
        <v>7.2013868482704718E-2</v>
      </c>
      <c r="D18" s="325">
        <v>7.6674698049072662E-2</v>
      </c>
      <c r="E18" s="325">
        <v>5.128050182946807E-2</v>
      </c>
      <c r="F18" s="325">
        <v>0</v>
      </c>
      <c r="G18" s="325">
        <v>4.6190186150349508E-3</v>
      </c>
      <c r="H18" s="325">
        <v>6.4113058746920193E-3</v>
      </c>
      <c r="I18" s="325">
        <v>0.15659212619052082</v>
      </c>
      <c r="J18" s="325">
        <v>6.6629378314324569E-2</v>
      </c>
      <c r="K18" s="325">
        <v>5.7220373192207408E-2</v>
      </c>
      <c r="L18" s="325">
        <v>6.7905306256153389E-2</v>
      </c>
      <c r="M18" s="325">
        <v>0.10902174778063704</v>
      </c>
      <c r="N18" s="325">
        <v>0</v>
      </c>
      <c r="O18" s="325">
        <v>0</v>
      </c>
      <c r="P18" s="282"/>
      <c r="Q18" s="282"/>
      <c r="R18" s="282"/>
      <c r="S18" s="282"/>
      <c r="T18" s="282"/>
      <c r="U18" s="282"/>
      <c r="V18" s="282"/>
      <c r="W18" s="282"/>
    </row>
    <row r="19" spans="2:23" ht="21">
      <c r="B19" s="37" t="s">
        <v>381</v>
      </c>
      <c r="C19" s="325">
        <v>6.7503254938342888E-2</v>
      </c>
      <c r="D19" s="325">
        <v>0</v>
      </c>
      <c r="E19" s="325">
        <v>0.16678667032922689</v>
      </c>
      <c r="F19" s="325">
        <v>0</v>
      </c>
      <c r="G19" s="325">
        <v>0</v>
      </c>
      <c r="H19" s="325">
        <v>1.2364771071057119E-2</v>
      </c>
      <c r="I19" s="325">
        <v>0</v>
      </c>
      <c r="J19" s="325">
        <v>1.3089170731408068E-2</v>
      </c>
      <c r="K19" s="325">
        <v>5.3658764823927819E-2</v>
      </c>
      <c r="L19" s="325">
        <v>0</v>
      </c>
      <c r="M19" s="325">
        <v>0</v>
      </c>
      <c r="N19" s="325">
        <v>0</v>
      </c>
      <c r="O19" s="325">
        <v>0</v>
      </c>
      <c r="P19" s="282"/>
      <c r="Q19" s="282"/>
      <c r="R19" s="282"/>
      <c r="S19" s="282"/>
      <c r="T19" s="282"/>
      <c r="U19" s="282"/>
      <c r="V19" s="282"/>
      <c r="W19" s="282"/>
    </row>
    <row r="20" spans="2:23" ht="21">
      <c r="B20" s="37" t="s">
        <v>382</v>
      </c>
      <c r="C20" s="325">
        <v>0.11044665640096822</v>
      </c>
      <c r="D20" s="325">
        <v>0</v>
      </c>
      <c r="E20" s="325">
        <v>0</v>
      </c>
      <c r="F20" s="325">
        <v>0</v>
      </c>
      <c r="G20" s="325">
        <v>0</v>
      </c>
      <c r="H20" s="325">
        <v>1.5431074513355309E-2</v>
      </c>
      <c r="I20" s="325">
        <v>0</v>
      </c>
      <c r="J20" s="325">
        <v>8.2331974601189562E-3</v>
      </c>
      <c r="K20" s="325">
        <v>5.0034141220891386E-2</v>
      </c>
      <c r="L20" s="325">
        <v>2.8741937069879309E-2</v>
      </c>
      <c r="M20" s="325">
        <v>1.6272496616852813E-2</v>
      </c>
      <c r="N20" s="325">
        <v>0</v>
      </c>
      <c r="O20" s="325">
        <v>0</v>
      </c>
      <c r="P20" s="282"/>
      <c r="Q20" s="282"/>
      <c r="R20" s="282"/>
      <c r="S20" s="282"/>
      <c r="T20" s="282"/>
      <c r="U20" s="282"/>
      <c r="V20" s="282"/>
      <c r="W20" s="282"/>
    </row>
    <row r="21" spans="2:23" ht="21">
      <c r="B21" s="37" t="s">
        <v>383</v>
      </c>
      <c r="C21" s="325">
        <v>0</v>
      </c>
      <c r="D21" s="325">
        <v>0</v>
      </c>
      <c r="E21" s="325">
        <v>0</v>
      </c>
      <c r="F21" s="325">
        <v>0</v>
      </c>
      <c r="G21" s="325">
        <v>0</v>
      </c>
      <c r="H21" s="325">
        <v>0</v>
      </c>
      <c r="I21" s="325">
        <v>0</v>
      </c>
      <c r="J21" s="325">
        <v>7.151779229805609E-3</v>
      </c>
      <c r="K21" s="325">
        <v>1.0522983902924509E-2</v>
      </c>
      <c r="L21" s="325">
        <v>2.1779321693646881E-3</v>
      </c>
      <c r="M21" s="325">
        <v>0</v>
      </c>
      <c r="N21" s="325">
        <v>0</v>
      </c>
      <c r="O21" s="325">
        <v>0</v>
      </c>
      <c r="P21" s="282"/>
      <c r="Q21" s="282"/>
      <c r="R21" s="282"/>
      <c r="S21" s="282"/>
      <c r="T21" s="282"/>
      <c r="U21" s="282"/>
      <c r="V21" s="282"/>
      <c r="W21" s="282"/>
    </row>
    <row r="22" spans="2:23" ht="21">
      <c r="B22" s="37" t="s">
        <v>384</v>
      </c>
      <c r="C22" s="325">
        <v>1.6184087167941664E-2</v>
      </c>
      <c r="D22" s="325">
        <v>9.0654926372532949E-3</v>
      </c>
      <c r="E22" s="325">
        <v>2.6606802316183013E-2</v>
      </c>
      <c r="F22" s="325">
        <v>0</v>
      </c>
      <c r="G22" s="325">
        <v>0</v>
      </c>
      <c r="H22" s="325">
        <v>0</v>
      </c>
      <c r="I22" s="325">
        <v>2.7733071156181181E-2</v>
      </c>
      <c r="J22" s="325">
        <v>1.9410090556293245E-2</v>
      </c>
      <c r="K22" s="325">
        <v>8.6460674782448677E-3</v>
      </c>
      <c r="L22" s="325">
        <v>5.0532580737326085E-4</v>
      </c>
      <c r="M22" s="325">
        <v>4.2676729627245128E-4</v>
      </c>
      <c r="N22" s="325">
        <v>0</v>
      </c>
      <c r="O22" s="325">
        <v>0</v>
      </c>
      <c r="P22" s="282"/>
      <c r="Q22" s="282"/>
      <c r="R22" s="282"/>
      <c r="S22" s="282"/>
      <c r="T22" s="282"/>
      <c r="U22" s="282"/>
      <c r="V22" s="282"/>
      <c r="W22" s="282"/>
    </row>
    <row r="23" spans="2:23" ht="21">
      <c r="B23" s="37" t="s">
        <v>385</v>
      </c>
      <c r="C23" s="325">
        <v>0</v>
      </c>
      <c r="D23" s="325">
        <v>2.5260778926474065E-2</v>
      </c>
      <c r="E23" s="325">
        <v>3.3104866607534963E-2</v>
      </c>
      <c r="F23" s="325">
        <v>0</v>
      </c>
      <c r="G23" s="325">
        <v>0</v>
      </c>
      <c r="H23" s="325">
        <v>0</v>
      </c>
      <c r="I23" s="325">
        <v>1.2999450483980379E-2</v>
      </c>
      <c r="J23" s="325">
        <v>1.4643360430158129E-2</v>
      </c>
      <c r="K23" s="325">
        <v>6.4789896169383087E-3</v>
      </c>
      <c r="L23" s="325">
        <v>7.2912088018831879E-3</v>
      </c>
      <c r="M23" s="325">
        <v>8.3454064923628132E-4</v>
      </c>
      <c r="N23" s="325">
        <v>0</v>
      </c>
      <c r="O23" s="325">
        <v>0</v>
      </c>
      <c r="Q23" s="282"/>
      <c r="R23" s="282"/>
      <c r="S23" s="282"/>
      <c r="T23" s="282"/>
      <c r="U23" s="282"/>
      <c r="V23" s="282"/>
      <c r="W23" s="282"/>
    </row>
    <row r="24" spans="2:23" ht="21">
      <c r="B24" s="37" t="s">
        <v>386</v>
      </c>
      <c r="C24" s="325">
        <v>2.2513565417591686E-2</v>
      </c>
      <c r="D24" s="325">
        <v>0</v>
      </c>
      <c r="E24" s="325">
        <v>0</v>
      </c>
      <c r="F24" s="325">
        <v>0</v>
      </c>
      <c r="G24" s="325">
        <v>0</v>
      </c>
      <c r="H24" s="325">
        <v>0</v>
      </c>
      <c r="I24" s="325">
        <v>0</v>
      </c>
      <c r="J24" s="325">
        <v>0</v>
      </c>
      <c r="K24" s="325">
        <v>0</v>
      </c>
      <c r="L24" s="325">
        <v>0</v>
      </c>
      <c r="M24" s="325">
        <v>0</v>
      </c>
      <c r="N24" s="325">
        <v>0</v>
      </c>
      <c r="O24" s="325">
        <v>0</v>
      </c>
      <c r="Q24" s="282"/>
      <c r="R24" s="282"/>
      <c r="S24" s="282"/>
      <c r="T24" s="282"/>
      <c r="U24" s="282"/>
      <c r="V24" s="282"/>
      <c r="W24" s="282"/>
    </row>
    <row r="25" spans="2:23" ht="21">
      <c r="B25" s="37" t="s">
        <v>387</v>
      </c>
      <c r="C25" s="325">
        <v>0</v>
      </c>
      <c r="D25" s="325">
        <v>0</v>
      </c>
      <c r="E25" s="325">
        <v>2.7771645055973404E-3</v>
      </c>
      <c r="F25" s="325">
        <v>0</v>
      </c>
      <c r="G25" s="325">
        <v>0</v>
      </c>
      <c r="H25" s="325">
        <v>1.7391492988339016E-3</v>
      </c>
      <c r="I25" s="325">
        <v>0</v>
      </c>
      <c r="J25" s="325">
        <v>4.0622434761762139E-5</v>
      </c>
      <c r="K25" s="325">
        <v>0</v>
      </c>
      <c r="L25" s="325">
        <v>8.8640166971431329E-5</v>
      </c>
      <c r="M25" s="325">
        <v>0</v>
      </c>
      <c r="N25" s="325">
        <v>0</v>
      </c>
      <c r="O25" s="325">
        <v>0</v>
      </c>
      <c r="Q25" s="282"/>
      <c r="R25" s="282"/>
      <c r="S25" s="282"/>
      <c r="T25" s="282"/>
      <c r="U25" s="282"/>
      <c r="V25" s="282"/>
      <c r="W25" s="282"/>
    </row>
    <row r="26" spans="2:23" ht="21">
      <c r="B26" s="37" t="s">
        <v>388</v>
      </c>
      <c r="C26" s="325">
        <v>0</v>
      </c>
      <c r="D26" s="325">
        <v>6.1219185539393723E-3</v>
      </c>
      <c r="E26" s="325">
        <v>0</v>
      </c>
      <c r="F26" s="325">
        <v>0</v>
      </c>
      <c r="G26" s="325">
        <v>0</v>
      </c>
      <c r="H26" s="325">
        <v>0</v>
      </c>
      <c r="I26" s="325">
        <v>0</v>
      </c>
      <c r="J26" s="325">
        <v>0</v>
      </c>
      <c r="K26" s="325">
        <v>0</v>
      </c>
      <c r="L26" s="325">
        <v>0</v>
      </c>
      <c r="M26" s="325">
        <v>0</v>
      </c>
      <c r="N26" s="325">
        <v>0</v>
      </c>
      <c r="O26" s="325">
        <v>0</v>
      </c>
      <c r="Q26" s="282"/>
      <c r="R26" s="282"/>
      <c r="S26" s="282"/>
      <c r="T26" s="282"/>
      <c r="U26" s="282"/>
      <c r="V26" s="282"/>
      <c r="W26" s="282"/>
    </row>
    <row r="27" spans="2:23" ht="21">
      <c r="B27" s="346" t="s">
        <v>389</v>
      </c>
      <c r="C27" s="344">
        <v>7.4107621135584945E-2</v>
      </c>
      <c r="D27" s="344">
        <v>0.22747943030650591</v>
      </c>
      <c r="E27" s="344">
        <v>0.11741544429315569</v>
      </c>
      <c r="F27" s="344">
        <v>1.0426180484820739E-2</v>
      </c>
      <c r="G27" s="344">
        <v>0.34570266258927174</v>
      </c>
      <c r="H27" s="344">
        <v>0.11246963809568765</v>
      </c>
      <c r="I27" s="344">
        <v>6.0559207298674082E-2</v>
      </c>
      <c r="J27" s="344">
        <v>0.1048971133926066</v>
      </c>
      <c r="K27" s="344">
        <v>7.0773512081344664E-2</v>
      </c>
      <c r="L27" s="344">
        <v>3.3661758103560438E-2</v>
      </c>
      <c r="M27" s="344">
        <v>0</v>
      </c>
      <c r="N27" s="344">
        <v>8.7426649708808965E-2</v>
      </c>
      <c r="O27" s="344">
        <v>0</v>
      </c>
      <c r="P27" s="282"/>
      <c r="Q27" s="282"/>
      <c r="R27" s="282"/>
      <c r="S27" s="282"/>
      <c r="T27" s="282"/>
      <c r="U27" s="282"/>
      <c r="V27" s="282"/>
      <c r="W27" s="282"/>
    </row>
    <row r="28" spans="2:23" ht="21">
      <c r="B28" s="37" t="s">
        <v>391</v>
      </c>
      <c r="C28" s="325">
        <v>3.1888458353466077E-2</v>
      </c>
      <c r="D28" s="325">
        <v>0.22747943030650591</v>
      </c>
      <c r="E28" s="325">
        <v>6.8127874872467117E-2</v>
      </c>
      <c r="F28" s="325">
        <v>1.0426180484820739E-2</v>
      </c>
      <c r="G28" s="325">
        <v>3.5247847347272387E-3</v>
      </c>
      <c r="H28" s="325">
        <v>0.1117420094203332</v>
      </c>
      <c r="I28" s="325">
        <v>0</v>
      </c>
      <c r="J28" s="325">
        <v>3.5665264959078617E-2</v>
      </c>
      <c r="K28" s="325">
        <v>4.4371921682903173E-2</v>
      </c>
      <c r="L28" s="325">
        <v>1.2496655267623749E-3</v>
      </c>
      <c r="M28" s="325">
        <v>0</v>
      </c>
      <c r="N28" s="325">
        <v>5.8078899130923796E-2</v>
      </c>
      <c r="O28" s="325">
        <v>0</v>
      </c>
      <c r="P28" s="282"/>
      <c r="Q28" s="282"/>
      <c r="R28" s="282"/>
      <c r="S28" s="282"/>
      <c r="T28" s="282"/>
      <c r="U28" s="282"/>
      <c r="V28" s="282"/>
      <c r="W28" s="282"/>
    </row>
    <row r="29" spans="2:23" ht="21">
      <c r="B29" s="37" t="s">
        <v>392</v>
      </c>
      <c r="C29" s="325">
        <v>0</v>
      </c>
      <c r="D29" s="325">
        <v>0</v>
      </c>
      <c r="E29" s="325">
        <v>0</v>
      </c>
      <c r="F29" s="325">
        <v>0</v>
      </c>
      <c r="G29" s="325">
        <v>0</v>
      </c>
      <c r="H29" s="325">
        <v>0</v>
      </c>
      <c r="I29" s="325">
        <v>0</v>
      </c>
      <c r="J29" s="325">
        <v>4.4338991297615628E-2</v>
      </c>
      <c r="K29" s="325">
        <v>2.6401590398441498E-2</v>
      </c>
      <c r="L29" s="325">
        <v>0</v>
      </c>
      <c r="M29" s="325">
        <v>0</v>
      </c>
      <c r="N29" s="325">
        <v>2.9347750577885162E-2</v>
      </c>
      <c r="O29" s="325">
        <v>0</v>
      </c>
      <c r="P29" s="282"/>
      <c r="Q29" s="282"/>
      <c r="R29" s="282"/>
      <c r="S29" s="282"/>
      <c r="T29" s="282"/>
      <c r="U29" s="282"/>
      <c r="V29" s="282"/>
      <c r="W29" s="282"/>
    </row>
    <row r="30" spans="2:23" ht="21">
      <c r="B30" s="37" t="s">
        <v>405</v>
      </c>
      <c r="C30" s="325">
        <v>4.2219162782118867E-2</v>
      </c>
      <c r="D30" s="325">
        <v>0</v>
      </c>
      <c r="E30" s="325">
        <v>4.9287569420688564E-2</v>
      </c>
      <c r="F30" s="325">
        <v>0</v>
      </c>
      <c r="G30" s="325">
        <v>0.34217787785454451</v>
      </c>
      <c r="H30" s="325">
        <v>7.2762867535445489E-4</v>
      </c>
      <c r="I30" s="325">
        <v>6.0559207298674082E-2</v>
      </c>
      <c r="J30" s="325">
        <v>2.4892857135912376E-2</v>
      </c>
      <c r="K30" s="325">
        <v>0</v>
      </c>
      <c r="L30" s="325">
        <v>3.2412092576798057E-2</v>
      </c>
      <c r="M30" s="325">
        <v>0</v>
      </c>
      <c r="N30" s="325">
        <v>0</v>
      </c>
      <c r="O30" s="325">
        <v>0</v>
      </c>
      <c r="P30" s="282"/>
      <c r="Q30" s="282"/>
      <c r="R30" s="282"/>
      <c r="S30" s="282"/>
      <c r="T30" s="282"/>
      <c r="U30" s="282"/>
      <c r="V30" s="282"/>
      <c r="W30" s="282"/>
    </row>
    <row r="31" spans="2:23" ht="21">
      <c r="B31" s="346" t="s">
        <v>367</v>
      </c>
      <c r="C31" s="344">
        <v>0</v>
      </c>
      <c r="D31" s="344">
        <v>0.22899882173733926</v>
      </c>
      <c r="E31" s="344">
        <v>6.2515206379492372E-2</v>
      </c>
      <c r="F31" s="344">
        <v>1.7363281884222133E-3</v>
      </c>
      <c r="G31" s="344">
        <v>0</v>
      </c>
      <c r="H31" s="344">
        <v>4.9018712225071315E-2</v>
      </c>
      <c r="I31" s="344">
        <v>2.535742720441363E-2</v>
      </c>
      <c r="J31" s="344">
        <v>9.0912495346095093E-2</v>
      </c>
      <c r="K31" s="344">
        <v>3.0694978588622288E-2</v>
      </c>
      <c r="L31" s="344">
        <v>0</v>
      </c>
      <c r="M31" s="344">
        <v>0</v>
      </c>
      <c r="N31" s="344">
        <v>9.2568622488193961E-2</v>
      </c>
      <c r="O31" s="344">
        <v>0.24125128608276125</v>
      </c>
      <c r="P31" s="282"/>
      <c r="Q31" s="282"/>
      <c r="R31" s="282"/>
      <c r="S31" s="282"/>
      <c r="T31" s="282"/>
      <c r="U31" s="282"/>
      <c r="V31" s="282"/>
      <c r="W31" s="282"/>
    </row>
    <row r="32" spans="2:23" ht="21">
      <c r="B32" s="37" t="s">
        <v>393</v>
      </c>
      <c r="C32" s="325">
        <v>0</v>
      </c>
      <c r="D32" s="325">
        <v>0</v>
      </c>
      <c r="E32" s="325">
        <v>0</v>
      </c>
      <c r="F32" s="325">
        <v>0</v>
      </c>
      <c r="G32" s="325">
        <v>0</v>
      </c>
      <c r="H32" s="325">
        <v>0</v>
      </c>
      <c r="I32" s="325">
        <v>0</v>
      </c>
      <c r="J32" s="325">
        <v>5.3644552059490133E-2</v>
      </c>
      <c r="K32" s="325">
        <v>3.0694978588622288E-2</v>
      </c>
      <c r="L32" s="325">
        <v>0</v>
      </c>
      <c r="M32" s="325">
        <v>0</v>
      </c>
      <c r="N32" s="325">
        <v>0</v>
      </c>
      <c r="O32" s="325">
        <v>0</v>
      </c>
      <c r="P32" s="282"/>
      <c r="Q32" s="282"/>
      <c r="R32" s="282"/>
      <c r="S32" s="282"/>
      <c r="T32" s="282"/>
      <c r="U32" s="282"/>
      <c r="V32" s="282"/>
      <c r="W32" s="282"/>
    </row>
    <row r="33" spans="2:23" ht="21">
      <c r="B33" s="37" t="s">
        <v>394</v>
      </c>
      <c r="C33" s="325">
        <v>0</v>
      </c>
      <c r="D33" s="325">
        <v>0</v>
      </c>
      <c r="E33" s="325">
        <v>0</v>
      </c>
      <c r="F33" s="325">
        <v>0</v>
      </c>
      <c r="G33" s="325">
        <v>0</v>
      </c>
      <c r="H33" s="325">
        <v>2.0141917090153936E-4</v>
      </c>
      <c r="I33" s="325">
        <v>0</v>
      </c>
      <c r="J33" s="325">
        <v>0</v>
      </c>
      <c r="K33" s="325">
        <v>0</v>
      </c>
      <c r="L33" s="325">
        <v>0</v>
      </c>
      <c r="M33" s="325">
        <v>0</v>
      </c>
      <c r="N33" s="325">
        <v>0</v>
      </c>
      <c r="O33" s="325">
        <v>0</v>
      </c>
      <c r="P33" s="282"/>
      <c r="Q33" s="282"/>
      <c r="R33" s="282"/>
      <c r="S33" s="282"/>
      <c r="T33" s="282"/>
      <c r="U33" s="282"/>
      <c r="V33" s="282"/>
      <c r="W33" s="282"/>
    </row>
    <row r="34" spans="2:23" ht="21">
      <c r="B34" s="37" t="s">
        <v>395</v>
      </c>
      <c r="C34" s="325">
        <v>0</v>
      </c>
      <c r="D34" s="325">
        <v>0</v>
      </c>
      <c r="E34" s="325">
        <v>0</v>
      </c>
      <c r="F34" s="325">
        <v>0</v>
      </c>
      <c r="G34" s="325">
        <v>0</v>
      </c>
      <c r="H34" s="325">
        <v>4.8817293054169771E-2</v>
      </c>
      <c r="I34" s="325">
        <v>2.535742720441363E-2</v>
      </c>
      <c r="J34" s="325">
        <v>0</v>
      </c>
      <c r="K34" s="325">
        <v>0</v>
      </c>
      <c r="L34" s="325">
        <v>0</v>
      </c>
      <c r="M34" s="325">
        <v>0</v>
      </c>
      <c r="N34" s="325">
        <v>0</v>
      </c>
      <c r="O34" s="325">
        <v>0.24125128608276125</v>
      </c>
      <c r="P34" s="282"/>
      <c r="Q34" s="282"/>
      <c r="R34" s="282"/>
      <c r="S34" s="282"/>
      <c r="T34" s="282"/>
      <c r="U34" s="282"/>
      <c r="V34" s="282"/>
      <c r="W34" s="282"/>
    </row>
    <row r="35" spans="2:23" ht="21">
      <c r="B35" s="37" t="s">
        <v>396</v>
      </c>
      <c r="C35" s="325">
        <v>0</v>
      </c>
      <c r="D35" s="325">
        <v>0.11928338674795988</v>
      </c>
      <c r="E35" s="325">
        <v>0</v>
      </c>
      <c r="F35" s="325">
        <v>0</v>
      </c>
      <c r="G35" s="325">
        <v>0</v>
      </c>
      <c r="H35" s="325">
        <v>0</v>
      </c>
      <c r="I35" s="325">
        <v>0</v>
      </c>
      <c r="J35" s="325">
        <v>0</v>
      </c>
      <c r="K35" s="325">
        <v>0</v>
      </c>
      <c r="L35" s="325">
        <v>0</v>
      </c>
      <c r="M35" s="325">
        <v>0</v>
      </c>
      <c r="N35" s="325">
        <v>0</v>
      </c>
      <c r="O35" s="325">
        <v>0</v>
      </c>
      <c r="P35" s="282"/>
      <c r="Q35" s="282"/>
      <c r="R35" s="282"/>
      <c r="S35" s="282"/>
      <c r="T35" s="282"/>
      <c r="U35" s="282"/>
      <c r="V35" s="282"/>
      <c r="W35" s="282"/>
    </row>
    <row r="36" spans="2:23" ht="21">
      <c r="B36" s="37" t="s">
        <v>397</v>
      </c>
      <c r="C36" s="325">
        <v>0</v>
      </c>
      <c r="D36" s="325">
        <v>0</v>
      </c>
      <c r="E36" s="325">
        <v>6.2515206379492372E-2</v>
      </c>
      <c r="F36" s="325">
        <v>1.7363281884222133E-3</v>
      </c>
      <c r="G36" s="325">
        <v>0</v>
      </c>
      <c r="H36" s="325">
        <v>0</v>
      </c>
      <c r="I36" s="325">
        <v>0</v>
      </c>
      <c r="J36" s="325">
        <v>0</v>
      </c>
      <c r="K36" s="325">
        <v>0</v>
      </c>
      <c r="L36" s="325">
        <v>0</v>
      </c>
      <c r="M36" s="325">
        <v>0</v>
      </c>
      <c r="N36" s="325">
        <v>0</v>
      </c>
      <c r="O36" s="325">
        <v>0</v>
      </c>
      <c r="P36" s="282"/>
      <c r="Q36" s="282"/>
      <c r="R36" s="282"/>
      <c r="S36" s="282"/>
      <c r="T36" s="282"/>
      <c r="U36" s="282"/>
      <c r="V36" s="282"/>
      <c r="W36" s="282"/>
    </row>
    <row r="37" spans="2:23" ht="21">
      <c r="B37" s="37" t="s">
        <v>398</v>
      </c>
      <c r="C37" s="325">
        <v>0</v>
      </c>
      <c r="D37" s="325">
        <v>0</v>
      </c>
      <c r="E37" s="325">
        <v>0</v>
      </c>
      <c r="F37" s="325">
        <v>0</v>
      </c>
      <c r="G37" s="325">
        <v>0</v>
      </c>
      <c r="H37" s="325">
        <v>0</v>
      </c>
      <c r="I37" s="325">
        <v>0</v>
      </c>
      <c r="J37" s="325">
        <v>3.7267943286604974E-2</v>
      </c>
      <c r="K37" s="325">
        <v>0</v>
      </c>
      <c r="L37" s="325">
        <v>0</v>
      </c>
      <c r="M37" s="325">
        <v>0</v>
      </c>
      <c r="N37" s="325">
        <v>9.2568622488193961E-2</v>
      </c>
      <c r="O37" s="325">
        <v>0</v>
      </c>
      <c r="P37" s="282"/>
      <c r="Q37" s="282"/>
      <c r="R37" s="282"/>
      <c r="S37" s="282"/>
      <c r="T37" s="282"/>
      <c r="U37" s="282"/>
      <c r="V37" s="282"/>
      <c r="W37" s="282"/>
    </row>
    <row r="38" spans="2:23" ht="21">
      <c r="B38" s="37" t="s">
        <v>399</v>
      </c>
      <c r="C38" s="325">
        <v>0</v>
      </c>
      <c r="D38" s="325">
        <v>0.1097154349893794</v>
      </c>
      <c r="E38" s="325">
        <v>0</v>
      </c>
      <c r="F38" s="325">
        <v>0</v>
      </c>
      <c r="G38" s="325">
        <v>0</v>
      </c>
      <c r="H38" s="325">
        <v>0</v>
      </c>
      <c r="I38" s="325">
        <v>0</v>
      </c>
      <c r="J38" s="325">
        <v>0</v>
      </c>
      <c r="K38" s="325">
        <v>0</v>
      </c>
      <c r="L38" s="325">
        <v>0</v>
      </c>
      <c r="M38" s="325">
        <v>0</v>
      </c>
      <c r="N38" s="325">
        <v>0</v>
      </c>
      <c r="O38" s="325">
        <v>0</v>
      </c>
      <c r="P38" s="282"/>
      <c r="Q38" s="282"/>
      <c r="R38" s="282"/>
      <c r="S38" s="282"/>
      <c r="T38" s="282"/>
      <c r="U38" s="282"/>
      <c r="V38" s="282"/>
      <c r="W38" s="282"/>
    </row>
    <row r="39" spans="2:23" ht="21">
      <c r="B39" s="346" t="s">
        <v>400</v>
      </c>
      <c r="C39" s="344">
        <v>0</v>
      </c>
      <c r="D39" s="344">
        <v>0</v>
      </c>
      <c r="E39" s="344">
        <v>0</v>
      </c>
      <c r="F39" s="344">
        <v>9.2513098665269161E-2</v>
      </c>
      <c r="G39" s="344">
        <v>0</v>
      </c>
      <c r="H39" s="344">
        <v>0</v>
      </c>
      <c r="I39" s="344">
        <v>0</v>
      </c>
      <c r="J39" s="344">
        <v>3.2465279623073127E-2</v>
      </c>
      <c r="K39" s="344">
        <v>0.13771386757146337</v>
      </c>
      <c r="L39" s="344">
        <v>0</v>
      </c>
      <c r="M39" s="344">
        <v>0</v>
      </c>
      <c r="N39" s="344">
        <v>0</v>
      </c>
      <c r="O39" s="344">
        <v>0</v>
      </c>
      <c r="P39" s="282"/>
      <c r="Q39" s="282"/>
      <c r="R39" s="282"/>
      <c r="S39" s="282"/>
      <c r="T39" s="282"/>
      <c r="U39" s="282"/>
      <c r="V39" s="282"/>
      <c r="W39" s="282"/>
    </row>
    <row r="40" spans="2:23" ht="21">
      <c r="B40" s="37" t="s">
        <v>401</v>
      </c>
      <c r="C40" s="325">
        <v>0</v>
      </c>
      <c r="D40" s="325">
        <v>0</v>
      </c>
      <c r="E40" s="325">
        <v>0</v>
      </c>
      <c r="F40" s="325">
        <v>0</v>
      </c>
      <c r="G40" s="325">
        <v>0</v>
      </c>
      <c r="H40" s="325">
        <v>0</v>
      </c>
      <c r="I40" s="325">
        <v>0</v>
      </c>
      <c r="J40" s="325">
        <v>0</v>
      </c>
      <c r="K40" s="325">
        <v>8.6629897021937755E-2</v>
      </c>
      <c r="L40" s="325">
        <v>0</v>
      </c>
      <c r="M40" s="325">
        <v>0</v>
      </c>
      <c r="N40" s="325">
        <v>0</v>
      </c>
      <c r="O40" s="325">
        <v>0</v>
      </c>
      <c r="P40" s="282"/>
      <c r="Q40" s="282"/>
      <c r="R40" s="282"/>
      <c r="S40" s="282"/>
      <c r="T40" s="282"/>
      <c r="U40" s="282"/>
      <c r="V40" s="282"/>
      <c r="W40" s="282"/>
    </row>
    <row r="41" spans="2:23" ht="21">
      <c r="B41" s="37" t="s">
        <v>402</v>
      </c>
      <c r="C41" s="325">
        <v>0</v>
      </c>
      <c r="D41" s="325">
        <v>0</v>
      </c>
      <c r="E41" s="325">
        <v>0</v>
      </c>
      <c r="F41" s="325">
        <v>9.2513098665269161E-2</v>
      </c>
      <c r="G41" s="325">
        <v>0</v>
      </c>
      <c r="H41" s="325">
        <v>0</v>
      </c>
      <c r="I41" s="325">
        <v>0</v>
      </c>
      <c r="J41" s="325">
        <v>3.20426184521415E-2</v>
      </c>
      <c r="K41" s="325">
        <v>5.1083970549525619E-2</v>
      </c>
      <c r="L41" s="325">
        <v>0</v>
      </c>
      <c r="M41" s="325">
        <v>0</v>
      </c>
      <c r="N41" s="325">
        <v>0</v>
      </c>
      <c r="O41" s="325">
        <v>0</v>
      </c>
      <c r="P41" s="282"/>
      <c r="Q41" s="282"/>
      <c r="R41" s="282"/>
      <c r="S41" s="282"/>
      <c r="T41" s="282"/>
      <c r="U41" s="282"/>
      <c r="V41" s="282"/>
      <c r="W41" s="282"/>
    </row>
    <row r="42" spans="2:23" ht="21">
      <c r="B42" s="37" t="s">
        <v>403</v>
      </c>
      <c r="C42" s="342">
        <v>0</v>
      </c>
      <c r="D42" s="342">
        <v>0</v>
      </c>
      <c r="E42" s="342">
        <v>0</v>
      </c>
      <c r="F42" s="342">
        <v>0</v>
      </c>
      <c r="G42" s="342">
        <v>0</v>
      </c>
      <c r="H42" s="342">
        <v>0</v>
      </c>
      <c r="I42" s="342">
        <v>0</v>
      </c>
      <c r="J42" s="342">
        <v>4.2266117093162916E-4</v>
      </c>
      <c r="K42" s="342">
        <v>0</v>
      </c>
      <c r="L42" s="342">
        <v>0</v>
      </c>
      <c r="M42" s="342">
        <v>0</v>
      </c>
      <c r="N42" s="342">
        <v>0</v>
      </c>
      <c r="O42" s="342">
        <v>0</v>
      </c>
      <c r="P42" s="282"/>
      <c r="Q42" s="282"/>
      <c r="R42" s="282"/>
      <c r="S42" s="282"/>
      <c r="T42" s="282"/>
      <c r="U42" s="282"/>
      <c r="V42" s="282"/>
      <c r="W42" s="282"/>
    </row>
    <row r="43" spans="2:23" ht="21">
      <c r="B43" s="347" t="s">
        <v>17</v>
      </c>
      <c r="C43" s="345">
        <v>1</v>
      </c>
      <c r="D43" s="345">
        <v>1</v>
      </c>
      <c r="E43" s="345">
        <v>1</v>
      </c>
      <c r="F43" s="345">
        <v>1</v>
      </c>
      <c r="G43" s="345">
        <v>1</v>
      </c>
      <c r="H43" s="345">
        <v>1</v>
      </c>
      <c r="I43" s="345">
        <v>1</v>
      </c>
      <c r="J43" s="345">
        <v>1</v>
      </c>
      <c r="K43" s="345">
        <v>1</v>
      </c>
      <c r="L43" s="345">
        <v>1</v>
      </c>
      <c r="M43" s="345">
        <v>1</v>
      </c>
      <c r="N43" s="345">
        <v>1</v>
      </c>
      <c r="O43" s="345">
        <v>1</v>
      </c>
      <c r="P43" s="282"/>
      <c r="Q43" s="282"/>
      <c r="R43" s="282"/>
      <c r="S43" s="282"/>
      <c r="T43" s="282"/>
      <c r="U43" s="282"/>
      <c r="V43" s="282"/>
      <c r="W43" s="282"/>
    </row>
    <row r="45" spans="2:23">
      <c r="C45" s="350"/>
      <c r="D45" s="350"/>
      <c r="E45" s="350"/>
      <c r="F45" s="350"/>
      <c r="G45" s="350"/>
      <c r="H45" s="350"/>
      <c r="I45" s="350"/>
      <c r="J45" s="350"/>
      <c r="K45" s="350"/>
      <c r="L45" s="350"/>
    </row>
  </sheetData>
  <phoneticPr fontId="59"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CAPA</vt:lpstr>
      <vt:lpstr>Usiminas</vt:lpstr>
      <vt:lpstr>Ações e grupo de controle</vt:lpstr>
      <vt:lpstr>Materias primas e energia</vt:lpstr>
      <vt:lpstr>Produção e Capacidades SID</vt:lpstr>
      <vt:lpstr>Vendas por Segmento</vt:lpstr>
      <vt:lpstr>Vendas por Produto</vt:lpstr>
      <vt:lpstr>CPP Siderurgia</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vt:lpstr>
      <vt:lpstr>Capital de Giro</vt:lpstr>
      <vt:lpstr>Dívida</vt:lpstr>
      <vt:lpstr>Indicadores</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2023-07-24T19:25:20Z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