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Y:\02. GERCONTROLADORIA\01. CONTABILIDADE\01_NOVO AMBIENTE\07_AUDITORIA\EXTERNA\2023\4 TRI\Release e Relatório da Administração\2023\4T23\Planilha de Resultados\"/>
    </mc:Choice>
  </mc:AlternateContent>
  <xr:revisionPtr revIDLastSave="0" documentId="13_ncr:1_{AEE47C0A-B0D0-46CB-A47D-C60AE6BE351E}" xr6:coauthVersionLast="47" xr6:coauthVersionMax="47" xr10:uidLastSave="{00000000-0000-0000-0000-000000000000}"/>
  <bookViews>
    <workbookView xWindow="20370" yWindow="-120" windowWidth="29040" windowHeight="15990" tabRatio="797" firstSheet="1" activeTab="2" xr2:uid="{00000000-000D-0000-FFFF-FFFF00000000}"/>
  </bookViews>
  <sheets>
    <sheet name="Fool" sheetId="1" state="hidden" r:id="rId1"/>
    <sheet name="Índice" sheetId="791" r:id="rId2"/>
    <sheet name="Resultados Operacionais" sheetId="786" r:id="rId3"/>
    <sheet name="Resultados Financeiros" sheetId="787" r:id="rId4"/>
    <sheet name="Extrato Balanço Patrimonial" sheetId="790" r:id="rId5"/>
    <sheet name="Dívida" sheetId="78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788" l="1"/>
  <c r="C7" i="788"/>
  <c r="D16" i="790"/>
  <c r="C22" i="790"/>
  <c r="C21" i="790"/>
  <c r="C20" i="790"/>
  <c r="C18" i="790"/>
  <c r="C17" i="790"/>
  <c r="C10" i="790"/>
  <c r="C19" i="790" s="1"/>
  <c r="C7" i="790"/>
  <c r="C16" i="790" s="1"/>
  <c r="D46" i="787"/>
  <c r="D45" i="787"/>
  <c r="D44" i="787"/>
  <c r="D43" i="787"/>
  <c r="D42" i="787"/>
  <c r="D41" i="787"/>
  <c r="D40" i="787"/>
  <c r="D39" i="787"/>
  <c r="D38" i="787"/>
  <c r="D37" i="787"/>
  <c r="D36" i="787"/>
  <c r="D35" i="787"/>
  <c r="D34" i="787"/>
  <c r="D33" i="787"/>
  <c r="D32" i="787"/>
  <c r="D31" i="787"/>
  <c r="D30" i="787"/>
  <c r="D29" i="787"/>
  <c r="D28" i="787"/>
  <c r="D10" i="787"/>
  <c r="E10" i="787"/>
  <c r="C13" i="788" l="1"/>
  <c r="D22" i="787"/>
  <c r="D20" i="787"/>
  <c r="D11" i="787"/>
  <c r="C30" i="786"/>
  <c r="C29" i="786"/>
  <c r="C28" i="786"/>
  <c r="C26" i="786"/>
  <c r="C25" i="786"/>
  <c r="C23" i="786"/>
  <c r="C22" i="786"/>
  <c r="C21" i="786"/>
  <c r="C8" i="786" l="1"/>
  <c r="D10" i="788"/>
  <c r="D7" i="788"/>
  <c r="D13" i="788" s="1"/>
  <c r="D7" i="790"/>
  <c r="D10" i="790"/>
  <c r="E20" i="787"/>
  <c r="E11" i="787" l="1"/>
  <c r="E7" i="787"/>
  <c r="E22" i="787"/>
  <c r="D8" i="786"/>
  <c r="D22" i="786" l="1"/>
  <c r="E10" i="790"/>
  <c r="E7" i="790"/>
  <c r="F22" i="787"/>
  <c r="F11" i="787"/>
  <c r="F7" i="787"/>
  <c r="E10" i="788" l="1"/>
  <c r="E7" i="788"/>
  <c r="E13" i="788" s="1"/>
  <c r="F8" i="786" l="1"/>
  <c r="E8" i="786"/>
  <c r="F10" i="788"/>
  <c r="F13" i="788" s="1"/>
  <c r="F7" i="788"/>
  <c r="F10" i="790" l="1"/>
  <c r="F7" i="790"/>
  <c r="G22" i="787"/>
  <c r="G11" i="787"/>
  <c r="G7" i="787"/>
  <c r="G10" i="788" l="1"/>
  <c r="G7" i="788"/>
  <c r="G13" i="788" s="1"/>
  <c r="D18" i="790"/>
  <c r="D19" i="790"/>
  <c r="D20" i="790"/>
  <c r="D21" i="790"/>
  <c r="D22" i="790"/>
  <c r="D17" i="790"/>
  <c r="G10" i="790"/>
  <c r="G7" i="790"/>
  <c r="E46" i="787" l="1"/>
  <c r="E45" i="787"/>
  <c r="E44" i="787"/>
  <c r="E42" i="787"/>
  <c r="E41" i="787"/>
  <c r="E40" i="787"/>
  <c r="E39" i="787"/>
  <c r="E38" i="787"/>
  <c r="E36" i="787"/>
  <c r="E35" i="787"/>
  <c r="E34" i="787"/>
  <c r="E33" i="787"/>
  <c r="E30" i="787"/>
  <c r="H8" i="787"/>
  <c r="E29" i="787" s="1"/>
  <c r="H22" i="787" l="1"/>
  <c r="E43" i="787" s="1"/>
  <c r="H11" i="787"/>
  <c r="E32" i="787" s="1"/>
  <c r="D30" i="786" l="1"/>
  <c r="D29" i="786"/>
  <c r="D28" i="786"/>
  <c r="D26" i="786"/>
  <c r="D25" i="786"/>
  <c r="D23" i="786"/>
  <c r="I30" i="786"/>
  <c r="H30" i="786"/>
  <c r="G30" i="786"/>
  <c r="H29" i="786"/>
  <c r="G29" i="786"/>
  <c r="G28" i="786"/>
  <c r="H26" i="786"/>
  <c r="F30" i="786"/>
  <c r="F29" i="786"/>
  <c r="F28" i="786"/>
  <c r="F26" i="786"/>
  <c r="F25" i="786"/>
  <c r="F23" i="786"/>
  <c r="F22" i="786"/>
  <c r="F21" i="786"/>
  <c r="E30" i="786"/>
  <c r="E29" i="786"/>
  <c r="E28" i="786"/>
  <c r="E26" i="786"/>
  <c r="E25" i="786"/>
  <c r="E23" i="786"/>
  <c r="E22" i="786"/>
  <c r="E21" i="786"/>
  <c r="G8" i="786"/>
  <c r="D21" i="786" s="1"/>
  <c r="I10" i="787" l="1"/>
  <c r="J10" i="787"/>
  <c r="H10" i="787" l="1"/>
  <c r="J16" i="787"/>
  <c r="E37" i="787" s="1"/>
  <c r="H7" i="787" l="1"/>
  <c r="E28" i="787" s="1"/>
  <c r="E31" i="787"/>
  <c r="M16" i="787"/>
  <c r="N16" i="787" l="1"/>
  <c r="U16" i="787" l="1"/>
  <c r="Q16" i="787"/>
  <c r="U11" i="787" l="1"/>
  <c r="T16" i="787" l="1"/>
  <c r="H37" i="787"/>
  <c r="E344" i="1" l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E213" i="1" s="1"/>
  <c r="B213" i="1"/>
  <c r="D212" i="1"/>
  <c r="D211" i="1" s="1"/>
  <c r="C225" i="1" s="1"/>
  <c r="D225" i="1" s="1"/>
  <c r="E225" i="1" s="1"/>
  <c r="C212" i="1"/>
  <c r="C211" i="1" s="1"/>
  <c r="B212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E13" i="1" s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E11" i="1" l="1"/>
  <c r="F225" i="1"/>
  <c r="G225" i="1" s="1"/>
  <c r="E214" i="1"/>
  <c r="E10" i="1"/>
  <c r="E33" i="1"/>
  <c r="E35" i="1"/>
  <c r="D202" i="1"/>
  <c r="G197" i="1" s="1"/>
  <c r="H197" i="1" s="1"/>
  <c r="I197" i="1" s="1"/>
  <c r="J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H225" i="1"/>
  <c r="I225" i="1" s="1"/>
  <c r="J225" i="1" s="1"/>
  <c r="K225" i="1" s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D233" i="1" l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  <c r="D7" i="787" l="1"/>
</calcChain>
</file>

<file path=xl/sharedStrings.xml><?xml version="1.0" encoding="utf-8"?>
<sst xmlns="http://schemas.openxmlformats.org/spreadsheetml/2006/main" count="461" uniqueCount="217">
  <si>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</si>
  <si>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</si>
  <si>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</si>
  <si>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</si>
  <si>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</si>
  <si>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</si>
  <si>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</si>
  <si>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</si>
  <si>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</si>
  <si>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</si>
  <si>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</si>
  <si>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</si>
  <si>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</si>
  <si>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</si>
  <si>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</si>
  <si>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</si>
  <si>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</si>
  <si>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</si>
  <si>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</si>
  <si>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</si>
  <si>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</si>
  <si>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</si>
  <si>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</si>
  <si>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</si>
  <si>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</si>
  <si>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</si>
  <si>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</si>
  <si>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</si>
  <si>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</si>
  <si>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</si>
  <si>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</si>
  <si>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</si>
  <si>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</si>
  <si>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3T13</t>
  </si>
  <si>
    <t>3T14</t>
  </si>
  <si>
    <t>4T14</t>
  </si>
  <si>
    <t>4T13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</si>
  <si>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</si>
  <si>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</si>
  <si>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</si>
  <si>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</si>
  <si>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</si>
  <si>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</si>
  <si>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</si>
  <si>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</si>
  <si>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</si>
  <si>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</si>
  <si>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</si>
  <si>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</si>
  <si>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</si>
  <si>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</si>
  <si>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</si>
  <si>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2T13</t>
  </si>
  <si>
    <t>1T14</t>
  </si>
  <si>
    <t>2T14</t>
  </si>
  <si>
    <t>Custos e Despesas Operacionais (Visão Pró-forma)</t>
  </si>
  <si>
    <t>Variação</t>
  </si>
  <si>
    <t>Evolução do EBITDA Ajustado (Visão Pró-forma)</t>
  </si>
  <si>
    <t>Holding² + Eliminações</t>
  </si>
  <si>
    <t>Rodovias (MM)</t>
  </si>
  <si>
    <t>Veículos Equivalentes Pagantes - VEPs</t>
  </si>
  <si>
    <t>Mobilidade Urbana (MM)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</si>
  <si>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</si>
  <si>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</si>
  <si>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</si>
  <si>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</si>
  <si>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</si>
  <si>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</si>
  <si>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</si>
  <si>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</si>
  <si>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</si>
  <si>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</si>
  <si>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</si>
  <si>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</si>
  <si>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</si>
  <si>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</si>
  <si>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</si>
  <si>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</si>
  <si>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1T13</t>
  </si>
  <si>
    <t>1T15</t>
  </si>
  <si>
    <t>Receita Líquida (Visão Pró-forma)</t>
  </si>
  <si>
    <t>CAGR 2008 - 1T15</t>
  </si>
  <si>
    <t>Veículos leves</t>
  </si>
  <si>
    <t>2T15</t>
  </si>
  <si>
    <t>Veículos pesados</t>
  </si>
  <si>
    <t>3T15</t>
  </si>
  <si>
    <t>4T15</t>
  </si>
  <si>
    <t>Passageiros Total (MM)</t>
  </si>
  <si>
    <t>Passageiros Pagantes</t>
  </si>
  <si>
    <t>Passageiros Transportados</t>
  </si>
  <si>
    <t>Movimento total de Aeronaves (Mil)</t>
  </si>
  <si>
    <t xml:space="preserve">Custos &amp; Despesas Operacionais 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</si>
  <si>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</si>
  <si>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</si>
  <si>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</si>
  <si>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</si>
  <si>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</si>
  <si>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</si>
  <si>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</si>
  <si>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</si>
  <si>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</si>
  <si>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Ativo</t>
  </si>
  <si>
    <t xml:space="preserve">Ativo Não Circulante </t>
  </si>
  <si>
    <t>Passivo + Patrimonio Liquido</t>
  </si>
  <si>
    <t xml:space="preserve">Passivo Circulante </t>
  </si>
  <si>
    <t xml:space="preserve">Passivo Não Circulante </t>
  </si>
  <si>
    <t>Resultado Financeiro</t>
  </si>
  <si>
    <t>Receita Financeira</t>
  </si>
  <si>
    <t>Despesa Financeira</t>
  </si>
  <si>
    <t>2T18</t>
  </si>
  <si>
    <t>Lucro/Prejuízo Líquido</t>
  </si>
  <si>
    <t>3T18</t>
  </si>
  <si>
    <t>Carga Total (Toneladas)</t>
  </si>
  <si>
    <t>4T18</t>
  </si>
  <si>
    <t xml:space="preserve">Patrimônio Líquido </t>
  </si>
  <si>
    <t xml:space="preserve">Ativo Circulante </t>
  </si>
  <si>
    <t>1T19</t>
  </si>
  <si>
    <t>2T19</t>
  </si>
  <si>
    <t>Trimestre</t>
  </si>
  <si>
    <t>Ano</t>
  </si>
  <si>
    <t>Balanço Patrimonial - R$ milhões</t>
  </si>
  <si>
    <t>Dívida - R$ milhões</t>
  </si>
  <si>
    <t>Resultados Operacionais</t>
  </si>
  <si>
    <t>Resultados Financeiros - R$ milhões</t>
  </si>
  <si>
    <t>Período</t>
  </si>
  <si>
    <t>3T19</t>
  </si>
  <si>
    <t>4T19</t>
  </si>
  <si>
    <t>Disclaimer:</t>
  </si>
  <si>
    <t>1T20¹</t>
  </si>
  <si>
    <t>1T20</t>
  </si>
  <si>
    <t>2T20¹</t>
  </si>
  <si>
    <t>2T20</t>
  </si>
  <si>
    <t>4T19¹</t>
  </si>
  <si>
    <t>3T19¹</t>
  </si>
  <si>
    <t>2T19¹</t>
  </si>
  <si>
    <t>1T19¹</t>
  </si>
  <si>
    <t>4T18¹</t>
  </si>
  <si>
    <t>3T18¹</t>
  </si>
  <si>
    <t>2T18¹</t>
  </si>
  <si>
    <t>1T18¹</t>
  </si>
  <si>
    <t>2019¹</t>
  </si>
  <si>
    <t>2018¹</t>
  </si>
  <si>
    <t>Notas</t>
  </si>
  <si>
    <t>(1) Nestes períodos deixaram de ser consolidados os resultados da CART, cuja venda foi conluída em abril de 2020, e da Via 040, operação descontinuada</t>
  </si>
  <si>
    <r>
      <t xml:space="preserve">(3) Desconsidera os impactos do IFRS em relação ao Custo de Construção e à Provisão para Manutenção e os lançamentos de </t>
    </r>
    <r>
      <rPr>
        <i/>
        <sz val="10"/>
        <color theme="1"/>
        <rFont val="Calibri"/>
        <family val="2"/>
        <scheme val="minor"/>
      </rPr>
      <t>Impairment</t>
    </r>
  </si>
  <si>
    <r>
      <t>Custos &amp; Despesas Operacionais Ajustados</t>
    </r>
    <r>
      <rPr>
        <b/>
        <vertAlign val="superscript"/>
        <sz val="11"/>
        <color theme="1" tint="0.249977111117893"/>
        <rFont val="Calibri"/>
        <family val="2"/>
        <scheme val="minor"/>
      </rPr>
      <t>(3)</t>
    </r>
  </si>
  <si>
    <t>3T20¹</t>
  </si>
  <si>
    <t>3T20</t>
  </si>
  <si>
    <t>4T20</t>
  </si>
  <si>
    <t>4T20¹ ²</t>
  </si>
  <si>
    <r>
      <t xml:space="preserve">EBITDA Ajustado </t>
    </r>
    <r>
      <rPr>
        <b/>
        <vertAlign val="superscript"/>
        <sz val="11"/>
        <color theme="1" tint="0.249977111117893"/>
        <rFont val="Calibri"/>
        <family val="2"/>
        <scheme val="minor"/>
      </rPr>
      <t>(2,3)</t>
    </r>
  </si>
  <si>
    <r>
      <t xml:space="preserve">Receita Líquida Ajustada </t>
    </r>
    <r>
      <rPr>
        <b/>
        <vertAlign val="superscript"/>
        <sz val="11"/>
        <color theme="1" tint="0.249977111117893"/>
        <rFont val="Calibri"/>
        <family val="2"/>
        <scheme val="minor"/>
      </rPr>
      <t>(2)</t>
    </r>
  </si>
  <si>
    <t>(2) Desconsidera os impactos do IFRS em relação à Receita de Construção, efeito da venda da LAMSAC e da PEX Peru, ocorrido em 2016</t>
  </si>
  <si>
    <t>(4) Inclui lançamentos de impairments</t>
  </si>
  <si>
    <r>
      <t>Despesas Adm. e outras Receitas/Despesas Operacionais</t>
    </r>
    <r>
      <rPr>
        <vertAlign val="superscript"/>
        <sz val="11"/>
        <color theme="1" tint="0.249977111117893"/>
        <rFont val="Calibri"/>
        <family val="2"/>
        <scheme val="minor"/>
      </rPr>
      <t>(4)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</si>
  <si>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</si>
  <si>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</si>
  <si>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</si>
  <si>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</si>
  <si>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1T21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</si>
  <si>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</si>
  <si>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1T21¹ ²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</si>
  <si>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</si>
  <si>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</si>
  <si>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2T21¹ ²</t>
  </si>
  <si>
    <t>2T21</t>
  </si>
  <si>
    <r>
      <t>2T21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</si>
  <si>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3T21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</si>
  <si>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3T21¹ ²</t>
  </si>
  <si>
    <t>3T21</t>
  </si>
  <si>
    <r>
      <t>3T21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</si>
  <si>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4T21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</si>
  <si>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2021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</si>
  <si>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¹ Os resultados de Rodovias desconsideram os VEPs da CART, cuja venda foi conluída em abril de 2020, da CRA e da CBN, ativos mantidos para venda, e da Via 040, operação descontinuada</t>
  </si>
  <si>
    <r>
      <t>4T21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</si>
  <si>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2021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</si>
  <si>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(5) Nestes períodos deixaram de ser consolidados os resultados de CLN, LAMSA, METRÔRIO E METROBARRA</t>
  </si>
  <si>
    <t>4T21</t>
  </si>
  <si>
    <t>4T21¹ ²</t>
  </si>
  <si>
    <t>1T22</t>
  </si>
  <si>
    <r>
      <t>1T22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</si>
  <si>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1T22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</si>
  <si>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-</t>
  </si>
  <si>
    <t>1T22¹ ²</t>
  </si>
  <si>
    <t>² O resultado de 2020, do 4T20, 1T21, 2T21 e 3T21, 4T21 e 1T22 desconsideram os VEPs da CLN, LAMSA e passageiros de Metrôrio e Metrôbarra</t>
  </si>
  <si>
    <r>
      <t>2T22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</si>
  <si>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</si>
  <si>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2T22</t>
  </si>
  <si>
    <t>2T22¹ ²</t>
  </si>
  <si>
    <r>
      <t>3T22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</si>
  <si>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3T22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</si>
  <si>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3T22</t>
  </si>
  <si>
    <t>3T22¹ ²</t>
  </si>
  <si>
    <r>
      <t>4T22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</si>
  <si>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4T22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</si>
  <si>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2022</t>
    </r>
    <r>
      <rPr>
        <b/>
        <vertAlign val="superscript"/>
        <sz val="12"/>
        <color rgb="FFFFC000"/>
        <rFont val="Calibri"/>
        <family val="2"/>
        <scheme val="minor"/>
      </rPr>
      <t>,5</t>
    </r>
  </si>
  <si>
    <t>4T22</t>
  </si>
  <si>
    <t>4T22¹ ²</t>
  </si>
  <si>
    <r>
      <t>2022</t>
    </r>
    <r>
      <rPr>
        <b/>
        <vertAlign val="superscript"/>
        <sz val="12"/>
        <color rgb="FFFFC000"/>
        <rFont val="Calibri"/>
        <family val="2"/>
        <scheme val="minor"/>
      </rPr>
      <t>,2</t>
    </r>
  </si>
  <si>
    <r>
      <t>1T23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</si>
  <si>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1T23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</si>
  <si>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1T23</t>
  </si>
  <si>
    <t>1T23¹ ²</t>
  </si>
  <si>
    <t>(2) Neste período deixaram de ser consolidados os resultados de CLN, LAMSA, METRÔRIO e METROBARRA</t>
  </si>
  <si>
    <t>2T23¹ ²</t>
  </si>
  <si>
    <r>
      <t>2T23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</si>
  <si>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</si>
  <si>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2T23</t>
  </si>
  <si>
    <r>
      <t>3T23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</si>
  <si>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3T23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</si>
  <si>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t>3T23</t>
  </si>
  <si>
    <t>3T23¹ ²</t>
  </si>
  <si>
    <r>
      <t>4T23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</si>
  <si>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4T23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</si>
  <si>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2023</t>
    </r>
    <r>
      <rPr>
        <b/>
        <vertAlign val="superscript"/>
        <sz val="12"/>
        <color rgb="FFFFC000"/>
        <rFont val="Calibri"/>
        <family val="2"/>
        <scheme val="minor"/>
      </rPr>
      <t>,5</t>
    </r>
  </si>
  <si>
    <t>4T23</t>
  </si>
  <si>
    <t>4T23¹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</si>
</sst>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 tint="0.249977111117893"/>
      <name val="Calibri"/>
      <family val="2"/>
      <scheme val="minor"/>
    </font>
    <font>
      <b/>
      <vertAlign val="superscript"/>
      <sz val="12"/>
      <color rgb="FFFFC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53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166" fontId="0" fillId="0" borderId="25" xfId="1" applyNumberFormat="1" applyFont="1" applyBorder="1" applyAlignment="1">
      <alignment vertical="center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51" fillId="0" borderId="19" xfId="0" applyFont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Border="1" applyAlignment="1" applyProtection="1">
      <alignment horizontal="left" vertical="center" inden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166" fontId="0" fillId="0" borderId="0" xfId="0" applyNumberFormat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Alignment="1">
      <alignment horizontal="center" vertical="center"/>
    </xf>
    <xf numFmtId="4" fontId="54" fillId="0" borderId="0" xfId="0" applyNumberFormat="1" applyFont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Border="1" applyAlignment="1">
      <alignment horizontal="right" vertical="center"/>
    </xf>
    <xf numFmtId="3" fontId="109" fillId="0" borderId="11" xfId="0" applyNumberFormat="1" applyFont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Border="1"/>
    <xf numFmtId="0" fontId="0" fillId="0" borderId="18" xfId="0" applyBorder="1"/>
    <xf numFmtId="0" fontId="0" fillId="0" borderId="76" xfId="0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19" fillId="0" borderId="61" xfId="0" applyFont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Alignment="1">
      <alignment horizontal="center" vertical="center"/>
    </xf>
    <xf numFmtId="180" fontId="54" fillId="0" borderId="0" xfId="0" applyNumberFormat="1" applyFont="1" applyAlignment="1">
      <alignment horizontal="right" vertical="center"/>
    </xf>
    <xf numFmtId="0" fontId="125" fillId="0" borderId="0" xfId="0" applyFont="1"/>
    <xf numFmtId="0" fontId="125" fillId="0" borderId="78" xfId="0" applyFont="1" applyBorder="1"/>
    <xf numFmtId="169" fontId="126" fillId="55" borderId="0" xfId="0" applyNumberFormat="1" applyFont="1" applyFill="1" applyAlignment="1" applyProtection="1">
      <alignment horizontal="left" vertical="center"/>
      <protection locked="0"/>
    </xf>
    <xf numFmtId="165" fontId="126" fillId="55" borderId="0" xfId="0" applyNumberFormat="1" applyFont="1" applyFill="1" applyAlignment="1" applyProtection="1">
      <alignment horizontal="right" vertical="center"/>
      <protection locked="0"/>
    </xf>
    <xf numFmtId="169" fontId="126" fillId="71" borderId="0" xfId="0" applyNumberFormat="1" applyFont="1" applyFill="1" applyAlignment="1" applyProtection="1">
      <alignment vertical="center"/>
      <protection locked="0"/>
    </xf>
    <xf numFmtId="179" fontId="126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55" borderId="0" xfId="0" applyNumberFormat="1" applyFont="1" applyFill="1" applyAlignment="1" applyProtection="1">
      <alignment horizontal="left" vertical="center" indent="3"/>
      <protection locked="0"/>
    </xf>
    <xf numFmtId="179" fontId="127" fillId="55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Alignment="1" applyProtection="1">
      <alignment horizontal="left" vertical="center" indent="3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6" fillId="0" borderId="0" xfId="0" applyNumberFormat="1" applyFont="1" applyAlignment="1" applyProtection="1">
      <alignment horizontal="left" vertical="center"/>
      <protection locked="0"/>
    </xf>
    <xf numFmtId="179" fontId="127" fillId="0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Alignment="1" applyProtection="1">
      <alignment horizontal="left" vertical="center" indent="2"/>
      <protection locked="0"/>
    </xf>
    <xf numFmtId="169" fontId="127" fillId="0" borderId="0" xfId="0" applyNumberFormat="1" applyFont="1" applyAlignment="1" applyProtection="1">
      <alignment horizontal="left" vertical="center" indent="2"/>
      <protection locked="0"/>
    </xf>
    <xf numFmtId="175" fontId="127" fillId="0" borderId="0" xfId="0" applyNumberFormat="1" applyFont="1" applyAlignment="1">
      <alignment horizontal="right"/>
    </xf>
    <xf numFmtId="169" fontId="127" fillId="71" borderId="0" xfId="0" applyNumberFormat="1" applyFont="1" applyFill="1" applyAlignment="1" applyProtection="1">
      <alignment horizontal="left" vertical="center" indent="1"/>
      <protection locked="0"/>
    </xf>
    <xf numFmtId="169" fontId="127" fillId="0" borderId="0" xfId="0" applyNumberFormat="1" applyFont="1" applyAlignment="1" applyProtection="1">
      <alignment horizontal="left" vertical="center" indent="1"/>
      <protection locked="0"/>
    </xf>
    <xf numFmtId="0" fontId="127" fillId="71" borderId="0" xfId="0" applyFont="1" applyFill="1" applyAlignment="1">
      <alignment horizontal="left" vertical="center" indent="1"/>
    </xf>
    <xf numFmtId="0" fontId="128" fillId="0" borderId="0" xfId="0" applyFont="1"/>
    <xf numFmtId="0" fontId="129" fillId="0" borderId="0" xfId="0" applyFont="1" applyAlignment="1" applyProtection="1">
      <alignment horizontal="left" vertical="center"/>
      <protection locked="0"/>
    </xf>
    <xf numFmtId="179" fontId="129" fillId="55" borderId="0" xfId="2305" applyNumberFormat="1" applyFont="1" applyFill="1" applyBorder="1" applyAlignment="1" applyProtection="1">
      <alignment horizontal="right" vertical="center"/>
      <protection locked="0"/>
    </xf>
    <xf numFmtId="169" fontId="131" fillId="71" borderId="0" xfId="0" applyNumberFormat="1" applyFont="1" applyFill="1" applyAlignment="1" applyProtection="1">
      <alignment horizontal="left" vertical="center" indent="1"/>
      <protection locked="0"/>
    </xf>
    <xf numFmtId="179" fontId="131" fillId="71" borderId="0" xfId="2307" applyNumberFormat="1" applyFont="1" applyFill="1" applyBorder="1" applyAlignment="1" applyProtection="1">
      <alignment horizontal="right" vertical="center"/>
    </xf>
    <xf numFmtId="0" fontId="131" fillId="0" borderId="0" xfId="0" applyFont="1" applyAlignment="1" applyProtection="1">
      <alignment horizontal="left" vertical="center" indent="1"/>
      <protection locked="0"/>
    </xf>
    <xf numFmtId="179" fontId="131" fillId="0" borderId="0" xfId="2307" applyNumberFormat="1" applyFont="1" applyFill="1" applyBorder="1" applyAlignment="1" applyProtection="1">
      <alignment horizontal="right" vertical="center"/>
    </xf>
    <xf numFmtId="169" fontId="129" fillId="71" borderId="0" xfId="0" applyNumberFormat="1" applyFont="1" applyFill="1" applyAlignment="1">
      <alignment horizontal="left" vertical="center"/>
    </xf>
    <xf numFmtId="344" fontId="129" fillId="71" borderId="0" xfId="2307" applyNumberFormat="1" applyFont="1" applyFill="1" applyBorder="1" applyAlignment="1" applyProtection="1">
      <alignment horizontal="right" vertical="center"/>
    </xf>
    <xf numFmtId="169" fontId="131" fillId="55" borderId="0" xfId="0" applyNumberFormat="1" applyFont="1" applyFill="1" applyAlignment="1">
      <alignment horizontal="left" vertical="center" indent="1"/>
    </xf>
    <xf numFmtId="344" fontId="131" fillId="55" borderId="0" xfId="2307" applyNumberFormat="1" applyFont="1" applyFill="1" applyBorder="1" applyAlignment="1" applyProtection="1">
      <alignment horizontal="right" vertical="center"/>
    </xf>
    <xf numFmtId="169" fontId="131" fillId="71" borderId="0" xfId="0" applyNumberFormat="1" applyFont="1" applyFill="1" applyAlignment="1">
      <alignment horizontal="left" vertical="center" indent="1"/>
    </xf>
    <xf numFmtId="344" fontId="131" fillId="71" borderId="0" xfId="2307" applyNumberFormat="1" applyFont="1" applyFill="1" applyBorder="1" applyAlignment="1" applyProtection="1">
      <alignment horizontal="right" vertical="center"/>
    </xf>
    <xf numFmtId="169" fontId="129" fillId="0" borderId="0" xfId="0" applyNumberFormat="1" applyFont="1" applyAlignment="1">
      <alignment horizontal="left" vertical="center"/>
    </xf>
    <xf numFmtId="344" fontId="129" fillId="55" borderId="0" xfId="2307" applyNumberFormat="1" applyFont="1" applyFill="1" applyBorder="1" applyAlignment="1" applyProtection="1">
      <alignment horizontal="right" vertical="center"/>
    </xf>
    <xf numFmtId="169" fontId="129" fillId="55" borderId="0" xfId="0" applyNumberFormat="1" applyFont="1" applyFill="1" applyAlignment="1">
      <alignment horizontal="left" vertical="center"/>
    </xf>
    <xf numFmtId="169" fontId="131" fillId="0" borderId="0" xfId="0" applyNumberFormat="1" applyFont="1" applyAlignment="1">
      <alignment horizontal="left" vertical="center" indent="1"/>
    </xf>
    <xf numFmtId="344" fontId="131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/>
    <xf numFmtId="169" fontId="129" fillId="55" borderId="0" xfId="0" applyNumberFormat="1" applyFont="1" applyFill="1" applyAlignment="1">
      <alignment horizontal="left" vertical="center" indent="1"/>
    </xf>
    <xf numFmtId="179" fontId="129" fillId="55" borderId="0" xfId="0" applyNumberFormat="1" applyFont="1" applyFill="1" applyAlignment="1">
      <alignment horizontal="center" vertical="center"/>
    </xf>
    <xf numFmtId="169" fontId="131" fillId="55" borderId="0" xfId="0" applyNumberFormat="1" applyFont="1" applyFill="1" applyAlignment="1">
      <alignment horizontal="left" vertical="center" indent="2"/>
    </xf>
    <xf numFmtId="179" fontId="131" fillId="55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1" fontId="0" fillId="0" borderId="0" xfId="0" applyNumberFormat="1"/>
    <xf numFmtId="0" fontId="133" fillId="0" borderId="0" xfId="0" applyFont="1"/>
    <xf numFmtId="0" fontId="134" fillId="0" borderId="0" xfId="0" applyFont="1"/>
    <xf numFmtId="0" fontId="132" fillId="76" borderId="0" xfId="0" applyFont="1" applyFill="1" applyAlignment="1" applyProtection="1">
      <alignment horizontal="left" vertical="center"/>
      <protection locked="0"/>
    </xf>
    <xf numFmtId="0" fontId="132" fillId="76" borderId="0" xfId="0" applyFont="1" applyFill="1" applyAlignment="1" applyProtection="1">
      <alignment horizontal="center" vertical="center"/>
      <protection locked="0"/>
    </xf>
    <xf numFmtId="0" fontId="132" fillId="76" borderId="0" xfId="0" applyFont="1" applyFill="1" applyAlignment="1">
      <alignment horizontal="left" vertical="center" wrapText="1"/>
    </xf>
    <xf numFmtId="0" fontId="132" fillId="76" borderId="0" xfId="0" applyFont="1" applyFill="1" applyAlignment="1">
      <alignment horizontal="center" vertical="center" wrapText="1"/>
    </xf>
    <xf numFmtId="0" fontId="132" fillId="76" borderId="0" xfId="0" applyFont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169" fontId="126" fillId="71" borderId="0" xfId="0" applyNumberFormat="1" applyFont="1" applyFill="1" applyAlignment="1" applyProtection="1">
      <alignment horizontal="left" vertical="center"/>
      <protection locked="0"/>
    </xf>
    <xf numFmtId="175" fontId="127" fillId="71" borderId="0" xfId="0" applyNumberFormat="1" applyFont="1" applyFill="1" applyAlignment="1">
      <alignment horizontal="right"/>
    </xf>
    <xf numFmtId="0" fontId="127" fillId="0" borderId="0" xfId="0" applyFont="1" applyAlignment="1">
      <alignment horizontal="left" vertical="center" indent="1"/>
    </xf>
    <xf numFmtId="17" fontId="132" fillId="76" borderId="0" xfId="0" applyNumberFormat="1" applyFont="1" applyFill="1" applyAlignment="1" applyProtection="1">
      <alignment horizontal="center" vertical="center"/>
      <protection locked="0"/>
    </xf>
    <xf numFmtId="0" fontId="47" fillId="0" borderId="0" xfId="0" applyFont="1"/>
    <xf numFmtId="0" fontId="135" fillId="0" borderId="0" xfId="0" applyFont="1"/>
    <xf numFmtId="0" fontId="10" fillId="0" borderId="0" xfId="0" applyFont="1"/>
    <xf numFmtId="179" fontId="131" fillId="73" borderId="0" xfId="0" applyNumberFormat="1" applyFont="1" applyFill="1" applyAlignment="1">
      <alignment horizontal="center" vertical="center"/>
    </xf>
    <xf numFmtId="169" fontId="129" fillId="71" borderId="0" xfId="0" applyNumberFormat="1" applyFont="1" applyFill="1" applyAlignment="1" applyProtection="1">
      <alignment horizontal="left" vertical="center"/>
      <protection locked="0"/>
    </xf>
    <xf numFmtId="344" fontId="129" fillId="71" borderId="0" xfId="0" applyNumberFormat="1" applyFont="1" applyFill="1" applyAlignment="1">
      <alignment horizontal="right" vertical="center"/>
    </xf>
    <xf numFmtId="344" fontId="129" fillId="0" borderId="0" xfId="2307" applyNumberFormat="1" applyFont="1" applyFill="1" applyBorder="1" applyAlignment="1" applyProtection="1">
      <alignment horizontal="right" vertical="center"/>
    </xf>
    <xf numFmtId="179" fontId="129" fillId="0" borderId="0" xfId="2305" applyNumberFormat="1" applyFont="1" applyFill="1" applyBorder="1" applyAlignment="1" applyProtection="1">
      <alignment horizontal="right" vertical="center"/>
      <protection locked="0"/>
    </xf>
    <xf numFmtId="169" fontId="131" fillId="0" borderId="0" xfId="0" applyNumberFormat="1" applyFont="1" applyAlignment="1" applyProtection="1">
      <alignment horizontal="left" vertical="center" indent="1"/>
      <protection locked="0"/>
    </xf>
    <xf numFmtId="169" fontId="129" fillId="0" borderId="0" xfId="0" applyNumberFormat="1" applyFont="1" applyAlignment="1" applyProtection="1">
      <alignment horizontal="left" vertical="center"/>
      <protection locked="0"/>
    </xf>
    <xf numFmtId="169" fontId="131" fillId="71" borderId="0" xfId="0" applyNumberFormat="1" applyFont="1" applyFill="1" applyAlignment="1">
      <alignment horizontal="left" vertical="center" indent="2"/>
    </xf>
    <xf numFmtId="179" fontId="131" fillId="71" borderId="0" xfId="0" applyNumberFormat="1" applyFont="1" applyFill="1" applyAlignment="1">
      <alignment horizontal="center" vertical="center"/>
    </xf>
    <xf numFmtId="169" fontId="129" fillId="71" borderId="0" xfId="0" applyNumberFormat="1" applyFont="1" applyFill="1" applyAlignment="1">
      <alignment horizontal="left" vertical="center" indent="1"/>
    </xf>
    <xf numFmtId="179" fontId="129" fillId="71" borderId="0" xfId="0" applyNumberFormat="1" applyFont="1" applyFill="1" applyAlignment="1">
      <alignment horizontal="center" vertical="center"/>
    </xf>
    <xf numFmtId="0" fontId="132" fillId="76" borderId="0" xfId="0" quotePrefix="1" applyFont="1" applyFill="1" applyAlignment="1">
      <alignment horizontal="center" vertical="center" wrapText="1"/>
    </xf>
    <xf numFmtId="0" fontId="132" fillId="76" borderId="0" xfId="0" quotePrefix="1" applyFont="1" applyFill="1" applyAlignment="1" applyProtection="1">
      <alignment horizontal="center" vertical="center"/>
      <protection locked="0"/>
    </xf>
    <xf numFmtId="179" fontId="0" fillId="0" borderId="0" xfId="0" applyNumberFormat="1"/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5042"/>
      <color rgb="FFFFC000"/>
      <color rgb="FFC00000"/>
      <color rgb="FF738C85"/>
      <color rgb="FF003A30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2565632"/>
        <c:axId val="81011840"/>
      </c:barChart>
      <c:catAx>
        <c:axId val="12256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1011840"/>
        <c:crosses val="autoZero"/>
        <c:auto val="1"/>
        <c:lblAlgn val="ctr"/>
        <c:lblOffset val="100"/>
        <c:noMultiLvlLbl val="0"/>
      </c:catAx>
      <c:valAx>
        <c:axId val="8101184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256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08864"/>
        <c:axId val="123398400"/>
      </c:barChart>
      <c:catAx>
        <c:axId val="11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398400"/>
        <c:crosses val="autoZero"/>
        <c:auto val="1"/>
        <c:lblAlgn val="ctr"/>
        <c:lblOffset val="100"/>
        <c:noMultiLvlLbl val="0"/>
      </c:catAx>
      <c:valAx>
        <c:axId val="1233984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08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400"/>
        <c:axId val="123400704"/>
      </c:barChart>
      <c:catAx>
        <c:axId val="11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0704"/>
        <c:crosses val="autoZero"/>
        <c:auto val="1"/>
        <c:lblAlgn val="ctr"/>
        <c:lblOffset val="100"/>
        <c:noMultiLvlLbl val="0"/>
      </c:catAx>
      <c:valAx>
        <c:axId val="123400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67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912"/>
        <c:axId val="123403008"/>
      </c:barChart>
      <c:catAx>
        <c:axId val="116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3008"/>
        <c:crosses val="autoZero"/>
        <c:auto val="1"/>
        <c:lblAlgn val="ctr"/>
        <c:lblOffset val="100"/>
        <c:noMultiLvlLbl val="0"/>
      </c:catAx>
      <c:valAx>
        <c:axId val="12340300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1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429824"/>
        <c:axId val="124650624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0848"/>
        <c:axId val="124651200"/>
      </c:lineChart>
      <c:catAx>
        <c:axId val="12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0624"/>
        <c:crosses val="autoZero"/>
        <c:auto val="1"/>
        <c:lblAlgn val="ctr"/>
        <c:lblOffset val="100"/>
        <c:noMultiLvlLbl val="0"/>
      </c:catAx>
      <c:valAx>
        <c:axId val="124650624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29824"/>
        <c:crosses val="autoZero"/>
        <c:crossBetween val="between"/>
      </c:valAx>
      <c:valAx>
        <c:axId val="124651200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0848"/>
        <c:crosses val="max"/>
        <c:crossBetween val="between"/>
      </c:valAx>
      <c:catAx>
        <c:axId val="12443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1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431360"/>
        <c:axId val="124653504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8352"/>
        <c:axId val="124654080"/>
      </c:lineChart>
      <c:catAx>
        <c:axId val="12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3504"/>
        <c:crosses val="autoZero"/>
        <c:auto val="1"/>
        <c:lblAlgn val="ctr"/>
        <c:lblOffset val="100"/>
        <c:noMultiLvlLbl val="0"/>
      </c:catAx>
      <c:valAx>
        <c:axId val="12465350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1360"/>
        <c:crosses val="autoZero"/>
        <c:crossBetween val="between"/>
      </c:valAx>
      <c:valAx>
        <c:axId val="124654080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6708352"/>
        <c:crosses val="max"/>
        <c:crossBetween val="between"/>
      </c:valAx>
      <c:catAx>
        <c:axId val="11670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4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40128"/>
        <c:axId val="124656384"/>
      </c:barChart>
      <c:catAx>
        <c:axId val="1250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56384"/>
        <c:crosses val="autoZero"/>
        <c:auto val="1"/>
        <c:lblAlgn val="ctr"/>
        <c:lblOffset val="100"/>
        <c:noMultiLvlLbl val="0"/>
      </c:catAx>
      <c:valAx>
        <c:axId val="124656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7520"/>
        <c:axId val="124710272"/>
      </c:barChart>
      <c:catAx>
        <c:axId val="1249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0272"/>
        <c:crosses val="autoZero"/>
        <c:auto val="1"/>
        <c:lblAlgn val="ctr"/>
        <c:lblOffset val="100"/>
        <c:noMultiLvlLbl val="0"/>
      </c:catAx>
      <c:valAx>
        <c:axId val="1247102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8544"/>
        <c:axId val="124712000"/>
      </c:barChart>
      <c:catAx>
        <c:axId val="1249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2000"/>
        <c:crosses val="autoZero"/>
        <c:auto val="1"/>
        <c:lblAlgn val="ctr"/>
        <c:lblOffset val="100"/>
        <c:noMultiLvlLbl val="0"/>
      </c:catAx>
      <c:valAx>
        <c:axId val="1247120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9056"/>
        <c:axId val="124713152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080"/>
        <c:axId val="124713728"/>
      </c:lineChart>
      <c:catAx>
        <c:axId val="1249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3152"/>
        <c:crosses val="autoZero"/>
        <c:auto val="1"/>
        <c:lblAlgn val="ctr"/>
        <c:lblOffset val="100"/>
        <c:noMultiLvlLbl val="0"/>
      </c:catAx>
      <c:valAx>
        <c:axId val="124713152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09056"/>
        <c:crosses val="autoZero"/>
        <c:crossBetween val="between"/>
      </c:valAx>
      <c:valAx>
        <c:axId val="124713728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0080"/>
        <c:crosses val="max"/>
        <c:crossBetween val="between"/>
      </c:valAx>
      <c:catAx>
        <c:axId val="1249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137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66656"/>
        <c:axId val="81013568"/>
      </c:barChart>
      <c:catAx>
        <c:axId val="122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3568"/>
        <c:crosses val="autoZero"/>
        <c:auto val="1"/>
        <c:lblAlgn val="ctr"/>
        <c:lblOffset val="100"/>
        <c:noMultiLvlLbl val="0"/>
      </c:catAx>
      <c:valAx>
        <c:axId val="810135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566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911104"/>
        <c:axId val="125092992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3424"/>
        <c:axId val="125093568"/>
      </c:lineChart>
      <c:catAx>
        <c:axId val="1249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92992"/>
        <c:crosses val="autoZero"/>
        <c:auto val="1"/>
        <c:lblAlgn val="ctr"/>
        <c:lblOffset val="100"/>
        <c:noMultiLvlLbl val="0"/>
      </c:catAx>
      <c:valAx>
        <c:axId val="1250929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1104"/>
        <c:crosses val="autoZero"/>
        <c:crossBetween val="between"/>
      </c:valAx>
      <c:valAx>
        <c:axId val="12509356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3424"/>
        <c:crosses val="max"/>
        <c:crossBetween val="between"/>
      </c:valAx>
      <c:catAx>
        <c:axId val="125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93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125293056"/>
        <c:axId val="12509702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5984"/>
        <c:axId val="125097600"/>
      </c:lineChart>
      <c:catAx>
        <c:axId val="125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5097024"/>
        <c:crosses val="autoZero"/>
        <c:auto val="1"/>
        <c:lblAlgn val="ctr"/>
        <c:lblOffset val="100"/>
        <c:noMultiLvlLbl val="0"/>
      </c:catAx>
      <c:valAx>
        <c:axId val="125097024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93056"/>
        <c:crosses val="autoZero"/>
        <c:crossBetween val="between"/>
      </c:valAx>
      <c:valAx>
        <c:axId val="125097600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5984"/>
        <c:crosses val="max"/>
        <c:crossBetween val="between"/>
      </c:valAx>
      <c:catAx>
        <c:axId val="1252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97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93824"/>
        <c:axId val="81015296"/>
      </c:barChart>
      <c:catAx>
        <c:axId val="122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5296"/>
        <c:crosses val="autoZero"/>
        <c:auto val="1"/>
        <c:lblAlgn val="ctr"/>
        <c:lblOffset val="100"/>
        <c:noMultiLvlLbl val="0"/>
      </c:catAx>
      <c:valAx>
        <c:axId val="81015296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89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006976"/>
        <c:axId val="81017024"/>
      </c:barChart>
      <c:catAx>
        <c:axId val="12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81017024"/>
        <c:crosses val="autoZero"/>
        <c:auto val="1"/>
        <c:lblAlgn val="ctr"/>
        <c:lblOffset val="100"/>
        <c:noMultiLvlLbl val="0"/>
      </c:catAx>
      <c:valAx>
        <c:axId val="810170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00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008512"/>
        <c:axId val="123158528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0048"/>
        <c:axId val="123159104"/>
      </c:lineChart>
      <c:catAx>
        <c:axId val="123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08512"/>
        <c:crosses val="autoZero"/>
        <c:crossBetween val="between"/>
      </c:valAx>
      <c:valAx>
        <c:axId val="123159104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10048"/>
        <c:crosses val="max"/>
        <c:crossBetween val="between"/>
      </c:valAx>
      <c:catAx>
        <c:axId val="12301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1591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594240"/>
        <c:axId val="123161408"/>
      </c:barChart>
      <c:catAx>
        <c:axId val="123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1408"/>
        <c:crosses val="autoZero"/>
        <c:auto val="1"/>
        <c:lblAlgn val="ctr"/>
        <c:lblOffset val="100"/>
        <c:noMultiLvlLbl val="0"/>
      </c:catAx>
      <c:valAx>
        <c:axId val="12316140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59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2368"/>
        <c:axId val="123163136"/>
      </c:barChart>
      <c:catAx>
        <c:axId val="12332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3136"/>
        <c:crosses val="autoZero"/>
        <c:auto val="1"/>
        <c:lblAlgn val="ctr"/>
        <c:lblOffset val="100"/>
        <c:noMultiLvlLbl val="0"/>
      </c:catAx>
      <c:valAx>
        <c:axId val="12316313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3904"/>
        <c:axId val="123164864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5440"/>
        <c:axId val="123165440"/>
      </c:lineChart>
      <c:catAx>
        <c:axId val="1233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4864"/>
        <c:crosses val="autoZero"/>
        <c:auto val="1"/>
        <c:lblAlgn val="ctr"/>
        <c:lblOffset val="100"/>
        <c:noMultiLvlLbl val="0"/>
      </c:catAx>
      <c:valAx>
        <c:axId val="1231648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3904"/>
        <c:crosses val="autoZero"/>
        <c:crossBetween val="between"/>
      </c:valAx>
      <c:valAx>
        <c:axId val="123165440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123325440"/>
        <c:crosses val="max"/>
        <c:crossBetween val="between"/>
        <c:minorUnit val="5.000000000000001E-3"/>
      </c:valAx>
      <c:catAx>
        <c:axId val="1233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65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trato Balan&#231;o Patrimonial'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5" Type="http://schemas.openxmlformats.org/officeDocument/2006/relationships/image" Target="../media/image1.jpeg"/><Relationship Id="rId4" Type="http://schemas.openxmlformats.org/officeDocument/2006/relationships/hyperlink" Target="#D&#237;vi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152400</xdr:rowOff>
    </xdr:from>
    <xdr:to>
      <xdr:col>5</xdr:col>
      <xdr:colOff>171450</xdr:colOff>
      <xdr:row>12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6</xdr:row>
      <xdr:rowOff>152400</xdr:rowOff>
    </xdr:from>
    <xdr:to>
      <xdr:col>11</xdr:col>
      <xdr:colOff>123825</xdr:colOff>
      <xdr:row>12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219075</xdr:colOff>
      <xdr:row>13</xdr:row>
      <xdr:rowOff>57150</xdr:rowOff>
    </xdr:from>
    <xdr:to>
      <xdr:col>5</xdr:col>
      <xdr:colOff>152400</xdr:colOff>
      <xdr:row>18</xdr:row>
      <xdr:rowOff>123825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19075" y="310515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Extrato Balanço Patrimonial</a:t>
          </a:r>
        </a:p>
      </xdr:txBody>
    </xdr:sp>
    <xdr:clientData/>
  </xdr:twoCellAnchor>
  <xdr:twoCellAnchor>
    <xdr:from>
      <xdr:col>6</xdr:col>
      <xdr:colOff>190500</xdr:colOff>
      <xdr:row>13</xdr:row>
      <xdr:rowOff>66675</xdr:rowOff>
    </xdr:from>
    <xdr:to>
      <xdr:col>11</xdr:col>
      <xdr:colOff>123825</xdr:colOff>
      <xdr:row>18</xdr:row>
      <xdr:rowOff>133350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1467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Dívida</a:t>
          </a:r>
        </a:p>
      </xdr:txBody>
    </xdr:sp>
    <xdr:clientData/>
  </xdr:twoCellAnchor>
  <xdr:twoCellAnchor>
    <xdr:from>
      <xdr:col>0</xdr:col>
      <xdr:colOff>228600</xdr:colOff>
      <xdr:row>3</xdr:row>
      <xdr:rowOff>57150</xdr:rowOff>
    </xdr:from>
    <xdr:to>
      <xdr:col>6</xdr:col>
      <xdr:colOff>247650</xdr:colOff>
      <xdr:row>6</xdr:row>
      <xdr:rowOff>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F7B3A7A1-4743-4CA9-B2AE-4619B4A0EE93}"/>
            </a:ext>
          </a:extLst>
        </xdr:cNvPr>
        <xdr:cNvSpPr/>
      </xdr:nvSpPr>
      <xdr:spPr>
        <a:xfrm>
          <a:off x="228600" y="628650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38100</xdr:rowOff>
    </xdr:from>
    <xdr:to>
      <xdr:col>11</xdr:col>
      <xdr:colOff>314325</xdr:colOff>
      <xdr:row>2</xdr:row>
      <xdr:rowOff>180975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5EA50F42-9177-4605-9E8D-0602EA913EB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600"/>
          <a:ext cx="6705600" cy="333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  <sheetName val="Resumo"/>
      <sheetName val="Mapa Imobilizado"/>
      <sheetName val="DRE"/>
      <sheetName val="Balanço"/>
      <sheetName val="Teste dos rendimentos 30.09"/>
      <sheetName val="BP PASSIVO"/>
      <sheetName val="Mvt Imobilizado"/>
      <sheetName val="Aging"/>
      <sheetName val="PDD-Movimentação"/>
      <sheetName val="APOIO"/>
      <sheetName val="Lista Funcionários"/>
      <sheetName val="Outorga fixa e variável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  <sheetName val="Lista"/>
      <sheetName val="Biblioteca"/>
      <sheetName val="CORP e SUDECAP"/>
      <sheetName val="Deferred 30.09.05"/>
      <sheetName val="Teste"/>
      <sheetName val="STATO "/>
      <sheetName val="OutrosCreditos"/>
      <sheetName val="Partes Relacionadas"/>
      <sheetName val="201904 ATIVO"/>
      <sheetName val="201904 PASSIVO"/>
      <sheetName val="201904 RESULTADO"/>
      <sheetName val="042019 Balancete"/>
      <sheetName val="Julho"/>
      <sheetName val="RGR Semesa"/>
      <sheetName val="Debêntures Reperfilamento"/>
      <sheetName val="ACUMULADO"/>
      <sheetName val="bal"/>
      <sheetName val=""/>
      <sheetName val="Prova do CTA"/>
      <sheetName val="LUCRO REAL"/>
      <sheetName val="Conciliação RH"/>
      <sheetName val="Estoques"/>
      <sheetName val="DMPL"/>
      <sheetName val="Sispec99"/>
      <sheetName val="Pivot"/>
      <sheetName val="Mov. Aplicação"/>
      <sheetName val="Shares"/>
      <sheetName val="Analisis dc real 2006"/>
      <sheetName val="Contingências "/>
      <sheetName val="Sheet1"/>
      <sheetName val="Equivalência - 09"/>
      <sheetName val="#Financeiro"/>
      <sheetName val="2 - Ativo LP"/>
      <sheetName val="Compra Energia CP"/>
      <sheetName val="Movimentação"/>
      <sheetName val="Premissas"/>
      <sheetName val="DRE Consolidada"/>
      <sheetName val="Códigos"/>
      <sheetName val="Jul-09 SA"/>
      <sheetName val="Jul-09 Coperativa"/>
      <sheetName val="COMP"/>
      <sheetName val="이자비용 overall test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Links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XLR_NoRangeSheet"/>
      <sheetName val="Razao manual"/>
      <sheetName val="Razao SIS"/>
      <sheetName val="감가상각누계액"/>
      <sheetName val="back"/>
      <sheetName val="Plan2"/>
      <sheetName val="Painel de Controle"/>
      <sheetName val="Posição financeira"/>
      <sheetName val="Posição de pagamentos"/>
      <sheetName val="Index Extratos"/>
      <sheetName val="Index"/>
      <sheetName val="Expenses Details DOTCOM"/>
      <sheetName val="DIN TOTAL DOTCOM"/>
      <sheetName val="TOTAL DOTCOM"/>
      <sheetName val="Citibank DOTCOM"/>
      <sheetName val="Bradesco DOTCOM"/>
      <sheetName val="Santander DOTCOM"/>
      <sheetName val="ITAU"/>
      <sheetName val="BNP DOTCOM"/>
      <sheetName val="DIN SALDOS BANCARIOS DOTCOM"/>
      <sheetName val="DOTCOM Actual"/>
      <sheetName val="DOTCOM Forecast"/>
      <sheetName val="Actual X Forecast "/>
      <sheetName val="Interest Expenses "/>
      <sheetName val="DOTCOM Projection"/>
      <sheetName val="July Total"/>
      <sheetName val="Folha JULHO"/>
      <sheetName val="SYRUS CONGELADO"/>
      <sheetName val="DOTCOM Forecast Congelad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 DOE model"/>
      <sheetName val="cathayforecasts"/>
      <sheetName val="Quarters"/>
      <sheetName val="oldSEG"/>
      <sheetName val="RES"/>
      <sheetName val="Global PIS  Cofins"/>
      <sheetName val="BRL Market"/>
      <sheetName val="BBG Links"/>
      <sheetName val="Calculo global Depr."/>
      <sheetName val="Passivo"/>
      <sheetName val="Empresas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 Global fopag"/>
      <sheetName val="SFC-5D"/>
      <sheetName val="CMAI 04_08_04"/>
      <sheetName val="Chemsystem"/>
      <sheetName val="Acomp"/>
      <sheetName val="DRE_OUTPUT"/>
      <sheetName val="Goodwill"/>
      <sheetName val="Auxiliar"/>
      <sheetName val="MUG"/>
      <sheetName val="sapactivexlhiddensheet"/>
      <sheetName val="Análisis IVA"/>
      <sheetName val="Parâmetros"/>
      <sheetName val="ICMS LIQ"/>
      <sheetName val="A"/>
      <sheetName val="Operações West LB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Quadro DFC 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  <sheetName val="SCG"/>
      <sheetName val="LATASA"/>
      <sheetName val="Production Cost Adjust - R$"/>
      <sheetName val="Parc. de ICMS"/>
      <sheetName val="Sheet2"/>
      <sheetName val="Séries IGP-M e IPCA"/>
      <sheetName val="114 RAZAO 01 - 03"/>
      <sheetName val="Tavola 9-10 investimenti"/>
      <sheetName val="Insurance"/>
      <sheetName val="pl atual"/>
      <sheetName val="UFIR"/>
      <sheetName val="Classif"/>
      <sheetName val="INFO"/>
      <sheetName val="Plano de Contas"/>
      <sheetName val="Medições a faturar"/>
      <sheetName val="Teste Drpc"/>
      <sheetName val="DropDowns"/>
      <sheetName val="A4"/>
      <sheetName val="OUT02.REPORT"/>
      <sheetName val="sum"/>
      <sheetName val="tutti"/>
      <sheetName val="BAL_L1_OUT12"/>
      <sheetName val="Volume"/>
      <sheetName val="DRE"/>
      <sheetName val="Informe"/>
      <sheetName val="BancoSegment"/>
      <sheetName val="Critérios"/>
      <sheetName val="EVOL REAL"/>
      <sheetName val="GRAFICO COMPARATIVA PARQUE"/>
      <sheetName val="Resumo Fatur."/>
      <sheetName val="Proventi e Oneri"/>
      <sheetName val="DE_PARA"/>
      <sheetName val="Base"/>
      <sheetName val="Particip"/>
      <sheetName val="1.6 TRS Data"/>
      <sheetName val="Tabla Inversiones"/>
      <sheetName val="P P Financieros"/>
      <sheetName val="Tipo"/>
      <sheetName val="ANALI2001"/>
      <sheetName val="ELIM_FINANCEIRA"/>
      <sheetName val="ModEdit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  <sheetName val="consolid soc"/>
      <sheetName val="Cel.ePap. Mucuri"/>
      <sheetName val="tabela"/>
      <sheetName val="integral"/>
      <sheetName val="bal"/>
      <sheetName val="Depreciação"/>
      <sheetName val="INFO"/>
      <sheetName val="Inventário PA"/>
      <sheetName val="Abertura Nov'03"/>
      <sheetName val="Worksheet%20in%205331%20Contas%"/>
      <sheetName val="Worksheet in 5331 Contas a Rece"/>
      <sheetName val="DFC"/>
      <sheetName val="6310-Lead"/>
      <sheetName val="WL"/>
      <sheetName val="Pas Juros e V.M.C."/>
      <sheetName val="Adições"/>
      <sheetName val="Saldo Inicial"/>
      <sheetName val="PDD"/>
      <sheetName val="circularização"/>
      <sheetName val="Mapa de Moviment."/>
      <sheetName val="ce"/>
      <sheetName val=""/>
      <sheetName val="H.MUNDIAL - 27.01.06 - Ajustado"/>
      <sheetName val="Fev"/>
      <sheetName val="n"/>
      <sheetName val="Plano de Contas"/>
      <sheetName val="Future Weighted Income"/>
      <sheetName val="U_P&amp;L"/>
      <sheetName val="EUR GM"/>
      <sheetName val="R$ Trator"/>
      <sheetName val="#¡REF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  <sheetName val="APOIO"/>
      <sheetName val="Mapa de Mov. Financ. 31.01.00"/>
      <sheetName val="DMPL"/>
      <sheetName val="consolid soc"/>
      <sheetName val="Aplic. Financ."/>
      <sheetName val="H.MUNDIAL - 27.01.06 - Ajustado"/>
      <sheetName val="Escalonamento 31.12"/>
      <sheetName val="NE Consolidado"/>
      <sheetName val="Resumo"/>
      <sheetName val="1.Mapa"/>
      <sheetName val="2.Encargos"/>
      <sheetName val="3.Circularização"/>
      <sheetName val="4. Variação Cambial"/>
      <sheetName val="5.Escalonamento"/>
      <sheetName val="6.Teste Baixas"/>
      <sheetName val="7. Média Ponderada"/>
      <sheetName val="1.Resumo Debêntures"/>
      <sheetName val="2.Resumo contratos"/>
      <sheetName val="3.Mapa de movimentação"/>
      <sheetName val="2.1Circularização"/>
      <sheetName val="4.Encargos"/>
      <sheetName val="6. Amort. Custos"/>
      <sheetName val="7. Adições"/>
      <sheetName val="8. Baixas"/>
      <sheetName val="Reembolsos Espra"/>
      <sheetName val="NE"/>
      <sheetName val="1.Conciliação bancaria"/>
      <sheetName val="2.DRE"/>
      <sheetName val="6. Adições e Baixas"/>
      <sheetName val="7. Amort. Custos"/>
      <sheetName val="5.Segregação e escalonamento"/>
      <sheetName val="Reembolsos pré-fixados"/>
      <sheetName val="7.Covenants Financeiros"/>
      <sheetName val="Convenants"/>
      <sheetName val="Resumo BNB"/>
      <sheetName val="1.Composição"/>
      <sheetName val="1.1.CD-Mapa"/>
      <sheetName val="Amort. desp."/>
      <sheetName val="3.Resumo NotasPromissórias"/>
      <sheetName val="1.Resumo contratos"/>
      <sheetName val="2.Mapa de movimentação"/>
      <sheetName val="4. Adições e Baixas"/>
      <sheetName val="Mapa de Resultado"/>
      <sheetName val="2.Resumo Debêntures"/>
      <sheetName val="3.Resumo NP"/>
      <sheetName val="4.Mapa mov."/>
      <sheetName val="5.Circularização"/>
      <sheetName val="6.Encargos"/>
      <sheetName val="7.Escalonamento"/>
      <sheetName val="7.1.Amortização BNB Espra"/>
      <sheetName val="8.Amort. Custos"/>
      <sheetName val="9.JurosCapitalizados"/>
      <sheetName val="10.Adições"/>
      <sheetName val="4.Mapa"/>
      <sheetName val="11.1.Baixas 30.09.13"/>
      <sheetName val="11.1.Baixas 31.12.13"/>
      <sheetName val="4.Mapa de movimentação"/>
      <sheetName val="9.DespCapitalizadas"/>
      <sheetName val="11.2.Baixas 31.12.13"/>
      <sheetName val="Amortização BNB Espra"/>
      <sheetName val="Programa"/>
      <sheetName val="Sample Size"/>
      <sheetName val="Teste e Seleção"/>
      <sheetName val="Juros"/>
      <sheetName val="Resumo Contratos BNDES"/>
      <sheetName val="Valores a Faturar"/>
      <sheetName val="Segregação"/>
      <sheetName val="EMs X Contabilidade Set01"/>
      <sheetName val="Custo médio Acabado"/>
      <sheetName val="MAE"/>
      <sheetName val="NEs"/>
      <sheetName val="1. Resumo"/>
      <sheetName val="1. Deustsche - Baerfield"/>
      <sheetName val="2. Deustsche - Soratu"/>
      <sheetName val="3. Mitsubishi - Baerfield"/>
      <sheetName val="4. Mitsubishi - Soratu"/>
      <sheetName val="2. Movimentação"/>
      <sheetName val="3. Escalonamento"/>
      <sheetName val="4. Baixa"/>
      <sheetName val="Sheet2"/>
      <sheetName val="Sheet2 (2)"/>
      <sheetName val="4. Covenants"/>
      <sheetName val="4.1 Covenants Black Gold"/>
      <sheetName val="Libor"/>
      <sheetName val="NE Instrumentos financeiros"/>
      <sheetName val="Análise de sensibilidade"/>
      <sheetName val="Indicadores"/>
      <sheetName val="3.Resumo NPs"/>
      <sheetName val="4. Covernants"/>
      <sheetName val="2.Movimentação Black Treasure"/>
      <sheetName val="2. Movimentação Turasoria"/>
      <sheetName val="2. Movimentação Dleif"/>
      <sheetName val="2.Movimentação Airosaru LLC"/>
      <sheetName val="2.Movimentação Oil e Gas"/>
      <sheetName val="2. Movimentação Holdco"/>
      <sheetName val="Base"/>
      <sheetName val="Pendências"/>
      <sheetName val="2.ResumoDebêntures"/>
      <sheetName val="3.Mapa"/>
      <sheetName val="6.Adição"/>
      <sheetName val="10.Adições e Baixas"/>
      <sheetName val="7.Escalonamento (2)"/>
      <sheetName val="3.DMPL - OAS Imóveis"/>
      <sheetName val="Depreciação"/>
      <sheetName val="Lista Funcionários"/>
      <sheetName val="Balanço"/>
      <sheetName val="Global Férias"/>
      <sheetName val="Global 13  Salário"/>
      <sheetName val="Empréstimos"/>
      <sheetName val="BB PCH'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383"/>
  <sheetViews>
    <sheetView showGridLines="0" topLeftCell="A105" zoomScale="90" zoomScaleNormal="90" workbookViewId="0"/>
  </sheetViews>
  <sheetFormatPr defaultColWidth="0" defaultRowHeight="15" zeroHeight="1"/>
  <cols>
    <col min="1" max="1" width="2.7109375" customWidth="1"/>
    <col min="2" max="2" width="43.5703125" style="4" customWidth="1"/>
    <col min="3" max="3" width="20.85546875" style="4" customWidth="1"/>
    <col min="4" max="4" width="11.28515625" style="4" customWidth="1"/>
    <col min="5" max="5" width="12.140625" customWidth="1"/>
    <col min="6" max="6" width="15.42578125" customWidth="1"/>
    <col min="7" max="7" width="16.7109375" customWidth="1"/>
    <col min="8" max="8" width="16.140625" customWidth="1"/>
    <col min="9" max="9" width="14.7109375" customWidth="1"/>
    <col min="10" max="10" width="17.7109375" customWidth="1"/>
    <col min="11" max="12" width="14.7109375" customWidth="1"/>
    <col min="13" max="13" width="2.7109375" customWidth="1"/>
    <col min="14" max="22" width="9.140625" customWidth="1"/>
    <col min="23" max="23" width="3" customWidth="1"/>
    <col min="24" max="38" width="9.140625" customWidth="1"/>
    <col min="39" max="65" width="0" hidden="1" customWidth="1"/>
    <col min="66" max="16384" width="9.140625" hidden="1"/>
  </cols>
  <sheetData>
    <row r="1" spans="1:36">
      <c r="A1" s="37"/>
      <c r="B1" s="36"/>
      <c r="C1" s="36"/>
      <c r="D1" s="36"/>
      <c r="E1" s="37"/>
      <c r="F1" s="37"/>
      <c r="G1" s="37"/>
      <c r="H1" s="37"/>
      <c r="I1" s="37"/>
      <c r="J1" s="37"/>
      <c r="K1" s="37"/>
      <c r="L1" s="37"/>
      <c r="M1" s="153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>
      <c r="B2" s="159" t="s">
        <v>75</v>
      </c>
      <c r="M2" s="152"/>
    </row>
    <row r="3" spans="1:36" ht="15.75" thickBot="1">
      <c r="M3" s="152"/>
    </row>
    <row r="4" spans="1:36" ht="15.75" thickBot="1">
      <c r="B4" s="176" t="s">
        <v>5</v>
      </c>
      <c r="C4" s="148" t="s">
        <v>79</v>
      </c>
      <c r="D4" s="149" t="s">
        <v>53</v>
      </c>
      <c r="E4" s="150" t="s">
        <v>3</v>
      </c>
      <c r="M4" s="152"/>
    </row>
    <row r="5" spans="1:36" ht="15.75" thickBot="1">
      <c r="B5" s="156" t="s">
        <v>17</v>
      </c>
      <c r="C5" s="162" t="e">
        <f>-#REF!</f>
        <v>#REF!</v>
      </c>
      <c r="D5" s="162" t="e">
        <f>-#REF!</f>
        <v>#REF!</v>
      </c>
      <c r="E5" s="166" t="e">
        <f t="shared" ref="E5:E14" si="0">C5/D5-1</f>
        <v>#REF!</v>
      </c>
      <c r="M5" s="152"/>
    </row>
    <row r="6" spans="1:36" ht="15.75" thickBot="1">
      <c r="B6" s="157" t="s">
        <v>11</v>
      </c>
      <c r="C6" s="163" t="e">
        <f>-#REF!</f>
        <v>#REF!</v>
      </c>
      <c r="D6" s="163" t="e">
        <f>-#REF!</f>
        <v>#REF!</v>
      </c>
      <c r="E6" s="167" t="e">
        <f t="shared" si="0"/>
        <v>#REF!</v>
      </c>
      <c r="M6" s="152"/>
    </row>
    <row r="7" spans="1:36" ht="15.75" thickBot="1">
      <c r="B7" s="158" t="s">
        <v>13</v>
      </c>
      <c r="C7" s="164" t="e">
        <f>-#REF!</f>
        <v>#REF!</v>
      </c>
      <c r="D7" s="164" t="e">
        <f>-#REF!</f>
        <v>#REF!</v>
      </c>
      <c r="E7" s="166" t="e">
        <f t="shared" si="0"/>
        <v>#REF!</v>
      </c>
      <c r="M7" s="152"/>
    </row>
    <row r="8" spans="1:36" ht="15.75" thickBot="1">
      <c r="B8" s="157" t="s">
        <v>14</v>
      </c>
      <c r="C8" s="163" t="e">
        <f>-#REF!</f>
        <v>#REF!</v>
      </c>
      <c r="D8" s="163" t="e">
        <f>-#REF!</f>
        <v>#REF!</v>
      </c>
      <c r="E8" s="167" t="e">
        <f t="shared" si="0"/>
        <v>#REF!</v>
      </c>
      <c r="M8" s="152"/>
    </row>
    <row r="9" spans="1:36" ht="15.75" thickBot="1">
      <c r="B9" s="158" t="s">
        <v>15</v>
      </c>
      <c r="C9" s="164" t="e">
        <f>-#REF!</f>
        <v>#REF!</v>
      </c>
      <c r="D9" s="164" t="e">
        <f>-#REF!</f>
        <v>#REF!</v>
      </c>
      <c r="E9" s="166" t="e">
        <f t="shared" si="0"/>
        <v>#REF!</v>
      </c>
      <c r="M9" s="152"/>
    </row>
    <row r="10" spans="1:36" ht="15.75" thickBot="1">
      <c r="B10" s="157" t="s">
        <v>20</v>
      </c>
      <c r="C10" s="163" t="e">
        <f>-#REF!</f>
        <v>#REF!</v>
      </c>
      <c r="D10" s="163" t="e">
        <f>-#REF!</f>
        <v>#REF!</v>
      </c>
      <c r="E10" s="167" t="e">
        <f t="shared" si="0"/>
        <v>#REF!</v>
      </c>
      <c r="M10" s="152"/>
    </row>
    <row r="11" spans="1:36" ht="15.75" thickBot="1">
      <c r="B11" s="158" t="s">
        <v>16</v>
      </c>
      <c r="C11" s="164" t="e">
        <f>-#REF!</f>
        <v>#REF!</v>
      </c>
      <c r="D11" s="164" t="e">
        <f>-#REF!</f>
        <v>#REF!</v>
      </c>
      <c r="E11" s="166" t="e">
        <f t="shared" si="0"/>
        <v>#REF!</v>
      </c>
      <c r="M11" s="152"/>
    </row>
    <row r="12" spans="1:36" ht="15.75" thickBot="1">
      <c r="B12" s="157" t="s">
        <v>18</v>
      </c>
      <c r="C12" s="163" t="e">
        <f>-#REF!</f>
        <v>#REF!</v>
      </c>
      <c r="D12" s="163" t="e">
        <f>-#REF!</f>
        <v>#REF!</v>
      </c>
      <c r="E12" s="167" t="e">
        <f t="shared" si="0"/>
        <v>#REF!</v>
      </c>
      <c r="M12" s="152"/>
    </row>
    <row r="13" spans="1:36" ht="15.75" thickBot="1">
      <c r="B13" s="161" t="s">
        <v>19</v>
      </c>
      <c r="C13" s="164" t="e">
        <f>-#REF!</f>
        <v>#REF!</v>
      </c>
      <c r="D13" s="164" t="e">
        <f>-#REF!</f>
        <v>#REF!</v>
      </c>
      <c r="E13" s="166" t="e">
        <f t="shared" si="0"/>
        <v>#REF!</v>
      </c>
      <c r="M13" s="152"/>
    </row>
    <row r="14" spans="1:36" ht="16.5" thickTop="1" thickBot="1">
      <c r="B14" s="160" t="s">
        <v>25</v>
      </c>
      <c r="C14" s="165" t="e">
        <f>-#REF!</f>
        <v>#REF!</v>
      </c>
      <c r="D14" s="165" t="e">
        <f>-#REF!</f>
        <v>#REF!</v>
      </c>
      <c r="E14" s="168" t="e">
        <f t="shared" si="0"/>
        <v>#REF!</v>
      </c>
      <c r="M14" s="152"/>
    </row>
    <row r="15" spans="1:36" ht="15.75" thickTop="1">
      <c r="M15" s="152"/>
    </row>
    <row r="16" spans="1:36" ht="16.5" customHeight="1" thickBot="1">
      <c r="M16" s="152"/>
    </row>
    <row r="17" spans="1:36" ht="16.5" customHeight="1" thickBot="1">
      <c r="B17" s="176" t="s">
        <v>5</v>
      </c>
      <c r="C17" s="148">
        <v>2012</v>
      </c>
      <c r="D17" s="148" t="s">
        <v>53</v>
      </c>
      <c r="E17" s="148" t="s">
        <v>79</v>
      </c>
      <c r="F17" s="104"/>
      <c r="M17" s="152"/>
    </row>
    <row r="18" spans="1:36" ht="16.5" customHeight="1" thickBot="1">
      <c r="B18" s="102" t="s">
        <v>25</v>
      </c>
      <c r="C18" s="106">
        <v>914.3</v>
      </c>
      <c r="D18" s="106" t="e">
        <f>-#REF!</f>
        <v>#REF!</v>
      </c>
      <c r="E18" s="107" t="e">
        <f>-#REF!</f>
        <v>#REF!</v>
      </c>
      <c r="F18" s="105"/>
      <c r="M18" s="152"/>
    </row>
    <row r="19" spans="1:36" ht="15.75" thickTop="1">
      <c r="M19" s="152"/>
    </row>
    <row r="20" spans="1:36">
      <c r="B20"/>
      <c r="C20"/>
      <c r="D20"/>
    </row>
    <row r="21" spans="1:36">
      <c r="B21"/>
      <c r="C21"/>
      <c r="D21"/>
    </row>
    <row r="22" spans="1:36">
      <c r="A22" s="37"/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153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>
      <c r="M23" s="154"/>
    </row>
    <row r="24" spans="1:36">
      <c r="B24" s="159" t="s">
        <v>76</v>
      </c>
      <c r="M24" s="152"/>
    </row>
    <row r="25" spans="1:36" ht="15.75" thickBot="1">
      <c r="M25" s="152"/>
    </row>
    <row r="26" spans="1:36" ht="15.75" thickBot="1">
      <c r="B26" s="155" t="s">
        <v>5</v>
      </c>
      <c r="C26" s="148" t="s">
        <v>79</v>
      </c>
      <c r="D26" s="149" t="s">
        <v>53</v>
      </c>
      <c r="E26" s="150" t="s">
        <v>3</v>
      </c>
      <c r="M26" s="152"/>
    </row>
    <row r="27" spans="1:36" ht="15.75" thickBot="1">
      <c r="B27" s="156" t="s">
        <v>17</v>
      </c>
      <c r="C27" s="162" t="e">
        <f>-#REF!</f>
        <v>#REF!</v>
      </c>
      <c r="D27" s="162" t="e">
        <f>-#REF!</f>
        <v>#REF!</v>
      </c>
      <c r="E27" s="166" t="e">
        <f t="shared" ref="E27:E36" si="1">C27/D27-1</f>
        <v>#REF!</v>
      </c>
      <c r="M27" s="152"/>
    </row>
    <row r="28" spans="1:36" ht="15.75" thickBot="1">
      <c r="B28" s="157" t="s">
        <v>11</v>
      </c>
      <c r="C28" s="163" t="e">
        <f>-#REF!</f>
        <v>#REF!</v>
      </c>
      <c r="D28" s="163" t="e">
        <f>-#REF!</f>
        <v>#REF!</v>
      </c>
      <c r="E28" s="167" t="e">
        <f t="shared" si="1"/>
        <v>#REF!</v>
      </c>
      <c r="M28" s="152"/>
    </row>
    <row r="29" spans="1:36" ht="15.75" thickBot="1">
      <c r="B29" s="158" t="s">
        <v>13</v>
      </c>
      <c r="C29" s="164" t="e">
        <f>-#REF!</f>
        <v>#REF!</v>
      </c>
      <c r="D29" s="164" t="e">
        <f>-#REF!</f>
        <v>#REF!</v>
      </c>
      <c r="E29" s="166" t="e">
        <f t="shared" si="1"/>
        <v>#REF!</v>
      </c>
      <c r="M29" s="152"/>
    </row>
    <row r="30" spans="1:36" ht="15.75" thickBot="1">
      <c r="B30" s="157" t="s">
        <v>14</v>
      </c>
      <c r="C30" s="163" t="e">
        <f>-#REF!</f>
        <v>#REF!</v>
      </c>
      <c r="D30" s="163" t="e">
        <f>-#REF!</f>
        <v>#REF!</v>
      </c>
      <c r="E30" s="167" t="e">
        <f t="shared" si="1"/>
        <v>#REF!</v>
      </c>
      <c r="M30" s="152"/>
    </row>
    <row r="31" spans="1:36" ht="15.75" thickBot="1">
      <c r="B31" s="158" t="s">
        <v>15</v>
      </c>
      <c r="C31" s="164" t="e">
        <f>-#REF!</f>
        <v>#REF!</v>
      </c>
      <c r="D31" s="164" t="e">
        <f>-#REF!</f>
        <v>#REF!</v>
      </c>
      <c r="E31" s="166" t="e">
        <f t="shared" si="1"/>
        <v>#REF!</v>
      </c>
      <c r="M31" s="152"/>
    </row>
    <row r="32" spans="1:36" ht="15.75" thickBot="1">
      <c r="B32" s="157" t="s">
        <v>20</v>
      </c>
      <c r="C32" s="163" t="e">
        <f>-#REF!</f>
        <v>#REF!</v>
      </c>
      <c r="D32" s="163" t="e">
        <f>-#REF!</f>
        <v>#REF!</v>
      </c>
      <c r="E32" s="167" t="e">
        <f t="shared" si="1"/>
        <v>#REF!</v>
      </c>
      <c r="M32" s="152"/>
    </row>
    <row r="33" spans="2:13" ht="15.75" thickBot="1">
      <c r="B33" s="158" t="s">
        <v>16</v>
      </c>
      <c r="C33" s="164" t="e">
        <f>-#REF!</f>
        <v>#REF!</v>
      </c>
      <c r="D33" s="164" t="e">
        <f>-#REF!</f>
        <v>#REF!</v>
      </c>
      <c r="E33" s="166" t="e">
        <f t="shared" si="1"/>
        <v>#REF!</v>
      </c>
      <c r="M33" s="152"/>
    </row>
    <row r="34" spans="2:13" ht="15.75" thickBot="1">
      <c r="B34" s="157" t="s">
        <v>18</v>
      </c>
      <c r="C34" s="163" t="e">
        <f>-#REF!</f>
        <v>#REF!</v>
      </c>
      <c r="D34" s="163" t="e">
        <f>-#REF!</f>
        <v>#REF!</v>
      </c>
      <c r="E34" s="167" t="e">
        <f t="shared" si="1"/>
        <v>#REF!</v>
      </c>
      <c r="M34" s="152"/>
    </row>
    <row r="35" spans="2:13" ht="15.75" thickBot="1">
      <c r="B35" s="161" t="s">
        <v>19</v>
      </c>
      <c r="C35" s="164" t="e">
        <f>-#REF!</f>
        <v>#REF!</v>
      </c>
      <c r="D35" s="164" t="e">
        <f>-#REF!</f>
        <v>#REF!</v>
      </c>
      <c r="E35" s="166" t="e">
        <f t="shared" si="1"/>
        <v>#REF!</v>
      </c>
      <c r="M35" s="152"/>
    </row>
    <row r="36" spans="2:13" ht="16.5" thickTop="1" thickBot="1">
      <c r="B36" s="160" t="s">
        <v>25</v>
      </c>
      <c r="C36" s="165" t="e">
        <f>-#REF!</f>
        <v>#REF!</v>
      </c>
      <c r="D36" s="165" t="e">
        <f>-#REF!</f>
        <v>#REF!</v>
      </c>
      <c r="E36" s="168" t="e">
        <f t="shared" si="1"/>
        <v>#REF!</v>
      </c>
      <c r="M36" s="152"/>
    </row>
    <row r="37" spans="2:13" ht="15.75" thickTop="1">
      <c r="M37" s="152"/>
    </row>
    <row r="38" spans="2:13" ht="15.75" thickBot="1">
      <c r="M38" s="152"/>
    </row>
    <row r="39" spans="2:13" ht="15.75" thickBot="1">
      <c r="B39" s="176" t="s">
        <v>5</v>
      </c>
      <c r="C39" s="149" t="s">
        <v>53</v>
      </c>
      <c r="D39" s="177" t="s">
        <v>79</v>
      </c>
      <c r="E39" s="179"/>
      <c r="M39" s="152"/>
    </row>
    <row r="40" spans="2:13" ht="17.25" thickBot="1">
      <c r="B40" s="102" t="s">
        <v>25</v>
      </c>
      <c r="C40" s="106" t="e">
        <f>D36</f>
        <v>#REF!</v>
      </c>
      <c r="D40" s="178" t="e">
        <f>C36</f>
        <v>#REF!</v>
      </c>
      <c r="E40" s="180"/>
      <c r="M40" s="152"/>
    </row>
    <row r="41" spans="2:13" ht="15.75" thickTop="1">
      <c r="M41" s="152"/>
    </row>
    <row r="42" spans="2:13" ht="15.75" thickBot="1">
      <c r="M42" s="152"/>
    </row>
    <row r="43" spans="2:13" ht="18" thickTop="1" thickBot="1">
      <c r="B43" s="176" t="s">
        <v>5</v>
      </c>
      <c r="C43" s="177" t="s">
        <v>79</v>
      </c>
      <c r="D43" s="147" t="s">
        <v>51</v>
      </c>
      <c r="M43" s="152"/>
    </row>
    <row r="44" spans="2:13" ht="16.5">
      <c r="B44" s="45" t="e">
        <f>#REF!</f>
        <v>#REF!</v>
      </c>
      <c r="C44" s="46" t="e">
        <f>#REF!</f>
        <v>#REF!</v>
      </c>
      <c r="D44" s="65" t="e">
        <f>C44/$C$48</f>
        <v>#REF!</v>
      </c>
      <c r="M44" s="152"/>
    </row>
    <row r="45" spans="2:13" ht="16.5">
      <c r="B45" s="85" t="e">
        <f>#REF!</f>
        <v>#REF!</v>
      </c>
      <c r="C45" s="84" t="e">
        <f>#REF!</f>
        <v>#REF!</v>
      </c>
      <c r="D45" s="74" t="e">
        <f>C45/$C$48</f>
        <v>#REF!</v>
      </c>
      <c r="M45" s="152"/>
    </row>
    <row r="46" spans="2:13" ht="16.5">
      <c r="B46" s="45" t="e">
        <f>#REF!</f>
        <v>#REF!</v>
      </c>
      <c r="C46" s="46" t="e">
        <f>#REF!</f>
        <v>#REF!</v>
      </c>
      <c r="D46" s="65" t="e">
        <f>C46/$C$48</f>
        <v>#REF!</v>
      </c>
      <c r="M46" s="152"/>
    </row>
    <row r="47" spans="2:13" ht="17.25" thickBot="1">
      <c r="B47" s="85" t="e">
        <f>#REF!</f>
        <v>#REF!</v>
      </c>
      <c r="C47" s="84" t="e">
        <f>#REF!</f>
        <v>#REF!</v>
      </c>
      <c r="D47" s="74" t="e">
        <f>C47/$C$48</f>
        <v>#REF!</v>
      </c>
      <c r="M47" s="152"/>
    </row>
    <row r="48" spans="2:13" ht="18" thickTop="1" thickBot="1">
      <c r="B48" s="7" t="s">
        <v>0</v>
      </c>
      <c r="C48" s="63" t="e">
        <f>SUM(C44:C47)</f>
        <v>#REF!</v>
      </c>
      <c r="D48" s="65" t="e">
        <f>C48/$C$48</f>
        <v>#REF!</v>
      </c>
      <c r="M48" s="152"/>
    </row>
    <row r="49" spans="1:36" ht="15.75" thickTop="1">
      <c r="M49" s="152"/>
    </row>
    <row r="50" spans="1:36">
      <c r="M50" s="152"/>
    </row>
    <row r="51" spans="1:36">
      <c r="M51" s="152"/>
    </row>
    <row r="52" spans="1:36">
      <c r="A52" s="37"/>
      <c r="B52" s="36"/>
      <c r="C52" s="36"/>
      <c r="D52" s="36"/>
      <c r="E52" s="37"/>
      <c r="F52" s="37"/>
      <c r="G52" s="37"/>
      <c r="H52" s="37"/>
      <c r="I52" s="37"/>
      <c r="J52" s="37"/>
      <c r="K52" s="37"/>
      <c r="L52" s="37"/>
      <c r="M52" s="153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ht="16.5" customHeight="1">
      <c r="B53"/>
      <c r="C53"/>
      <c r="D53"/>
      <c r="M53" s="152"/>
      <c r="Z53" s="3"/>
      <c r="AA53" s="2"/>
    </row>
    <row r="54" spans="1:36" ht="16.5" customHeight="1">
      <c r="B54" s="19" t="s">
        <v>70</v>
      </c>
      <c r="M54" s="152"/>
    </row>
    <row r="55" spans="1:36" ht="16.5" customHeight="1" thickBot="1">
      <c r="M55" s="152"/>
    </row>
    <row r="56" spans="1:36" ht="16.5" customHeight="1" thickBot="1">
      <c r="B56" s="101" t="e">
        <f>#REF!</f>
        <v>#REF!</v>
      </c>
      <c r="C56" s="101">
        <v>2012</v>
      </c>
      <c r="D56" s="101" t="s">
        <v>53</v>
      </c>
      <c r="E56" s="103" t="s">
        <v>79</v>
      </c>
      <c r="F56" s="86"/>
      <c r="G56" s="86"/>
      <c r="M56" s="152"/>
    </row>
    <row r="57" spans="1:36" ht="16.5" customHeight="1">
      <c r="B57" s="40" t="s">
        <v>21</v>
      </c>
      <c r="C57" s="112">
        <v>406.8</v>
      </c>
      <c r="D57" s="112" t="e">
        <f>#REF!</f>
        <v>#REF!</v>
      </c>
      <c r="E57" s="112" t="e">
        <f>#REF!</f>
        <v>#REF!</v>
      </c>
      <c r="F57" s="108"/>
      <c r="G57" s="108"/>
      <c r="M57" s="152"/>
    </row>
    <row r="58" spans="1:36" ht="16.5" customHeight="1">
      <c r="B58" s="17" t="s">
        <v>38</v>
      </c>
      <c r="C58" s="76">
        <v>0.371</v>
      </c>
      <c r="D58" s="76" t="e">
        <f>#REF!</f>
        <v>#REF!</v>
      </c>
      <c r="E58" s="76" t="e">
        <f>#REF!</f>
        <v>#REF!</v>
      </c>
      <c r="F58" s="109"/>
      <c r="G58" s="109"/>
      <c r="M58" s="152"/>
    </row>
    <row r="59" spans="1:36" ht="16.5" customHeight="1">
      <c r="B59" s="34" t="s">
        <v>56</v>
      </c>
      <c r="C59" s="44"/>
      <c r="D59" s="44"/>
      <c r="E59" s="44"/>
      <c r="F59" s="87"/>
      <c r="G59" s="110"/>
      <c r="M59" s="152"/>
    </row>
    <row r="60" spans="1:36" ht="16.5" customHeight="1">
      <c r="M60" s="152"/>
    </row>
    <row r="61" spans="1:36" ht="16.5" customHeight="1">
      <c r="D61" s="56"/>
      <c r="M61" s="152"/>
    </row>
    <row r="62" spans="1:36" ht="16.5" customHeight="1">
      <c r="D62" s="86"/>
      <c r="E62" s="86"/>
      <c r="F62" s="86"/>
      <c r="G62" s="86"/>
      <c r="H62" s="86"/>
      <c r="I62" s="86"/>
      <c r="M62" s="152"/>
    </row>
    <row r="63" spans="1:36" ht="16.5" customHeight="1">
      <c r="D63" s="111"/>
      <c r="E63" s="111"/>
      <c r="F63" s="111"/>
      <c r="G63" s="111"/>
      <c r="H63" s="111"/>
      <c r="I63" s="111"/>
      <c r="J63" s="57"/>
      <c r="M63" s="152"/>
    </row>
    <row r="64" spans="1:36" ht="16.5" customHeight="1">
      <c r="D64" s="111"/>
      <c r="E64" s="111"/>
      <c r="F64" s="111"/>
      <c r="G64" s="111"/>
      <c r="H64" s="111"/>
      <c r="I64" s="111"/>
      <c r="J64" s="57"/>
      <c r="M64" s="152"/>
    </row>
    <row r="65" spans="1:38" ht="16.5" customHeight="1">
      <c r="D65" s="111"/>
      <c r="E65" s="111"/>
      <c r="F65" s="111"/>
      <c r="G65" s="111"/>
      <c r="H65" s="111"/>
      <c r="I65" s="111"/>
      <c r="J65" s="57"/>
      <c r="M65" s="152"/>
    </row>
    <row r="66" spans="1:38" ht="16.5" customHeight="1">
      <c r="D66" s="111"/>
      <c r="E66" s="111"/>
      <c r="F66" s="111"/>
      <c r="G66" s="111"/>
      <c r="H66" s="111"/>
      <c r="I66" s="111"/>
      <c r="J66" s="57"/>
      <c r="M66" s="152"/>
    </row>
    <row r="67" spans="1:38" ht="16.5" customHeight="1">
      <c r="D67" s="111"/>
      <c r="E67" s="111"/>
      <c r="F67" s="111"/>
      <c r="G67" s="111"/>
      <c r="H67" s="111"/>
      <c r="I67" s="111"/>
      <c r="J67" s="57"/>
      <c r="M67" s="152"/>
    </row>
    <row r="68" spans="1:38" ht="16.5" customHeight="1">
      <c r="D68" s="111"/>
      <c r="E68" s="111"/>
      <c r="F68" s="111"/>
      <c r="G68" s="111"/>
      <c r="H68" s="111"/>
      <c r="I68" s="111"/>
      <c r="J68" s="57"/>
      <c r="M68" s="152"/>
    </row>
    <row r="69" spans="1:38" ht="16.5" customHeight="1">
      <c r="D69" s="111"/>
      <c r="E69" s="111"/>
      <c r="F69" s="111"/>
      <c r="G69" s="111"/>
      <c r="H69" s="111"/>
      <c r="I69" s="111"/>
      <c r="M69" s="152"/>
    </row>
    <row r="70" spans="1:38" ht="16.5" customHeight="1">
      <c r="D70" s="5"/>
      <c r="M70" s="152"/>
    </row>
    <row r="71" spans="1:38" ht="16.5" customHeight="1">
      <c r="D71" s="5"/>
      <c r="M71" s="152"/>
    </row>
    <row r="72" spans="1:38" ht="16.5" customHeight="1">
      <c r="A72" s="37"/>
      <c r="B72" s="36"/>
      <c r="C72" s="36"/>
      <c r="D72" s="66"/>
      <c r="E72" s="37"/>
      <c r="F72" s="37"/>
      <c r="G72" s="37"/>
      <c r="H72" s="37"/>
      <c r="I72" s="37"/>
      <c r="J72" s="37"/>
      <c r="K72" s="37"/>
      <c r="L72" s="37"/>
      <c r="M72" s="153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  <row r="73" spans="1:38" ht="16.5" customHeight="1">
      <c r="D73" s="169"/>
      <c r="M73" s="152"/>
    </row>
    <row r="74" spans="1:38" ht="16.5" customHeight="1">
      <c r="B74" s="19" t="s">
        <v>77</v>
      </c>
      <c r="M74" s="152"/>
    </row>
    <row r="75" spans="1:38" ht="16.5" customHeight="1" thickBot="1">
      <c r="M75" s="152"/>
    </row>
    <row r="76" spans="1:38" ht="16.5" customHeight="1" thickBot="1">
      <c r="B76" s="101" t="e">
        <f>#REF!</f>
        <v>#REF!</v>
      </c>
      <c r="C76" s="101"/>
      <c r="D76" s="101" t="s">
        <v>53</v>
      </c>
      <c r="E76" s="103" t="s">
        <v>79</v>
      </c>
      <c r="F76" s="86"/>
      <c r="G76" s="86"/>
      <c r="M76" s="152"/>
    </row>
    <row r="77" spans="1:38" ht="16.5" customHeight="1">
      <c r="B77" s="170" t="s">
        <v>21</v>
      </c>
      <c r="C77" s="171"/>
      <c r="D77" s="171" t="e">
        <f>#REF!</f>
        <v>#REF!</v>
      </c>
      <c r="E77" s="171" t="e">
        <f>#REF!</f>
        <v>#REF!</v>
      </c>
      <c r="F77" s="108"/>
      <c r="G77" s="108"/>
      <c r="M77" s="152"/>
    </row>
    <row r="78" spans="1:38" ht="16.5" customHeight="1">
      <c r="B78" s="174" t="s">
        <v>38</v>
      </c>
      <c r="C78" s="175"/>
      <c r="D78" s="175" t="e">
        <f>#REF!</f>
        <v>#REF!</v>
      </c>
      <c r="E78" s="175" t="e">
        <f>#REF!</f>
        <v>#REF!</v>
      </c>
      <c r="F78" s="109"/>
      <c r="G78" s="109"/>
      <c r="M78" s="152"/>
    </row>
    <row r="79" spans="1:38" ht="16.5" customHeight="1">
      <c r="B79" s="172" t="s">
        <v>56</v>
      </c>
      <c r="C79" s="173"/>
      <c r="D79" s="173"/>
      <c r="E79" s="173"/>
      <c r="F79" s="87"/>
      <c r="G79" s="110"/>
      <c r="M79" s="152"/>
    </row>
    <row r="80" spans="1:38" ht="16.5" customHeight="1">
      <c r="M80" s="152"/>
    </row>
    <row r="81" spans="1:38" ht="16.5" customHeight="1">
      <c r="D81" s="56"/>
      <c r="M81" s="152"/>
    </row>
    <row r="82" spans="1:38" ht="16.5" customHeight="1">
      <c r="D82" s="86"/>
      <c r="E82" s="86"/>
      <c r="F82" s="86"/>
      <c r="G82" s="86"/>
      <c r="H82" s="86"/>
      <c r="I82" s="86"/>
      <c r="M82" s="152"/>
    </row>
    <row r="83" spans="1:38" ht="16.5" customHeight="1">
      <c r="D83" s="111"/>
      <c r="E83" s="111"/>
      <c r="F83" s="111"/>
      <c r="G83" s="111"/>
      <c r="H83" s="111"/>
      <c r="I83" s="111"/>
      <c r="J83" s="57"/>
      <c r="M83" s="152"/>
    </row>
    <row r="84" spans="1:38" ht="16.5" customHeight="1">
      <c r="D84" s="111"/>
      <c r="E84" s="111"/>
      <c r="F84" s="111"/>
      <c r="G84" s="111"/>
      <c r="H84" s="111"/>
      <c r="I84" s="111"/>
      <c r="J84" s="57"/>
      <c r="M84" s="152"/>
    </row>
    <row r="85" spans="1:38" ht="16.5" customHeight="1">
      <c r="D85" s="111"/>
      <c r="E85" s="111"/>
      <c r="F85" s="111"/>
      <c r="G85" s="111"/>
      <c r="H85" s="111"/>
      <c r="I85" s="111"/>
      <c r="J85" s="57"/>
      <c r="M85" s="152"/>
    </row>
    <row r="86" spans="1:38" ht="16.5" customHeight="1">
      <c r="D86" s="111"/>
      <c r="E86" s="111"/>
      <c r="F86" s="111"/>
      <c r="G86" s="111"/>
      <c r="H86" s="111"/>
      <c r="I86" s="111"/>
      <c r="J86" s="57"/>
      <c r="M86" s="152"/>
    </row>
    <row r="87" spans="1:38" ht="16.5" customHeight="1">
      <c r="D87" s="111"/>
      <c r="E87" s="111"/>
      <c r="F87" s="111"/>
      <c r="G87" s="111"/>
      <c r="H87" s="111"/>
      <c r="I87" s="111"/>
      <c r="J87" s="57"/>
      <c r="M87" s="152"/>
    </row>
    <row r="88" spans="1:38" ht="16.5" customHeight="1">
      <c r="D88" s="111"/>
      <c r="E88" s="111"/>
      <c r="F88" s="111"/>
      <c r="G88" s="111"/>
      <c r="H88" s="111"/>
      <c r="I88" s="111"/>
      <c r="J88" s="57"/>
      <c r="M88" s="152"/>
    </row>
    <row r="89" spans="1:38" ht="16.5" customHeight="1">
      <c r="D89" s="111"/>
      <c r="E89" s="111"/>
      <c r="F89" s="111"/>
      <c r="G89" s="111"/>
      <c r="H89" s="111"/>
      <c r="I89" s="111"/>
      <c r="M89" s="152"/>
    </row>
    <row r="90" spans="1:38" ht="16.5" customHeight="1">
      <c r="D90" s="5"/>
      <c r="M90" s="152"/>
    </row>
    <row r="91" spans="1:38" ht="16.5" customHeight="1">
      <c r="D91" s="5"/>
      <c r="M91" s="152"/>
    </row>
    <row r="92" spans="1:38" ht="16.5" customHeight="1">
      <c r="A92" s="37"/>
      <c r="B92" s="36"/>
      <c r="C92" s="36"/>
      <c r="D92" s="66"/>
      <c r="E92" s="37"/>
      <c r="F92" s="37"/>
      <c r="G92" s="37"/>
      <c r="H92" s="37"/>
      <c r="I92" s="37"/>
      <c r="J92" s="37"/>
      <c r="K92" s="37"/>
      <c r="L92" s="37"/>
      <c r="M92" s="153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ht="16.5" customHeight="1">
      <c r="A93" s="37"/>
      <c r="B93" s="36"/>
      <c r="C93" s="36"/>
      <c r="D93" s="36"/>
      <c r="E93" s="37"/>
      <c r="F93" s="37"/>
      <c r="G93" s="37"/>
      <c r="H93" s="37"/>
      <c r="I93" s="37"/>
      <c r="J93" s="37"/>
      <c r="K93" s="37"/>
      <c r="L93" s="37"/>
      <c r="M93" s="153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ht="16.5" customHeight="1">
      <c r="M94" s="152"/>
    </row>
    <row r="95" spans="1:38" ht="16.5" customHeight="1">
      <c r="M95" s="152"/>
    </row>
    <row r="96" spans="1:38" ht="16.5" customHeight="1">
      <c r="M96" s="152"/>
    </row>
    <row r="97" spans="2:13" ht="16.5" customHeight="1">
      <c r="B97" s="19" t="s">
        <v>71</v>
      </c>
      <c r="M97" s="152"/>
    </row>
    <row r="98" spans="2:13" ht="16.5" customHeight="1" thickBot="1">
      <c r="F98" s="146"/>
      <c r="M98" s="152"/>
    </row>
    <row r="99" spans="2:13" ht="16.5" customHeight="1" thickTop="1">
      <c r="B99" s="121" t="s">
        <v>37</v>
      </c>
      <c r="C99" s="122"/>
      <c r="D99" s="123" t="s">
        <v>79</v>
      </c>
      <c r="E99" s="123" t="s">
        <v>53</v>
      </c>
      <c r="F99" s="145" t="s">
        <v>3</v>
      </c>
      <c r="M99" s="152"/>
    </row>
    <row r="100" spans="2:13" ht="16.5" customHeight="1">
      <c r="B100" s="124" t="s">
        <v>26</v>
      </c>
      <c r="C100" s="122"/>
      <c r="D100" s="132" t="e">
        <f>#REF!</f>
        <v>#REF!</v>
      </c>
      <c r="E100" s="132">
        <v>6147.6</v>
      </c>
      <c r="F100" s="136" t="str">
        <f>IFERROR((D100/E100)-1,"n.m.")</f>
        <v>n.m.</v>
      </c>
      <c r="M100" s="152"/>
    </row>
    <row r="101" spans="2:13" ht="16.5" customHeight="1">
      <c r="B101" s="125" t="s">
        <v>27</v>
      </c>
      <c r="C101" s="122"/>
      <c r="D101" s="133" t="e">
        <f>#REF!</f>
        <v>#REF!</v>
      </c>
      <c r="E101" s="133">
        <v>463.2</v>
      </c>
      <c r="F101" s="137" t="str">
        <f t="shared" ref="F101:F107" si="2">IFERROR((D101/E101)-1,"n.m.")</f>
        <v>n.m.</v>
      </c>
      <c r="M101" s="152"/>
    </row>
    <row r="102" spans="2:13" ht="16.5" customHeight="1">
      <c r="B102" s="126" t="s">
        <v>28</v>
      </c>
      <c r="C102" s="122"/>
      <c r="D102" s="134" t="e">
        <f>#REF!</f>
        <v>#REF!</v>
      </c>
      <c r="E102" s="134">
        <v>5684.5</v>
      </c>
      <c r="F102" s="138" t="str">
        <f t="shared" si="2"/>
        <v>n.m.</v>
      </c>
      <c r="M102" s="152"/>
    </row>
    <row r="103" spans="2:13" ht="16.5" customHeight="1">
      <c r="B103" s="127" t="s">
        <v>29</v>
      </c>
      <c r="C103" s="122"/>
      <c r="D103" s="135" t="e">
        <f>#REF!</f>
        <v>#REF!</v>
      </c>
      <c r="E103" s="135">
        <v>1968.5</v>
      </c>
      <c r="F103" s="137" t="str">
        <f t="shared" si="2"/>
        <v>n.m.</v>
      </c>
      <c r="M103" s="152"/>
    </row>
    <row r="104" spans="2:13" ht="16.5" customHeight="1">
      <c r="B104" s="126" t="s">
        <v>30</v>
      </c>
      <c r="C104" s="122"/>
      <c r="D104" s="134" t="e">
        <f>#REF!</f>
        <v>#REF!</v>
      </c>
      <c r="E104" s="134">
        <v>1410.6</v>
      </c>
      <c r="F104" s="138" t="str">
        <f t="shared" si="2"/>
        <v>n.m.</v>
      </c>
      <c r="M104" s="152"/>
    </row>
    <row r="105" spans="2:13" ht="16.5" customHeight="1" thickBot="1">
      <c r="B105" s="144" t="s">
        <v>31</v>
      </c>
      <c r="C105" s="122"/>
      <c r="D105" s="142" t="e">
        <f>#REF!</f>
        <v>#REF!</v>
      </c>
      <c r="E105" s="142">
        <v>557.9</v>
      </c>
      <c r="F105" s="143" t="str">
        <f t="shared" si="2"/>
        <v>n.m.</v>
      </c>
      <c r="M105" s="152"/>
    </row>
    <row r="106" spans="2:13" ht="16.5" customHeight="1" thickTop="1">
      <c r="B106" s="139" t="s">
        <v>32</v>
      </c>
      <c r="C106" s="122"/>
      <c r="D106" s="140" t="e">
        <f>#REF!</f>
        <v>#REF!</v>
      </c>
      <c r="E106" s="140">
        <v>4179.2</v>
      </c>
      <c r="F106" s="141" t="str">
        <f t="shared" si="2"/>
        <v>n.m.</v>
      </c>
      <c r="M106" s="152"/>
    </row>
    <row r="107" spans="2:13" ht="16.5" customHeight="1">
      <c r="B107" s="129" t="s">
        <v>21</v>
      </c>
      <c r="C107" s="130"/>
      <c r="D107" s="135" t="e">
        <f>#REF!</f>
        <v>#REF!</v>
      </c>
      <c r="E107" s="135" t="e">
        <f>#REF!</f>
        <v>#REF!</v>
      </c>
      <c r="F107" s="137" t="str">
        <f t="shared" si="2"/>
        <v>n.m.</v>
      </c>
      <c r="M107" s="152"/>
    </row>
    <row r="108" spans="2:13" ht="16.5" customHeight="1">
      <c r="B108" s="128" t="s">
        <v>72</v>
      </c>
      <c r="C108" s="122"/>
      <c r="D108" s="132" t="e">
        <f>D106/D107</f>
        <v>#REF!</v>
      </c>
      <c r="E108" s="132" t="e">
        <f>E106/E107</f>
        <v>#REF!</v>
      </c>
      <c r="F108" s="131" t="s">
        <v>73</v>
      </c>
      <c r="M108" s="152"/>
    </row>
    <row r="109" spans="2:13" ht="16.5" customHeight="1">
      <c r="M109" s="152"/>
    </row>
    <row r="110" spans="2:13" ht="16.5" customHeight="1">
      <c r="B110" s="19"/>
      <c r="M110" s="152"/>
    </row>
    <row r="111" spans="2:13" ht="16.5" customHeight="1" thickBot="1">
      <c r="M111" s="152"/>
    </row>
    <row r="112" spans="2:13" ht="16.5" customHeight="1" thickBot="1">
      <c r="B112" s="101" t="e">
        <f>#REF!</f>
        <v>#REF!</v>
      </c>
      <c r="C112" s="101">
        <v>2012</v>
      </c>
      <c r="D112" s="101" t="s">
        <v>53</v>
      </c>
      <c r="E112" s="103" t="s">
        <v>79</v>
      </c>
      <c r="M112" s="152"/>
    </row>
    <row r="113" spans="1:38" ht="16.5" customHeight="1">
      <c r="B113" s="40" t="s">
        <v>32</v>
      </c>
      <c r="C113" s="119">
        <v>1801.9</v>
      </c>
      <c r="D113" s="119">
        <f>E106</f>
        <v>4179.2</v>
      </c>
      <c r="E113" s="119" t="e">
        <f>D106</f>
        <v>#REF!</v>
      </c>
      <c r="M113" s="152"/>
    </row>
    <row r="114" spans="1:38" ht="16.5" customHeight="1">
      <c r="B114" s="17" t="s">
        <v>72</v>
      </c>
      <c r="C114" s="113">
        <f>C113/C57</f>
        <v>4.4294493608652905</v>
      </c>
      <c r="D114" s="113" t="e">
        <f>E108</f>
        <v>#REF!</v>
      </c>
      <c r="E114" s="113" t="e">
        <f>D108</f>
        <v>#REF!</v>
      </c>
      <c r="M114" s="152"/>
    </row>
    <row r="115" spans="1:38" ht="16.5" customHeight="1">
      <c r="B115" s="34" t="s">
        <v>56</v>
      </c>
      <c r="C115" s="44"/>
      <c r="D115" s="44"/>
      <c r="E115" s="44"/>
      <c r="M115" s="152"/>
    </row>
    <row r="116" spans="1:38" ht="16.5" customHeight="1">
      <c r="M116" s="152"/>
    </row>
    <row r="117" spans="1:38" ht="16.5" customHeight="1">
      <c r="M117" s="152"/>
    </row>
    <row r="118" spans="1:38" ht="16.5" customHeight="1">
      <c r="M118" s="152"/>
    </row>
    <row r="119" spans="1:38" ht="16.5" customHeight="1">
      <c r="A119" s="37"/>
      <c r="B119" s="36"/>
      <c r="C119" s="36"/>
      <c r="D119" s="36"/>
      <c r="E119" s="37"/>
      <c r="F119" s="37"/>
      <c r="G119" s="37"/>
      <c r="H119" s="37"/>
      <c r="I119" s="37"/>
      <c r="J119" s="37"/>
      <c r="K119" s="37"/>
      <c r="L119" s="37"/>
      <c r="M119" s="153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1:38" ht="16.5" customHeight="1">
      <c r="M120" s="152"/>
    </row>
    <row r="121" spans="1:38" ht="16.5" customHeight="1">
      <c r="M121" s="152"/>
    </row>
    <row r="122" spans="1:38" ht="16.5" customHeight="1">
      <c r="B122" s="19" t="s">
        <v>74</v>
      </c>
      <c r="M122" s="152"/>
    </row>
    <row r="123" spans="1:38" ht="16.5" customHeight="1" thickBot="1">
      <c r="F123" s="146"/>
      <c r="M123" s="152"/>
    </row>
    <row r="124" spans="1:38" ht="16.5" customHeight="1" thickTop="1">
      <c r="B124" s="121" t="s">
        <v>37</v>
      </c>
      <c r="C124" s="122"/>
      <c r="D124" s="123" t="s">
        <v>79</v>
      </c>
      <c r="E124" s="123" t="s">
        <v>53</v>
      </c>
      <c r="F124" s="145" t="s">
        <v>3</v>
      </c>
      <c r="M124" s="152"/>
    </row>
    <row r="125" spans="1:38" ht="16.5" customHeight="1">
      <c r="B125" s="124" t="s">
        <v>26</v>
      </c>
      <c r="C125" s="122"/>
      <c r="D125" s="132" t="e">
        <f>#REF!</f>
        <v>#REF!</v>
      </c>
      <c r="E125" s="132">
        <v>5616.6</v>
      </c>
      <c r="F125" s="136" t="str">
        <f>IFERROR((D125/E125)-1,"n.m.")</f>
        <v>n.m.</v>
      </c>
      <c r="M125" s="152"/>
    </row>
    <row r="126" spans="1:38" ht="16.5" customHeight="1">
      <c r="B126" s="125" t="s">
        <v>27</v>
      </c>
      <c r="C126" s="122"/>
      <c r="D126" s="133" t="e">
        <f>#REF!</f>
        <v>#REF!</v>
      </c>
      <c r="E126" s="133">
        <v>651</v>
      </c>
      <c r="F126" s="137" t="str">
        <f t="shared" ref="F126:F132" si="3">IFERROR((D126/E126)-1,"n.m.")</f>
        <v>n.m.</v>
      </c>
      <c r="M126" s="152"/>
    </row>
    <row r="127" spans="1:38" ht="16.5" customHeight="1">
      <c r="B127" s="126" t="s">
        <v>28</v>
      </c>
      <c r="C127" s="122"/>
      <c r="D127" s="134" t="e">
        <f>#REF!</f>
        <v>#REF!</v>
      </c>
      <c r="E127" s="134">
        <v>4965.6000000000004</v>
      </c>
      <c r="F127" s="138" t="str">
        <f t="shared" si="3"/>
        <v>n.m.</v>
      </c>
      <c r="M127" s="152"/>
    </row>
    <row r="128" spans="1:38" ht="16.5" customHeight="1">
      <c r="B128" s="127" t="s">
        <v>29</v>
      </c>
      <c r="C128" s="122"/>
      <c r="D128" s="135" t="e">
        <f>#REF!</f>
        <v>#REF!</v>
      </c>
      <c r="E128" s="135">
        <v>1731</v>
      </c>
      <c r="F128" s="137" t="str">
        <f t="shared" si="3"/>
        <v>n.m.</v>
      </c>
      <c r="M128" s="152"/>
    </row>
    <row r="129" spans="1:38" ht="16.5" customHeight="1">
      <c r="B129" s="126" t="s">
        <v>30</v>
      </c>
      <c r="C129" s="122"/>
      <c r="D129" s="134" t="e">
        <f>#REF!</f>
        <v>#REF!</v>
      </c>
      <c r="E129" s="134">
        <v>1090.7</v>
      </c>
      <c r="F129" s="138" t="str">
        <f t="shared" si="3"/>
        <v>n.m.</v>
      </c>
      <c r="M129" s="152"/>
    </row>
    <row r="130" spans="1:38" ht="16.5" customHeight="1" thickBot="1">
      <c r="B130" s="144" t="s">
        <v>31</v>
      </c>
      <c r="C130" s="122"/>
      <c r="D130" s="142" t="e">
        <f>#REF!</f>
        <v>#REF!</v>
      </c>
      <c r="E130" s="142">
        <v>640.29999999999995</v>
      </c>
      <c r="F130" s="143" t="str">
        <f t="shared" si="3"/>
        <v>n.m.</v>
      </c>
      <c r="M130" s="152"/>
    </row>
    <row r="131" spans="1:38" ht="16.5" customHeight="1" thickTop="1">
      <c r="B131" s="139" t="s">
        <v>32</v>
      </c>
      <c r="C131" s="122"/>
      <c r="D131" s="140" t="e">
        <f>#REF!</f>
        <v>#REF!</v>
      </c>
      <c r="E131" s="140">
        <v>3885.6</v>
      </c>
      <c r="F131" s="141" t="str">
        <f t="shared" si="3"/>
        <v>n.m.</v>
      </c>
      <c r="M131" s="152"/>
    </row>
    <row r="132" spans="1:38" ht="16.5" customHeight="1">
      <c r="B132" s="129" t="s">
        <v>21</v>
      </c>
      <c r="C132" s="130"/>
      <c r="D132" s="135" t="e">
        <f>#REF!</f>
        <v>#REF!</v>
      </c>
      <c r="E132" s="135" t="e">
        <f>#REF!</f>
        <v>#REF!</v>
      </c>
      <c r="F132" s="137" t="str">
        <f t="shared" si="3"/>
        <v>n.m.</v>
      </c>
      <c r="M132" s="152"/>
    </row>
    <row r="133" spans="1:38" ht="16.5" customHeight="1">
      <c r="B133" s="128" t="s">
        <v>72</v>
      </c>
      <c r="C133" s="122"/>
      <c r="D133" s="132" t="e">
        <f>D131/D132</f>
        <v>#REF!</v>
      </c>
      <c r="E133" s="132" t="e">
        <f>E131/E132</f>
        <v>#REF!</v>
      </c>
      <c r="F133" s="131" t="s">
        <v>73</v>
      </c>
      <c r="M133" s="152"/>
    </row>
    <row r="134" spans="1:38" ht="16.5" customHeight="1">
      <c r="M134" s="152"/>
    </row>
    <row r="135" spans="1:38" ht="16.5" customHeight="1">
      <c r="M135" s="152"/>
    </row>
    <row r="136" spans="1:38" ht="16.5" customHeight="1" thickBot="1">
      <c r="M136" s="152"/>
    </row>
    <row r="137" spans="1:38" ht="16.5" customHeight="1" thickBot="1">
      <c r="B137" s="101" t="e">
        <f>#REF!</f>
        <v>#REF!</v>
      </c>
      <c r="C137" s="101"/>
      <c r="D137" s="101" t="s">
        <v>53</v>
      </c>
      <c r="E137" s="103" t="s">
        <v>79</v>
      </c>
      <c r="M137" s="152"/>
    </row>
    <row r="138" spans="1:38" ht="16.5" customHeight="1">
      <c r="B138" s="40" t="s">
        <v>32</v>
      </c>
      <c r="C138" s="119"/>
      <c r="D138" s="119">
        <f>E131</f>
        <v>3885.6</v>
      </c>
      <c r="E138" s="119" t="e">
        <f>D131</f>
        <v>#REF!</v>
      </c>
      <c r="M138" s="152"/>
    </row>
    <row r="139" spans="1:38" ht="16.5" customHeight="1">
      <c r="B139" s="17" t="s">
        <v>72</v>
      </c>
      <c r="C139" s="113"/>
      <c r="D139" s="113" t="e">
        <f>E133</f>
        <v>#REF!</v>
      </c>
      <c r="E139" s="113" t="e">
        <f>D133</f>
        <v>#REF!</v>
      </c>
      <c r="M139" s="152"/>
    </row>
    <row r="140" spans="1:38" ht="16.5" customHeight="1">
      <c r="B140" s="34" t="s">
        <v>56</v>
      </c>
      <c r="C140" s="44"/>
      <c r="D140" s="44"/>
      <c r="E140" s="44"/>
      <c r="M140" s="152"/>
    </row>
    <row r="141" spans="1:38" ht="16.5" customHeight="1">
      <c r="M141" s="152"/>
    </row>
    <row r="142" spans="1:38" ht="16.5" customHeight="1">
      <c r="M142" s="152"/>
    </row>
    <row r="143" spans="1:38" ht="16.5" customHeight="1">
      <c r="A143" s="37"/>
      <c r="B143" s="36"/>
      <c r="C143" s="36"/>
      <c r="D143" s="36"/>
      <c r="E143" s="37"/>
      <c r="F143" s="37"/>
      <c r="G143" s="37"/>
      <c r="H143" s="37"/>
      <c r="I143" s="37"/>
      <c r="J143" s="37"/>
      <c r="K143" s="37"/>
      <c r="L143" s="37"/>
      <c r="M143" s="153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16.5" customHeight="1">
      <c r="A144" s="37"/>
      <c r="B144" s="36"/>
      <c r="C144" s="36"/>
      <c r="D144" s="36"/>
      <c r="E144" s="37"/>
      <c r="F144" s="37"/>
      <c r="G144" s="37"/>
      <c r="H144" s="37"/>
      <c r="I144" s="37"/>
      <c r="J144" s="37"/>
      <c r="K144" s="37"/>
      <c r="L144" s="37"/>
      <c r="M144" s="153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:13" ht="16.5" customHeight="1">
      <c r="M145" s="152"/>
    </row>
    <row r="146" spans="2:13" ht="16.5" customHeight="1">
      <c r="M146" s="152"/>
    </row>
    <row r="147" spans="2:13" ht="16.5" customHeight="1">
      <c r="M147" s="152"/>
    </row>
    <row r="148" spans="2:13" ht="16.5" customHeight="1">
      <c r="B148" s="19" t="s">
        <v>80</v>
      </c>
      <c r="M148" s="152"/>
    </row>
    <row r="149" spans="2:13" ht="16.5" customHeight="1" thickBot="1">
      <c r="M149" s="152"/>
    </row>
    <row r="150" spans="2:13" ht="16.5" customHeight="1" thickTop="1">
      <c r="B150" s="21" t="s">
        <v>39</v>
      </c>
      <c r="C150" s="22">
        <v>2008</v>
      </c>
      <c r="D150" s="22">
        <v>2009</v>
      </c>
      <c r="E150" s="23">
        <v>2010</v>
      </c>
      <c r="F150" s="23">
        <v>2011</v>
      </c>
      <c r="G150" s="23">
        <v>2012</v>
      </c>
      <c r="H150" s="23" t="s">
        <v>53</v>
      </c>
      <c r="I150" s="24" t="s">
        <v>79</v>
      </c>
      <c r="J150" s="26" t="e">
        <f>#REF!</f>
        <v>#REF!</v>
      </c>
      <c r="K150" s="26" t="e">
        <f>#REF!</f>
        <v>#REF!</v>
      </c>
      <c r="M150" s="152"/>
    </row>
    <row r="151" spans="2:13" ht="16.5" customHeight="1">
      <c r="B151" s="17" t="s">
        <v>10</v>
      </c>
      <c r="C151" s="25">
        <v>156</v>
      </c>
      <c r="D151" s="25">
        <v>468</v>
      </c>
      <c r="E151" s="25">
        <f>738447.25/1000</f>
        <v>738.44725000000005</v>
      </c>
      <c r="F151" s="25">
        <f>902310.1150584/1000</f>
        <v>902.31011505840002</v>
      </c>
      <c r="G151" s="25">
        <f>1096630.755244/1000</f>
        <v>1096.6307552440001</v>
      </c>
      <c r="H151" s="15">
        <v>1856.66956</v>
      </c>
      <c r="I151" s="15">
        <v>2297.4108308200002</v>
      </c>
      <c r="J151" s="15" t="e">
        <f>#REF!</f>
        <v>#REF!</v>
      </c>
      <c r="K151" s="15" t="e">
        <f>#REF!</f>
        <v>#REF!</v>
      </c>
      <c r="M151" s="152"/>
    </row>
    <row r="152" spans="2:13" ht="16.5" customHeight="1">
      <c r="B152" s="29" t="s">
        <v>81</v>
      </c>
      <c r="C152" s="30" t="e">
        <f>+(I151/C151)^(1/(I150-C150))-1</f>
        <v>#VALUE!</v>
      </c>
      <c r="D152" s="31"/>
      <c r="E152" s="31"/>
      <c r="F152" s="31"/>
      <c r="G152" s="31"/>
      <c r="H152" s="31"/>
      <c r="I152" s="31"/>
      <c r="J152" s="32"/>
      <c r="K152" s="33"/>
      <c r="M152" s="152"/>
    </row>
    <row r="153" spans="2:13" ht="16.5" customHeight="1">
      <c r="B153" s="34" t="s">
        <v>43</v>
      </c>
      <c r="C153" s="35" t="e">
        <f>(K151/J151)-1</f>
        <v>#REF!</v>
      </c>
      <c r="D153" s="36"/>
      <c r="E153" s="37"/>
      <c r="F153" s="37"/>
      <c r="G153" s="37"/>
      <c r="H153" s="37"/>
      <c r="I153" s="37"/>
      <c r="J153" s="37"/>
      <c r="K153" s="38"/>
      <c r="M153" s="152"/>
    </row>
    <row r="154" spans="2:13" ht="16.5" customHeight="1">
      <c r="B154" s="39" t="s">
        <v>41</v>
      </c>
      <c r="M154" s="152"/>
    </row>
    <row r="155" spans="2:13" ht="16.5" customHeight="1">
      <c r="B155" s="39" t="s">
        <v>40</v>
      </c>
      <c r="M155" s="152"/>
    </row>
    <row r="156" spans="2:13" ht="16.5" customHeight="1">
      <c r="B156" s="39"/>
      <c r="M156" s="152"/>
    </row>
    <row r="157" spans="2:13" ht="16.5" customHeight="1">
      <c r="B157" s="20"/>
      <c r="M157" s="152"/>
    </row>
    <row r="158" spans="2:13" ht="16.5" customHeight="1">
      <c r="M158" s="152"/>
    </row>
    <row r="159" spans="2:13" ht="16.5" customHeight="1">
      <c r="M159" s="152"/>
    </row>
    <row r="160" spans="2:13" ht="16.5" customHeight="1">
      <c r="M160" s="152"/>
    </row>
    <row r="161" spans="1:38" ht="16.5" customHeight="1">
      <c r="A161" s="37"/>
      <c r="B161" s="36"/>
      <c r="C161" s="36"/>
      <c r="D161" s="36"/>
      <c r="E161" s="37"/>
      <c r="F161" s="37"/>
      <c r="G161" s="37"/>
      <c r="H161" s="37"/>
      <c r="I161" s="37"/>
      <c r="J161" s="37"/>
      <c r="K161" s="37"/>
      <c r="L161" s="37"/>
      <c r="M161" s="153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1:38" ht="16.5" customHeight="1">
      <c r="M162" s="152"/>
    </row>
    <row r="163" spans="1:38" ht="16.5" customHeight="1">
      <c r="B163" s="19" t="s">
        <v>44</v>
      </c>
      <c r="M163" s="152"/>
    </row>
    <row r="164" spans="1:38" ht="16.5" customHeight="1" thickBot="1">
      <c r="M164" s="152"/>
    </row>
    <row r="165" spans="1:38" ht="33" customHeight="1" thickTop="1">
      <c r="B165" s="21" t="s">
        <v>45</v>
      </c>
      <c r="C165" s="22">
        <v>2008</v>
      </c>
      <c r="D165" s="22">
        <v>2009</v>
      </c>
      <c r="E165" s="23" t="s">
        <v>50</v>
      </c>
      <c r="F165" s="23">
        <v>2011</v>
      </c>
      <c r="G165" s="23">
        <v>2012</v>
      </c>
      <c r="H165" s="23" t="s">
        <v>53</v>
      </c>
      <c r="I165" s="24" t="s">
        <v>79</v>
      </c>
      <c r="J165" s="26" t="e">
        <f>#REF!</f>
        <v>#REF!</v>
      </c>
      <c r="K165" s="26" t="e">
        <f>#REF!</f>
        <v>#REF!</v>
      </c>
      <c r="M165" s="152"/>
    </row>
    <row r="166" spans="1:38" ht="16.5" customHeight="1">
      <c r="B166" s="40" t="s">
        <v>44</v>
      </c>
      <c r="C166" s="25">
        <v>103</v>
      </c>
      <c r="D166" s="25">
        <v>122.92400000000001</v>
      </c>
      <c r="E166" s="25">
        <v>260</v>
      </c>
      <c r="F166" s="43">
        <v>343.7789643246</v>
      </c>
      <c r="G166" s="25">
        <v>428.32134376412483</v>
      </c>
      <c r="H166" s="15" t="e">
        <f>#REF!</f>
        <v>#REF!</v>
      </c>
      <c r="I166" s="15" t="e">
        <f>#REF!</f>
        <v>#REF!</v>
      </c>
      <c r="J166" s="15" t="e">
        <f>#REF!</f>
        <v>#REF!</v>
      </c>
      <c r="K166" s="15" t="e">
        <f>#REF!</f>
        <v>#REF!</v>
      </c>
      <c r="M166" s="152"/>
    </row>
    <row r="167" spans="1:38" ht="16.5" customHeight="1">
      <c r="B167" s="29" t="s">
        <v>46</v>
      </c>
      <c r="C167" s="42">
        <f t="shared" ref="C167:K167" si="4">C166/C151</f>
        <v>0.66025641025641024</v>
      </c>
      <c r="D167" s="42">
        <f t="shared" si="4"/>
        <v>0.26265811965811969</v>
      </c>
      <c r="E167" s="42">
        <f t="shared" si="4"/>
        <v>0.3520901459108961</v>
      </c>
      <c r="F167" s="42">
        <f t="shared" si="4"/>
        <v>0.38099868170307466</v>
      </c>
      <c r="G167" s="42">
        <f t="shared" si="4"/>
        <v>0.39057936476423499</v>
      </c>
      <c r="H167" s="41" t="e">
        <f t="shared" si="4"/>
        <v>#REF!</v>
      </c>
      <c r="I167" s="41" t="e">
        <f t="shared" si="4"/>
        <v>#REF!</v>
      </c>
      <c r="J167" s="41" t="e">
        <f t="shared" si="4"/>
        <v>#REF!</v>
      </c>
      <c r="K167" s="41" t="e">
        <f t="shared" si="4"/>
        <v>#REF!</v>
      </c>
      <c r="M167" s="152"/>
    </row>
    <row r="168" spans="1:38" ht="16.5" customHeight="1">
      <c r="B168" s="29" t="s">
        <v>42</v>
      </c>
      <c r="C168" s="30" t="e">
        <f>+(I166/C166)^(1/(I165-C165))-1</f>
        <v>#REF!</v>
      </c>
      <c r="D168" s="31"/>
      <c r="E168" s="31"/>
      <c r="F168" s="31"/>
      <c r="G168" s="31"/>
      <c r="H168" s="31"/>
      <c r="I168" s="31"/>
      <c r="J168" s="32"/>
      <c r="K168" s="33"/>
      <c r="M168" s="152"/>
    </row>
    <row r="169" spans="1:38" ht="16.5" customHeight="1">
      <c r="B169" s="40" t="s">
        <v>56</v>
      </c>
      <c r="C169" s="67"/>
      <c r="D169" s="68"/>
      <c r="E169" s="69"/>
      <c r="F169" s="69"/>
      <c r="G169" s="69"/>
      <c r="H169" s="69"/>
      <c r="I169" s="70" t="e">
        <f>(I166/H166)-1</f>
        <v>#REF!</v>
      </c>
      <c r="J169" s="69"/>
      <c r="K169" s="70" t="e">
        <f>(K166/J166)-1</f>
        <v>#REF!</v>
      </c>
      <c r="M169" s="152"/>
    </row>
    <row r="170" spans="1:38" ht="16.5" customHeight="1">
      <c r="B170" s="39" t="s">
        <v>41</v>
      </c>
      <c r="M170" s="152"/>
    </row>
    <row r="171" spans="1:38" ht="16.5" customHeight="1">
      <c r="B171" s="39" t="s">
        <v>40</v>
      </c>
      <c r="M171" s="152"/>
    </row>
    <row r="172" spans="1:38" ht="16.5" customHeight="1">
      <c r="B172" s="39" t="s">
        <v>48</v>
      </c>
      <c r="M172" s="152"/>
    </row>
    <row r="173" spans="1:38" ht="16.5" customHeight="1">
      <c r="M173" s="152"/>
    </row>
    <row r="174" spans="1:38" ht="16.5" customHeight="1">
      <c r="M174" s="152"/>
    </row>
    <row r="175" spans="1:38" ht="16.5" customHeight="1">
      <c r="M175" s="152"/>
    </row>
    <row r="176" spans="1:38" ht="16.5" customHeight="1">
      <c r="A176" s="37"/>
      <c r="B176" s="36"/>
      <c r="C176" s="36"/>
      <c r="D176" s="36"/>
      <c r="E176" s="37"/>
      <c r="F176" s="37"/>
      <c r="G176" s="37"/>
      <c r="H176" s="37"/>
      <c r="I176" s="37"/>
      <c r="J176" s="37"/>
      <c r="K176" s="37"/>
      <c r="L176" s="37"/>
      <c r="M176" s="153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1:38" ht="16.5" customHeight="1">
      <c r="A177" s="32"/>
      <c r="B177" s="31"/>
      <c r="C177" s="31"/>
      <c r="D177" s="31"/>
      <c r="E177" s="32"/>
      <c r="F177" s="32"/>
      <c r="G177" s="32"/>
      <c r="H177" s="32"/>
      <c r="I177" s="32"/>
      <c r="J177" s="32"/>
      <c r="K177" s="32"/>
      <c r="L177" s="151"/>
      <c r="M177" s="154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</row>
    <row r="178" spans="1:38" ht="16.5" customHeight="1">
      <c r="B178" s="19" t="s">
        <v>47</v>
      </c>
      <c r="M178" s="152"/>
    </row>
    <row r="179" spans="1:38" ht="16.5" customHeight="1" thickBot="1">
      <c r="M179" s="152"/>
    </row>
    <row r="180" spans="1:38" ht="16.5" customHeight="1" thickTop="1">
      <c r="B180" s="62" t="s">
        <v>39</v>
      </c>
      <c r="C180" s="23" t="e">
        <f>#REF!</f>
        <v>#REF!</v>
      </c>
      <c r="D180" s="23" t="e">
        <f>#REF!</f>
        <v>#REF!</v>
      </c>
      <c r="E180" s="23"/>
      <c r="F180" s="23" t="e">
        <f>#REF!</f>
        <v>#REF!</v>
      </c>
      <c r="G180" s="24" t="e">
        <f>#REF!</f>
        <v>#REF!</v>
      </c>
      <c r="M180" s="152"/>
    </row>
    <row r="181" spans="1:38" ht="16.5" customHeight="1">
      <c r="B181" s="40" t="s">
        <v>10</v>
      </c>
      <c r="C181" s="16" t="e">
        <f>#REF!</f>
        <v>#REF!</v>
      </c>
      <c r="D181" s="16" t="e">
        <f>#REF!</f>
        <v>#REF!</v>
      </c>
      <c r="E181" s="60"/>
      <c r="F181" s="16" t="e">
        <f>#REF!</f>
        <v>#REF!</v>
      </c>
      <c r="G181" s="16" t="e">
        <f>#REF!</f>
        <v>#REF!</v>
      </c>
      <c r="M181" s="152"/>
    </row>
    <row r="182" spans="1:38" ht="16.5" customHeight="1">
      <c r="B182" s="34" t="s">
        <v>56</v>
      </c>
      <c r="C182" s="44"/>
      <c r="D182" s="44" t="e">
        <f>(D181/C181)-1</f>
        <v>#REF!</v>
      </c>
      <c r="E182" s="61"/>
      <c r="F182" s="59"/>
      <c r="G182" s="44" t="e">
        <f>(G181/F181)-1</f>
        <v>#REF!</v>
      </c>
      <c r="M182" s="152"/>
    </row>
    <row r="183" spans="1:38" ht="16.5" customHeight="1">
      <c r="B183"/>
      <c r="C183"/>
      <c r="D183"/>
      <c r="M183" s="152"/>
    </row>
    <row r="184" spans="1:38" ht="16.5" customHeight="1">
      <c r="B184"/>
      <c r="C184"/>
      <c r="D184"/>
      <c r="M184" s="152"/>
    </row>
    <row r="185" spans="1:38" ht="16.5" customHeight="1">
      <c r="B185"/>
      <c r="C185"/>
      <c r="D185"/>
      <c r="M185" s="152"/>
    </row>
    <row r="186" spans="1:38" ht="16.5" customHeight="1">
      <c r="B186"/>
      <c r="C186"/>
      <c r="D186"/>
      <c r="M186" s="152"/>
    </row>
    <row r="187" spans="1:38" ht="16.5" customHeight="1">
      <c r="B187"/>
      <c r="C187"/>
      <c r="D187"/>
      <c r="M187" s="152"/>
    </row>
    <row r="188" spans="1:38" ht="16.5" customHeight="1">
      <c r="B188"/>
      <c r="C188"/>
      <c r="D188"/>
      <c r="M188" s="152"/>
    </row>
    <row r="189" spans="1:38" ht="16.5" customHeight="1">
      <c r="B189"/>
      <c r="C189"/>
      <c r="D189"/>
      <c r="M189" s="152"/>
    </row>
    <row r="190" spans="1:38" ht="16.5" customHeight="1">
      <c r="B190"/>
      <c r="C190"/>
      <c r="D190"/>
      <c r="M190" s="152"/>
    </row>
    <row r="191" spans="1:38" ht="16.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153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1:38" ht="16.5" customHeight="1">
      <c r="B192"/>
      <c r="C192"/>
      <c r="D192"/>
      <c r="M192" s="152"/>
    </row>
    <row r="193" spans="1:38" ht="16.5" customHeight="1">
      <c r="B193" s="19" t="s">
        <v>47</v>
      </c>
      <c r="C193"/>
      <c r="D193"/>
      <c r="M193" s="152"/>
    </row>
    <row r="194" spans="1:38" ht="16.5" customHeight="1">
      <c r="M194" s="152"/>
    </row>
    <row r="195" spans="1:38" ht="16.5" customHeight="1" thickBot="1">
      <c r="B195"/>
      <c r="G195" s="56" t="s">
        <v>49</v>
      </c>
      <c r="M195" s="152"/>
    </row>
    <row r="196" spans="1:38" ht="33.75" thickTop="1">
      <c r="B196" s="27" t="s">
        <v>5</v>
      </c>
      <c r="C196" s="9" t="e">
        <f>#REF!</f>
        <v>#REF!</v>
      </c>
      <c r="D196" s="9" t="e">
        <f>#REF!</f>
        <v>#REF!</v>
      </c>
      <c r="E196" s="10" t="s">
        <v>3</v>
      </c>
      <c r="G196" s="28" t="e">
        <f>D196</f>
        <v>#REF!</v>
      </c>
      <c r="H196" s="28" t="s">
        <v>1</v>
      </c>
      <c r="I196" s="28" t="s">
        <v>2</v>
      </c>
      <c r="J196" s="28" t="s">
        <v>4</v>
      </c>
      <c r="K196" s="28" t="e">
        <f>C196</f>
        <v>#REF!</v>
      </c>
      <c r="M196" s="152"/>
    </row>
    <row r="197" spans="1:38" ht="16.5">
      <c r="B197" s="81" t="e">
        <f>#REF!</f>
        <v>#REF!</v>
      </c>
      <c r="C197" s="12" t="e">
        <f>SUM(C198:C201)</f>
        <v>#REF!</v>
      </c>
      <c r="D197" s="12" t="e">
        <f>SUM(D198:D201)</f>
        <v>#REF!</v>
      </c>
      <c r="E197" s="6" t="str">
        <f t="shared" ref="E197:E202" si="5">IFERROR((C197/D197)-1,"n.m.")</f>
        <v>n.m.</v>
      </c>
      <c r="G197" s="58" t="str">
        <f>D202</f>
        <v>n.m.</v>
      </c>
      <c r="H197" s="58" t="e">
        <f>G197+(C198-D198)</f>
        <v>#VALUE!</v>
      </c>
      <c r="I197" s="58" t="e">
        <f>H197</f>
        <v>#VALUE!</v>
      </c>
      <c r="J197" s="58" t="e">
        <f>I198+I197</f>
        <v>#REF!</v>
      </c>
      <c r="K197" s="58" t="e">
        <f>J197+J198</f>
        <v>#REF!</v>
      </c>
      <c r="L197" s="57" t="e">
        <f>C202=K197</f>
        <v>#REF!</v>
      </c>
      <c r="M197" s="152"/>
    </row>
    <row r="198" spans="1:38" ht="16.5">
      <c r="B198" s="45" t="e">
        <f>#REF!</f>
        <v>#REF!</v>
      </c>
      <c r="C198" s="46" t="e">
        <f>#REF!</f>
        <v>#REF!</v>
      </c>
      <c r="D198" s="46" t="e">
        <f>#REF!</f>
        <v>#REF!</v>
      </c>
      <c r="E198" s="47" t="str">
        <f t="shared" si="5"/>
        <v>n.m.</v>
      </c>
      <c r="G198" s="72">
        <v>0</v>
      </c>
      <c r="H198" s="58" t="e">
        <f>(C198-D198)</f>
        <v>#REF!</v>
      </c>
      <c r="I198" s="58" t="e">
        <f>C199-D199</f>
        <v>#REF!</v>
      </c>
      <c r="J198" s="58" t="e">
        <f>C200-D200</f>
        <v>#REF!</v>
      </c>
      <c r="K198" s="72">
        <v>0</v>
      </c>
      <c r="M198" s="152"/>
    </row>
    <row r="199" spans="1:38" ht="16.5">
      <c r="B199" s="85" t="e">
        <f>#REF!</f>
        <v>#REF!</v>
      </c>
      <c r="C199" s="84" t="e">
        <f>#REF!</f>
        <v>#REF!</v>
      </c>
      <c r="D199" s="84" t="e">
        <f>#REF!</f>
        <v>#REF!</v>
      </c>
      <c r="E199" s="79" t="str">
        <f t="shared" si="5"/>
        <v>n.m.</v>
      </c>
      <c r="M199" s="152"/>
    </row>
    <row r="200" spans="1:38" ht="16.5">
      <c r="B200" s="45" t="e">
        <f>#REF!</f>
        <v>#REF!</v>
      </c>
      <c r="C200" s="46" t="e">
        <f>#REF!</f>
        <v>#REF!</v>
      </c>
      <c r="D200" s="46" t="e">
        <f>#REF!</f>
        <v>#REF!</v>
      </c>
      <c r="E200" s="47" t="str">
        <f t="shared" si="5"/>
        <v>n.m.</v>
      </c>
      <c r="M200" s="152"/>
    </row>
    <row r="201" spans="1:38" ht="17.25" thickBot="1">
      <c r="B201" s="85" t="e">
        <f>#REF!</f>
        <v>#REF!</v>
      </c>
      <c r="C201" s="84" t="e">
        <f>#REF!</f>
        <v>#REF!</v>
      </c>
      <c r="D201" s="84" t="e">
        <f>#REF!</f>
        <v>#REF!</v>
      </c>
      <c r="E201" s="79" t="str">
        <f t="shared" si="5"/>
        <v>n.m.</v>
      </c>
      <c r="M201" s="152"/>
    </row>
    <row r="202" spans="1:38" ht="18" thickTop="1" thickBot="1">
      <c r="B202" s="7" t="s">
        <v>23</v>
      </c>
      <c r="C202" s="52" t="str">
        <f>IFERROR((C197-C201),"n.m.")</f>
        <v>n.m.</v>
      </c>
      <c r="D202" s="52" t="str">
        <f>IFERROR((D197-D201),"n.m.")</f>
        <v>n.m.</v>
      </c>
      <c r="E202" s="8" t="str">
        <f t="shared" si="5"/>
        <v>n.m.</v>
      </c>
      <c r="M202" s="152"/>
    </row>
    <row r="203" spans="1:38" ht="17.25" thickTop="1">
      <c r="B203" s="13" t="s">
        <v>24</v>
      </c>
      <c r="C203" s="50"/>
      <c r="D203" s="50"/>
      <c r="E203" s="51"/>
      <c r="M203" s="152"/>
    </row>
    <row r="204" spans="1:38" ht="16.5">
      <c r="B204" s="14" t="s">
        <v>12</v>
      </c>
      <c r="C204" s="53"/>
      <c r="D204" s="53"/>
      <c r="E204" s="54"/>
      <c r="M204" s="152"/>
    </row>
    <row r="205" spans="1:38" ht="16.5">
      <c r="B205" s="13"/>
      <c r="C205" s="53"/>
      <c r="D205" s="53"/>
      <c r="E205" s="54"/>
      <c r="M205" s="152"/>
    </row>
    <row r="206" spans="1:38" ht="16.5">
      <c r="A206" s="37"/>
      <c r="B206" s="55"/>
      <c r="C206" s="48"/>
      <c r="D206" s="48"/>
      <c r="E206" s="49"/>
      <c r="F206" s="37"/>
      <c r="G206" s="37"/>
      <c r="H206" s="37"/>
      <c r="I206" s="37"/>
      <c r="J206" s="37"/>
      <c r="K206" s="37"/>
      <c r="L206" s="37"/>
      <c r="M206" s="153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1:38" ht="16.5" customHeight="1">
      <c r="B207" s="13"/>
      <c r="C207" s="53"/>
      <c r="D207" s="53"/>
      <c r="E207" s="54"/>
      <c r="M207" s="152"/>
    </row>
    <row r="208" spans="1:38" ht="16.5" customHeight="1">
      <c r="B208" s="19" t="s">
        <v>55</v>
      </c>
      <c r="C208" s="53"/>
      <c r="D208" s="53"/>
      <c r="E208" s="54"/>
      <c r="M208" s="152"/>
    </row>
    <row r="209" spans="1:38" ht="16.5" customHeight="1" thickBot="1">
      <c r="B209" s="13"/>
      <c r="C209" s="53"/>
      <c r="D209" s="53"/>
      <c r="E209" s="54"/>
      <c r="M209" s="152"/>
    </row>
    <row r="210" spans="1:38" ht="16.5" customHeight="1" thickTop="1">
      <c r="B210" s="27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52"/>
    </row>
    <row r="211" spans="1:38" ht="16.5" customHeight="1">
      <c r="B211" s="81" t="e">
        <f>#REF!</f>
        <v>#REF!</v>
      </c>
      <c r="C211" s="82" t="e">
        <f>SUM(C212:C215)</f>
        <v>#REF!</v>
      </c>
      <c r="D211" s="82" t="e">
        <f>SUM(D212:D215)</f>
        <v>#REF!</v>
      </c>
      <c r="E211" s="83" t="str">
        <f>IFERROR((C211/D211)-1,"n.m.")</f>
        <v>n.m.</v>
      </c>
      <c r="M211" s="152"/>
    </row>
    <row r="212" spans="1:38" ht="16.5" customHeight="1">
      <c r="B212" s="45" t="e">
        <f>#REF!</f>
        <v>#REF!</v>
      </c>
      <c r="C212" s="46" t="e">
        <f>#REF!</f>
        <v>#REF!</v>
      </c>
      <c r="D212" s="46" t="e">
        <f>#REF!</f>
        <v>#REF!</v>
      </c>
      <c r="E212" s="47" t="str">
        <f>IFERROR((C212/D212)-1,"n.m.")</f>
        <v>n.m.</v>
      </c>
      <c r="M212" s="152"/>
    </row>
    <row r="213" spans="1:38" ht="16.5" customHeight="1">
      <c r="B213" s="85" t="e">
        <f>#REF!</f>
        <v>#REF!</v>
      </c>
      <c r="C213" s="84" t="e">
        <f>#REF!</f>
        <v>#REF!</v>
      </c>
      <c r="D213" s="84" t="e">
        <f>#REF!</f>
        <v>#REF!</v>
      </c>
      <c r="E213" s="79" t="str">
        <f>IFERROR((C213/D213)-1,"n.m.")</f>
        <v>n.m.</v>
      </c>
      <c r="M213" s="152"/>
    </row>
    <row r="214" spans="1:38" ht="16.5" customHeight="1">
      <c r="B214" s="45" t="e">
        <f>#REF!</f>
        <v>#REF!</v>
      </c>
      <c r="C214" s="46" t="e">
        <f>#REF!</f>
        <v>#REF!</v>
      </c>
      <c r="D214" s="46" t="e">
        <f>#REF!</f>
        <v>#REF!</v>
      </c>
      <c r="E214" s="47" t="str">
        <f>IFERROR((C214/D214)-1,"n.m.")</f>
        <v>n.m.</v>
      </c>
      <c r="M214" s="152"/>
    </row>
    <row r="215" spans="1:38" ht="16.5" customHeight="1">
      <c r="B215" s="85" t="e">
        <f>#REF!</f>
        <v>#REF!</v>
      </c>
      <c r="C215" s="84" t="e">
        <f>#REF!</f>
        <v>#REF!</v>
      </c>
      <c r="D215" s="84" t="e">
        <f>#REF!</f>
        <v>#REF!</v>
      </c>
      <c r="E215" s="79" t="str">
        <f>IFERROR((C215/D215)-1,"n.m.")</f>
        <v>n.m.</v>
      </c>
      <c r="M215" s="152"/>
    </row>
    <row r="216" spans="1:38" ht="16.5" customHeight="1" thickBot="1">
      <c r="B216"/>
      <c r="C216"/>
      <c r="D216"/>
      <c r="M216" s="152"/>
    </row>
    <row r="217" spans="1:38" ht="16.5" customHeight="1" thickTop="1">
      <c r="B217" s="27" t="e">
        <f>#REF!</f>
        <v>#REF!</v>
      </c>
      <c r="C217" s="9" t="e">
        <f>#REF!</f>
        <v>#REF!</v>
      </c>
      <c r="D217" s="18" t="e">
        <f>#REF!</f>
        <v>#REF!</v>
      </c>
      <c r="E217" s="73"/>
      <c r="F217" s="9" t="e">
        <f>#REF!</f>
        <v>#REF!</v>
      </c>
      <c r="G217" s="28" t="e">
        <f>#REF!</f>
        <v>#REF!</v>
      </c>
      <c r="M217" s="152"/>
    </row>
    <row r="218" spans="1:38" ht="16.5" customHeight="1">
      <c r="B218" s="40" t="e">
        <f>#REF!</f>
        <v>#REF!</v>
      </c>
      <c r="C218" s="80" t="e">
        <f>#REF!*(-1)</f>
        <v>#REF!</v>
      </c>
      <c r="D218" s="80" t="e">
        <f>#REF!*(-1)</f>
        <v>#REF!</v>
      </c>
      <c r="E218" s="60"/>
      <c r="F218" s="80" t="e">
        <f>#REF!*(-1)</f>
        <v>#REF!</v>
      </c>
      <c r="G218" s="80" t="e">
        <f>#REF!*(-1)</f>
        <v>#REF!</v>
      </c>
      <c r="M218" s="152"/>
    </row>
    <row r="219" spans="1:38" ht="16.5" customHeight="1">
      <c r="B219" s="34" t="s">
        <v>56</v>
      </c>
      <c r="C219" s="44"/>
      <c r="D219" s="44" t="e">
        <f>(D218/C218)-1</f>
        <v>#REF!</v>
      </c>
      <c r="E219" s="61"/>
      <c r="F219" s="59"/>
      <c r="G219" s="44" t="e">
        <f>(G218/F218)-1</f>
        <v>#REF!</v>
      </c>
      <c r="M219" s="152"/>
    </row>
    <row r="220" spans="1:38" ht="16.5" customHeight="1">
      <c r="B220" s="13"/>
      <c r="C220" s="53"/>
      <c r="D220" s="53"/>
      <c r="E220" s="54"/>
      <c r="M220" s="152"/>
    </row>
    <row r="221" spans="1:38" ht="16.5" customHeight="1">
      <c r="A221" s="37"/>
      <c r="B221" s="55"/>
      <c r="C221" s="48"/>
      <c r="D221" s="48"/>
      <c r="E221" s="49"/>
      <c r="F221" s="37"/>
      <c r="G221" s="37"/>
      <c r="H221" s="37"/>
      <c r="I221" s="37"/>
      <c r="J221" s="37"/>
      <c r="K221" s="37"/>
      <c r="L221" s="37"/>
      <c r="M221" s="153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1:38" ht="16.5" customHeight="1">
      <c r="B222" s="13"/>
      <c r="C222" s="53"/>
      <c r="D222" s="53"/>
      <c r="E222" s="54"/>
      <c r="M222" s="152"/>
    </row>
    <row r="223" spans="1:38" ht="16.5" customHeight="1" thickBot="1">
      <c r="B223" s="13"/>
      <c r="C223" s="56" t="s">
        <v>49</v>
      </c>
      <c r="D223"/>
      <c r="M223" s="152"/>
    </row>
    <row r="224" spans="1:38" ht="33" customHeight="1" thickTop="1">
      <c r="B224"/>
      <c r="C224" s="28" t="e">
        <f>#REF!</f>
        <v>#REF!</v>
      </c>
      <c r="D224" s="28" t="e">
        <f>#REF!</f>
        <v>#REF!</v>
      </c>
      <c r="E224" s="28" t="e">
        <f>#REF!</f>
        <v>#REF!</v>
      </c>
      <c r="F224" s="28" t="e">
        <f>#REF!</f>
        <v>#REF!</v>
      </c>
      <c r="G224" s="28" t="e">
        <f>#REF!</f>
        <v>#REF!</v>
      </c>
      <c r="H224" s="28" t="e">
        <f>#REF!</f>
        <v>#REF!</v>
      </c>
      <c r="I224" s="28" t="e">
        <f>#REF!</f>
        <v>#REF!</v>
      </c>
      <c r="J224" s="28" t="e">
        <f>#REF!</f>
        <v>#REF!</v>
      </c>
      <c r="M224" s="152"/>
    </row>
    <row r="225" spans="1:38" ht="16.5" customHeight="1">
      <c r="B225"/>
      <c r="C225" s="58" t="e">
        <f>D211*(-1)</f>
        <v>#REF!</v>
      </c>
      <c r="D225" s="58" t="e">
        <f>C225</f>
        <v>#REF!</v>
      </c>
      <c r="E225" s="58" t="e">
        <f t="shared" ref="E225:J225" si="6">D225+D226</f>
        <v>#REF!</v>
      </c>
      <c r="F225" s="58" t="e">
        <f t="shared" si="6"/>
        <v>#REF!</v>
      </c>
      <c r="G225" s="58" t="e">
        <f t="shared" si="6"/>
        <v>#REF!</v>
      </c>
      <c r="H225" s="58" t="e">
        <f t="shared" si="6"/>
        <v>#REF!</v>
      </c>
      <c r="I225" s="58" t="e">
        <f t="shared" si="6"/>
        <v>#REF!</v>
      </c>
      <c r="J225" s="58" t="e">
        <f t="shared" si="6"/>
        <v>#REF!</v>
      </c>
      <c r="K225" s="57" t="e">
        <f>-C211=J225</f>
        <v>#REF!</v>
      </c>
      <c r="M225" s="152"/>
    </row>
    <row r="226" spans="1:38" ht="16.5" customHeight="1">
      <c r="B226"/>
      <c r="C226" s="72">
        <v>0</v>
      </c>
      <c r="D226" s="58" t="e">
        <f>(-1)*(#REF!-#REF!)</f>
        <v>#REF!</v>
      </c>
      <c r="E226" s="58" t="e">
        <f>(-1)*(#REF!-#REF!)</f>
        <v>#REF!</v>
      </c>
      <c r="F226" s="58" t="e">
        <f>(-1)*(#REF!-#REF!)</f>
        <v>#REF!</v>
      </c>
      <c r="G226" s="58" t="e">
        <f>(-1)*(#REF!-#REF!)</f>
        <v>#REF!</v>
      </c>
      <c r="H226" s="58" t="e">
        <f>(-1)*(#REF!-#REF!)</f>
        <v>#REF!</v>
      </c>
      <c r="I226" s="58" t="e">
        <f>(-1)*(#REF!-#REF!)</f>
        <v>#REF!</v>
      </c>
      <c r="J226" s="72">
        <v>0</v>
      </c>
      <c r="M226" s="152"/>
    </row>
    <row r="227" spans="1:38" ht="16.5" customHeight="1">
      <c r="B227"/>
      <c r="C227"/>
      <c r="D227"/>
      <c r="M227" s="152"/>
    </row>
    <row r="228" spans="1:38" ht="16.5" customHeight="1">
      <c r="B228" s="19" t="s">
        <v>55</v>
      </c>
      <c r="C228" s="53"/>
      <c r="D228" s="53"/>
      <c r="M228" s="152"/>
    </row>
    <row r="229" spans="1:38" ht="16.5" customHeight="1" thickBot="1">
      <c r="B229"/>
      <c r="C229"/>
      <c r="D229" s="53"/>
      <c r="M229" s="152"/>
    </row>
    <row r="230" spans="1:38" ht="16.5" customHeight="1" thickTop="1">
      <c r="B230" s="27" t="s">
        <v>5</v>
      </c>
      <c r="C230" s="9" t="e">
        <f>#REF!</f>
        <v>#REF!</v>
      </c>
      <c r="D230" s="28" t="s">
        <v>51</v>
      </c>
      <c r="E230" s="73"/>
      <c r="F230" s="9" t="s">
        <v>79</v>
      </c>
      <c r="G230" s="28" t="s">
        <v>51</v>
      </c>
      <c r="M230" s="152"/>
    </row>
    <row r="231" spans="1:38" ht="16.5" customHeight="1">
      <c r="B231" s="45" t="e">
        <f>#REF!</f>
        <v>#REF!</v>
      </c>
      <c r="C231" s="46" t="e">
        <f>#REF!*-1</f>
        <v>#REF!</v>
      </c>
      <c r="D231" s="65" t="e">
        <f>C231/$C$235</f>
        <v>#REF!</v>
      </c>
      <c r="E231" s="60"/>
      <c r="F231" s="46" t="e">
        <f>#REF!*-1</f>
        <v>#REF!</v>
      </c>
      <c r="G231" s="65" t="e">
        <f>F231/$F$235</f>
        <v>#REF!</v>
      </c>
      <c r="M231" s="152"/>
      <c r="AA231" s="1"/>
      <c r="AE231" s="1"/>
      <c r="AF231" s="1"/>
      <c r="AG231" s="1"/>
    </row>
    <row r="232" spans="1:38" ht="16.5" customHeight="1">
      <c r="B232" s="85" t="e">
        <f>#REF!</f>
        <v>#REF!</v>
      </c>
      <c r="C232" s="84" t="e">
        <f>#REF!*-1</f>
        <v>#REF!</v>
      </c>
      <c r="D232" s="74" t="e">
        <f>C232/$C$235</f>
        <v>#REF!</v>
      </c>
      <c r="E232" s="61"/>
      <c r="F232" s="84" t="e">
        <f>#REF!*-1</f>
        <v>#REF!</v>
      </c>
      <c r="G232" s="74" t="e">
        <f>F232/$F$235</f>
        <v>#REF!</v>
      </c>
      <c r="M232" s="152"/>
      <c r="AA232" s="1"/>
      <c r="AB232" s="1"/>
      <c r="AE232" s="1"/>
      <c r="AF232" s="1"/>
      <c r="AG232" s="1"/>
    </row>
    <row r="233" spans="1:38" ht="16.5" customHeight="1">
      <c r="B233" s="45" t="e">
        <f>#REF!</f>
        <v>#REF!</v>
      </c>
      <c r="C233" s="46" t="e">
        <f>#REF!*-1</f>
        <v>#REF!</v>
      </c>
      <c r="D233" s="65" t="e">
        <f>C233/$C$235</f>
        <v>#REF!</v>
      </c>
      <c r="E233" s="61"/>
      <c r="F233" s="46" t="e">
        <f>#REF!*-1</f>
        <v>#REF!</v>
      </c>
      <c r="G233" s="65" t="e">
        <f>F233/$F$235</f>
        <v>#REF!</v>
      </c>
      <c r="M233" s="152"/>
      <c r="AA233" s="1"/>
      <c r="AB233" s="1"/>
      <c r="AE233" s="1"/>
      <c r="AF233" s="1"/>
    </row>
    <row r="234" spans="1:38" ht="16.5" customHeight="1" thickBot="1">
      <c r="B234" s="85" t="e">
        <f>#REF!</f>
        <v>#REF!</v>
      </c>
      <c r="C234" s="84" t="e">
        <f>#REF!*-1</f>
        <v>#REF!</v>
      </c>
      <c r="D234" s="74" t="e">
        <f>C234/$C$235</f>
        <v>#REF!</v>
      </c>
      <c r="E234" s="61"/>
      <c r="F234" s="84" t="e">
        <f>#REF!*-1</f>
        <v>#REF!</v>
      </c>
      <c r="G234" s="74" t="e">
        <f>F234/$F$235</f>
        <v>#REF!</v>
      </c>
      <c r="M234" s="152"/>
      <c r="AA234" s="1"/>
      <c r="AB234" s="1"/>
    </row>
    <row r="235" spans="1:38" ht="16.5" customHeight="1" thickTop="1" thickBot="1">
      <c r="B235" s="7" t="s">
        <v>0</v>
      </c>
      <c r="C235" s="63" t="e">
        <f>SUM(C231:C234)</f>
        <v>#REF!</v>
      </c>
      <c r="D235" s="64" t="e">
        <f>SUM(D231:D234)</f>
        <v>#REF!</v>
      </c>
      <c r="E235" s="61"/>
      <c r="F235" s="63" t="e">
        <f>SUM(F231:F234)</f>
        <v>#REF!</v>
      </c>
      <c r="G235" s="64" t="e">
        <f>SUM(G231:G234)</f>
        <v>#REF!</v>
      </c>
      <c r="M235" s="152"/>
      <c r="AA235" s="1"/>
      <c r="AE235" s="1"/>
      <c r="AF235" s="1"/>
    </row>
    <row r="236" spans="1:38" ht="16.5" customHeight="1" thickTop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153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1:38" ht="16.5" customHeight="1">
      <c r="B237"/>
      <c r="C237"/>
      <c r="D237"/>
      <c r="M237" s="152"/>
      <c r="Z237" s="3"/>
      <c r="AA237" s="2"/>
    </row>
    <row r="238" spans="1:38" ht="16.5" customHeight="1">
      <c r="B238" s="19" t="s">
        <v>57</v>
      </c>
      <c r="M238" s="152"/>
    </row>
    <row r="239" spans="1:38" ht="16.5" customHeight="1" thickBot="1">
      <c r="M239" s="152"/>
    </row>
    <row r="240" spans="1:38" ht="16.5" customHeight="1" thickTop="1">
      <c r="B240" s="27" t="e">
        <f>#REF!</f>
        <v>#REF!</v>
      </c>
      <c r="C240" s="9" t="e">
        <f>#REF!</f>
        <v>#REF!</v>
      </c>
      <c r="D240" s="9" t="e">
        <f>#REF!</f>
        <v>#REF!</v>
      </c>
      <c r="E240" s="23"/>
      <c r="F240" s="9" t="e">
        <f>#REF!</f>
        <v>#REF!</v>
      </c>
      <c r="G240" s="28" t="e">
        <f>#REF!</f>
        <v>#REF!</v>
      </c>
      <c r="M240" s="152"/>
    </row>
    <row r="241" spans="2:13" ht="16.5" customHeight="1">
      <c r="B241" s="40" t="e">
        <f>#REF!</f>
        <v>#REF!</v>
      </c>
      <c r="C241" s="80" t="e">
        <f>#REF!</f>
        <v>#REF!</v>
      </c>
      <c r="D241" s="80" t="e">
        <f>#REF!</f>
        <v>#REF!</v>
      </c>
      <c r="E241" s="60"/>
      <c r="F241" s="80" t="e">
        <f>#REF!</f>
        <v>#REF!</v>
      </c>
      <c r="G241" s="80" t="e">
        <f>#REF!</f>
        <v>#REF!</v>
      </c>
      <c r="M241" s="152"/>
    </row>
    <row r="242" spans="2:13" ht="16.5" customHeight="1">
      <c r="B242" s="17" t="e">
        <f>#REF!</f>
        <v>#REF!</v>
      </c>
      <c r="C242" s="76" t="e">
        <f>#REF!</f>
        <v>#REF!</v>
      </c>
      <c r="D242" s="76" t="e">
        <f>#REF!</f>
        <v>#REF!</v>
      </c>
      <c r="E242" s="77"/>
      <c r="F242" s="76" t="e">
        <f>#REF!</f>
        <v>#REF!</v>
      </c>
      <c r="G242" s="76" t="e">
        <f>#REF!</f>
        <v>#REF!</v>
      </c>
      <c r="M242" s="152"/>
    </row>
    <row r="243" spans="2:13" ht="16.5" customHeight="1">
      <c r="B243" s="34" t="s">
        <v>56</v>
      </c>
      <c r="C243" s="44"/>
      <c r="D243" s="44" t="e">
        <f>(D241/C241)-1</f>
        <v>#REF!</v>
      </c>
      <c r="E243" s="78"/>
      <c r="F243" s="75"/>
      <c r="G243" s="44" t="e">
        <f>(G241/F241)-1</f>
        <v>#REF!</v>
      </c>
      <c r="M243" s="152"/>
    </row>
    <row r="244" spans="2:13" ht="16.5" customHeight="1">
      <c r="M244" s="152"/>
    </row>
    <row r="245" spans="2:13" ht="16.5" customHeight="1" thickBot="1">
      <c r="D245" s="56" t="s">
        <v>49</v>
      </c>
      <c r="M245" s="152"/>
    </row>
    <row r="246" spans="2:13" ht="16.5" customHeight="1" thickTop="1">
      <c r="D246" s="28" t="e">
        <f>#REF!</f>
        <v>#REF!</v>
      </c>
      <c r="E246" s="28" t="e">
        <f>#REF!</f>
        <v>#REF!</v>
      </c>
      <c r="F246" s="28" t="e">
        <f>#REF!</f>
        <v>#REF!</v>
      </c>
      <c r="G246" s="28" t="e">
        <f>#REF!</f>
        <v>#REF!</v>
      </c>
      <c r="H246" s="28" t="s">
        <v>58</v>
      </c>
      <c r="I246" s="28" t="e">
        <f>#REF!</f>
        <v>#REF!</v>
      </c>
      <c r="M246" s="152"/>
    </row>
    <row r="247" spans="2:13" ht="16.5" customHeight="1">
      <c r="D247" s="58" t="e">
        <f>#REF!</f>
        <v>#REF!</v>
      </c>
      <c r="E247" s="58" t="e">
        <f>D247</f>
        <v>#REF!</v>
      </c>
      <c r="F247" s="58" t="e">
        <f>E247+E248</f>
        <v>#REF!</v>
      </c>
      <c r="G247" s="58" t="e">
        <f>F247+F248</f>
        <v>#REF!</v>
      </c>
      <c r="H247" s="58" t="e">
        <f>(G247+G248)</f>
        <v>#REF!</v>
      </c>
      <c r="I247" s="58" t="e">
        <f>H247-H248</f>
        <v>#REF!</v>
      </c>
      <c r="J247" s="57" t="e">
        <f>G241=I247</f>
        <v>#REF!</v>
      </c>
      <c r="M247" s="152"/>
    </row>
    <row r="248" spans="2:13" ht="16.5" customHeight="1">
      <c r="D248" s="72">
        <v>0</v>
      </c>
      <c r="E248" s="71" t="e">
        <f>(#REF!-#REF!)</f>
        <v>#REF!</v>
      </c>
      <c r="F248" s="58" t="e">
        <f>#REF!-#REF!</f>
        <v>#REF!</v>
      </c>
      <c r="G248" s="58" t="e">
        <f>#REF!-#REF!</f>
        <v>#REF!</v>
      </c>
      <c r="H248" s="71" t="e">
        <f>((#REF!-#REF!)+(#REF!-#REF!))*-1</f>
        <v>#REF!</v>
      </c>
      <c r="I248" s="72">
        <v>0</v>
      </c>
      <c r="M248" s="152"/>
    </row>
    <row r="249" spans="2:13" ht="16.5" customHeight="1">
      <c r="D249" s="5"/>
      <c r="M249" s="152"/>
    </row>
    <row r="250" spans="2:13" ht="16.5" customHeight="1">
      <c r="D250" s="5"/>
      <c r="M250" s="152"/>
    </row>
    <row r="251" spans="2:13" ht="16.5" customHeight="1">
      <c r="D251" s="169"/>
      <c r="M251" s="152"/>
    </row>
    <row r="252" spans="2:13" ht="16.5" customHeight="1">
      <c r="D252" s="169"/>
      <c r="M252" s="152"/>
    </row>
    <row r="253" spans="2:13" ht="16.5" customHeight="1">
      <c r="D253" s="169"/>
      <c r="M253" s="152"/>
    </row>
    <row r="254" spans="2:13" ht="16.5" customHeight="1">
      <c r="D254" s="169"/>
      <c r="M254" s="152"/>
    </row>
    <row r="255" spans="2:13" ht="16.5" customHeight="1">
      <c r="D255" s="169"/>
      <c r="M255" s="152"/>
    </row>
    <row r="256" spans="2:13" ht="16.5" customHeight="1">
      <c r="D256" s="169"/>
      <c r="M256" s="152"/>
    </row>
    <row r="257" spans="1:38" ht="16.5" customHeight="1">
      <c r="D257" s="169"/>
      <c r="M257" s="152"/>
    </row>
    <row r="258" spans="1:38" ht="16.5" customHeight="1">
      <c r="D258" s="169"/>
      <c r="M258" s="152"/>
    </row>
    <row r="259" spans="1:38" ht="16.5" customHeight="1">
      <c r="D259" s="169"/>
      <c r="M259" s="152"/>
    </row>
    <row r="260" spans="1:38" ht="16.5" customHeight="1">
      <c r="D260" s="169"/>
      <c r="M260" s="152"/>
    </row>
    <row r="261" spans="1:38" ht="16.5" customHeight="1">
      <c r="D261" s="169"/>
      <c r="M261" s="152"/>
    </row>
    <row r="262" spans="1:38" ht="16.5" customHeight="1">
      <c r="D262" s="169"/>
      <c r="M262" s="152"/>
    </row>
    <row r="263" spans="1:38" ht="16.5" customHeight="1">
      <c r="D263" s="169"/>
      <c r="M263" s="152"/>
    </row>
    <row r="264" spans="1:38" ht="16.5" customHeight="1">
      <c r="D264" s="169"/>
      <c r="M264" s="152"/>
    </row>
    <row r="265" spans="1:38" ht="16.5" customHeight="1">
      <c r="D265" s="169"/>
      <c r="M265" s="152"/>
    </row>
    <row r="266" spans="1:38" ht="16.5" customHeight="1">
      <c r="D266" s="169"/>
      <c r="M266" s="152"/>
    </row>
    <row r="267" spans="1:38" ht="16.5" customHeight="1">
      <c r="A267" s="37"/>
      <c r="B267" s="36"/>
      <c r="C267" s="36"/>
      <c r="D267" s="66"/>
      <c r="E267" s="37"/>
      <c r="F267" s="37"/>
      <c r="G267" s="37"/>
      <c r="H267" s="37"/>
      <c r="I267" s="37"/>
      <c r="J267" s="37"/>
      <c r="K267" s="37"/>
      <c r="L267" s="37"/>
      <c r="M267" s="153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1:38">
      <c r="M268" s="152"/>
    </row>
    <row r="269" spans="1:38">
      <c r="M269" s="152"/>
    </row>
    <row r="270" spans="1:38" ht="16.5" customHeight="1">
      <c r="M270" s="152"/>
    </row>
    <row r="271" spans="1:38" ht="16.5" customHeight="1">
      <c r="M271" s="152"/>
    </row>
    <row r="272" spans="1:38" ht="16.5" customHeight="1">
      <c r="M272" s="152"/>
    </row>
    <row r="273" spans="2:13" ht="16.5" customHeight="1">
      <c r="M273" s="152"/>
    </row>
    <row r="274" spans="2:13" ht="16.5" customHeight="1">
      <c r="M274" s="152"/>
    </row>
    <row r="275" spans="2:13" ht="16.5" customHeight="1">
      <c r="M275" s="152"/>
    </row>
    <row r="276" spans="2:13" ht="16.5" customHeight="1">
      <c r="B276" s="19" t="s">
        <v>66</v>
      </c>
      <c r="M276" s="152"/>
    </row>
    <row r="277" spans="2:13" ht="16.5" customHeight="1" thickBot="1">
      <c r="M277" s="152"/>
    </row>
    <row r="278" spans="2:13" ht="16.5" customHeight="1" thickBot="1">
      <c r="B278" s="88" t="s">
        <v>5</v>
      </c>
      <c r="C278" s="89">
        <v>2012</v>
      </c>
      <c r="D278" s="90" t="s">
        <v>53</v>
      </c>
      <c r="E278" s="89" t="s">
        <v>79</v>
      </c>
      <c r="M278" s="152"/>
    </row>
    <row r="279" spans="2:13" ht="16.5" customHeight="1" thickBot="1">
      <c r="B279" s="91" t="s">
        <v>6</v>
      </c>
      <c r="C279" s="94">
        <f>SUM(C280:C283)</f>
        <v>2383.6999999999998</v>
      </c>
      <c r="D279" s="94" t="e">
        <f>SUM(D280:D283)</f>
        <v>#REF!</v>
      </c>
      <c r="E279" s="94" t="e">
        <f>SUM(E280:E283)</f>
        <v>#REF!</v>
      </c>
      <c r="M279" s="152"/>
    </row>
    <row r="280" spans="2:13" ht="16.5" customHeight="1" thickBot="1">
      <c r="B280" s="92" t="s">
        <v>62</v>
      </c>
      <c r="C280" s="95">
        <v>498.8</v>
      </c>
      <c r="D280" s="96" t="e">
        <f>(#REF!)/1000</f>
        <v>#REF!</v>
      </c>
      <c r="E280" s="95" t="e">
        <f>(#REF!)/1000</f>
        <v>#REF!</v>
      </c>
      <c r="M280" s="152"/>
    </row>
    <row r="281" spans="2:13" ht="16.5" customHeight="1" thickBot="1">
      <c r="B281" s="93" t="s">
        <v>63</v>
      </c>
      <c r="C281" s="97">
        <v>541.29999999999995</v>
      </c>
      <c r="D281" s="98" t="e">
        <f>(#REF!)/1000</f>
        <v>#REF!</v>
      </c>
      <c r="E281" s="97" t="e">
        <f>(#REF!)/1000</f>
        <v>#REF!</v>
      </c>
      <c r="M281" s="152"/>
    </row>
    <row r="282" spans="2:13" ht="16.5" customHeight="1" thickBot="1">
      <c r="B282" s="92" t="s">
        <v>64</v>
      </c>
      <c r="C282" s="95">
        <v>148.9</v>
      </c>
      <c r="D282" s="96" t="e">
        <f>(#REF!)/1000</f>
        <v>#REF!</v>
      </c>
      <c r="E282" s="95" t="e">
        <f>(#REF!)/1000</f>
        <v>#REF!</v>
      </c>
      <c r="M282" s="152"/>
    </row>
    <row r="283" spans="2:13" ht="16.5" customHeight="1" thickBot="1">
      <c r="B283" s="93" t="s">
        <v>65</v>
      </c>
      <c r="C283" s="97">
        <v>1194.7</v>
      </c>
      <c r="D283" s="98" t="e">
        <f>(#REF!)/1000</f>
        <v>#REF!</v>
      </c>
      <c r="E283" s="97" t="e">
        <f>(#REF!)/1000</f>
        <v>#REF!</v>
      </c>
      <c r="M283" s="152"/>
    </row>
    <row r="284" spans="2:13" ht="16.5" customHeight="1">
      <c r="M284" s="152"/>
    </row>
    <row r="285" spans="2:13" ht="16.5" customHeight="1">
      <c r="M285" s="152"/>
    </row>
    <row r="286" spans="2:13" ht="16.5" customHeight="1">
      <c r="M286" s="152"/>
    </row>
    <row r="287" spans="2:13" ht="16.5" customHeight="1">
      <c r="M287" s="152"/>
    </row>
    <row r="288" spans="2:13" ht="16.5" customHeight="1">
      <c r="M288" s="152"/>
    </row>
    <row r="289" spans="1:38" ht="16.5" customHeight="1">
      <c r="M289" s="152"/>
    </row>
    <row r="290" spans="1:38" ht="16.5" customHeight="1">
      <c r="M290" s="152"/>
    </row>
    <row r="291" spans="1:38" ht="16.5" customHeight="1">
      <c r="M291" s="152"/>
    </row>
    <row r="292" spans="1:38" ht="16.5" customHeight="1">
      <c r="M292" s="152"/>
    </row>
    <row r="293" spans="1:38" ht="16.5" customHeight="1">
      <c r="M293" s="152"/>
    </row>
    <row r="294" spans="1:38" ht="16.5" customHeight="1">
      <c r="M294" s="152"/>
    </row>
    <row r="295" spans="1:38" ht="16.5" customHeight="1">
      <c r="M295" s="152"/>
    </row>
    <row r="296" spans="1:38" ht="16.5" customHeight="1">
      <c r="M296" s="152"/>
    </row>
    <row r="297" spans="1:38" ht="16.5" customHeight="1">
      <c r="M297" s="152"/>
    </row>
    <row r="298" spans="1:38" ht="16.5" customHeight="1">
      <c r="M298" s="152"/>
    </row>
    <row r="299" spans="1:38" ht="16.5" customHeight="1">
      <c r="M299" s="152"/>
    </row>
    <row r="300" spans="1:38" ht="16.5" customHeight="1">
      <c r="M300" s="152"/>
    </row>
    <row r="301" spans="1:38" ht="16.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152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</row>
    <row r="302" spans="1:38" ht="16.5" customHeight="1">
      <c r="A302" s="4"/>
      <c r="E302" s="4"/>
      <c r="F302" s="4"/>
      <c r="G302" s="4"/>
      <c r="H302" s="4"/>
      <c r="I302" s="4"/>
      <c r="J302" s="4"/>
      <c r="K302" s="4"/>
      <c r="L302" s="4"/>
      <c r="M302" s="15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6.5" customHeight="1">
      <c r="A303" s="4"/>
      <c r="M303" s="152"/>
      <c r="AG303" s="4"/>
      <c r="AH303" s="4"/>
      <c r="AI303" s="4"/>
      <c r="AJ303" s="4"/>
      <c r="AK303" s="4"/>
      <c r="AL303" s="4"/>
    </row>
    <row r="304" spans="1:38" ht="16.5" customHeight="1">
      <c r="A304" s="4"/>
      <c r="B304" s="19" t="s">
        <v>69</v>
      </c>
      <c r="M304" s="152"/>
      <c r="AG304" s="4"/>
      <c r="AH304" s="4"/>
      <c r="AI304" s="4"/>
      <c r="AJ304" s="4"/>
      <c r="AK304" s="4"/>
      <c r="AL304" s="4"/>
    </row>
    <row r="305" spans="1:38" ht="16.5" customHeight="1" thickBot="1">
      <c r="A305" s="4"/>
      <c r="M305" s="152"/>
      <c r="AG305" s="4"/>
      <c r="AH305" s="4"/>
      <c r="AI305" s="4"/>
      <c r="AJ305" s="4"/>
      <c r="AK305" s="4"/>
      <c r="AL305" s="4"/>
    </row>
    <row r="306" spans="1:38" ht="16.5" customHeight="1" thickBot="1">
      <c r="A306" s="4"/>
      <c r="B306" s="88" t="s">
        <v>5</v>
      </c>
      <c r="C306" s="89">
        <v>2012</v>
      </c>
      <c r="D306" s="90" t="s">
        <v>53</v>
      </c>
      <c r="E306" s="89" t="s">
        <v>79</v>
      </c>
      <c r="M306" s="152"/>
      <c r="AG306" s="4"/>
      <c r="AH306" s="4"/>
      <c r="AI306" s="4"/>
      <c r="AJ306" s="4"/>
      <c r="AK306" s="4"/>
      <c r="AL306" s="4"/>
    </row>
    <row r="307" spans="1:38" ht="16.5" customHeight="1" thickBot="1">
      <c r="A307" s="4"/>
      <c r="B307" s="91" t="s">
        <v>6</v>
      </c>
      <c r="C307" s="94">
        <f>SUM(C308:C310)</f>
        <v>1189</v>
      </c>
      <c r="D307" s="94" t="e">
        <f>SUM(D308:D310)</f>
        <v>#REF!</v>
      </c>
      <c r="E307" s="94" t="e">
        <f>SUM(E308:E310)</f>
        <v>#REF!</v>
      </c>
      <c r="M307" s="152"/>
      <c r="AG307" s="4"/>
      <c r="AH307" s="4"/>
      <c r="AI307" s="4"/>
      <c r="AJ307" s="4"/>
      <c r="AK307" s="4"/>
      <c r="AL307" s="4"/>
    </row>
    <row r="308" spans="1:38" ht="16.5" customHeight="1" thickBot="1">
      <c r="A308" s="4"/>
      <c r="B308" s="92" t="s">
        <v>62</v>
      </c>
      <c r="C308" s="95">
        <f t="shared" ref="C308:E310" si="7">C280</f>
        <v>498.8</v>
      </c>
      <c r="D308" s="95" t="e">
        <f t="shared" si="7"/>
        <v>#REF!</v>
      </c>
      <c r="E308" s="95" t="e">
        <f t="shared" si="7"/>
        <v>#REF!</v>
      </c>
      <c r="M308" s="152"/>
      <c r="AG308" s="4"/>
      <c r="AH308" s="4"/>
      <c r="AI308" s="4"/>
      <c r="AJ308" s="4"/>
      <c r="AK308" s="4"/>
      <c r="AL308" s="4"/>
    </row>
    <row r="309" spans="1:38" ht="16.5" customHeight="1" thickBot="1">
      <c r="A309" s="4"/>
      <c r="B309" s="93" t="s">
        <v>63</v>
      </c>
      <c r="C309" s="97">
        <f t="shared" si="7"/>
        <v>541.29999999999995</v>
      </c>
      <c r="D309" s="97" t="e">
        <f t="shared" si="7"/>
        <v>#REF!</v>
      </c>
      <c r="E309" s="97" t="e">
        <f t="shared" si="7"/>
        <v>#REF!</v>
      </c>
      <c r="M309" s="152"/>
      <c r="AG309" s="4"/>
      <c r="AH309" s="4"/>
      <c r="AI309" s="4"/>
      <c r="AJ309" s="4"/>
      <c r="AK309" s="4"/>
      <c r="AL309" s="4"/>
    </row>
    <row r="310" spans="1:38" ht="16.5" customHeight="1" thickBot="1">
      <c r="A310" s="4"/>
      <c r="B310" s="92" t="s">
        <v>64</v>
      </c>
      <c r="C310" s="95">
        <f t="shared" si="7"/>
        <v>148.9</v>
      </c>
      <c r="D310" s="95" t="e">
        <f t="shared" si="7"/>
        <v>#REF!</v>
      </c>
      <c r="E310" s="95" t="e">
        <f t="shared" si="7"/>
        <v>#REF!</v>
      </c>
      <c r="M310" s="152"/>
      <c r="AG310" s="4"/>
      <c r="AH310" s="4"/>
      <c r="AI310" s="4"/>
      <c r="AJ310" s="4"/>
      <c r="AK310" s="4"/>
      <c r="AL310" s="4"/>
    </row>
    <row r="311" spans="1:38" ht="16.5" customHeight="1">
      <c r="A311" s="4"/>
      <c r="M311" s="152"/>
      <c r="AG311" s="4"/>
      <c r="AH311" s="4"/>
      <c r="AI311" s="4"/>
      <c r="AJ311" s="4"/>
      <c r="AK311" s="4"/>
      <c r="AL311" s="4"/>
    </row>
    <row r="312" spans="1:38" ht="16.5" customHeight="1">
      <c r="A312" s="4"/>
      <c r="M312" s="152"/>
      <c r="AG312" s="4"/>
      <c r="AH312" s="4"/>
      <c r="AI312" s="4"/>
      <c r="AJ312" s="4"/>
      <c r="AK312" s="4"/>
      <c r="AL312" s="4"/>
    </row>
    <row r="313" spans="1:38" ht="16.5" customHeight="1">
      <c r="A313" s="4"/>
      <c r="M313" s="152"/>
      <c r="AG313" s="4"/>
      <c r="AH313" s="4"/>
      <c r="AI313" s="4"/>
      <c r="AJ313" s="4"/>
      <c r="AK313" s="4"/>
      <c r="AL313" s="4"/>
    </row>
    <row r="314" spans="1:38" ht="16.5" customHeight="1">
      <c r="A314" s="4"/>
      <c r="M314" s="152"/>
      <c r="AG314" s="4"/>
      <c r="AH314" s="4"/>
      <c r="AI314" s="4"/>
      <c r="AJ314" s="4"/>
      <c r="AK314" s="4"/>
      <c r="AL314" s="4"/>
    </row>
    <row r="315" spans="1:38" ht="16.5" customHeight="1">
      <c r="A315" s="4"/>
      <c r="M315" s="152"/>
      <c r="AG315" s="4"/>
      <c r="AH315" s="4"/>
      <c r="AI315" s="4"/>
      <c r="AJ315" s="4"/>
      <c r="AK315" s="4"/>
      <c r="AL315" s="4"/>
    </row>
    <row r="316" spans="1:38" ht="16.5" customHeight="1">
      <c r="A316" s="4"/>
      <c r="M316" s="152"/>
      <c r="AG316" s="4"/>
      <c r="AH316" s="4"/>
      <c r="AI316" s="4"/>
      <c r="AJ316" s="4"/>
      <c r="AK316" s="4"/>
      <c r="AL316" s="4"/>
    </row>
    <row r="317" spans="1:38" ht="16.5" customHeight="1">
      <c r="A317" s="4"/>
      <c r="M317" s="152"/>
      <c r="AG317" s="4"/>
      <c r="AH317" s="4"/>
      <c r="AI317" s="4"/>
      <c r="AJ317" s="4"/>
      <c r="AK317" s="4"/>
      <c r="AL317" s="4"/>
    </row>
    <row r="318" spans="1:38" ht="16.5" customHeight="1">
      <c r="A318" s="4"/>
      <c r="M318" s="152"/>
      <c r="AG318" s="4"/>
      <c r="AH318" s="4"/>
      <c r="AI318" s="4"/>
      <c r="AJ318" s="4"/>
      <c r="AK318" s="4"/>
      <c r="AL318" s="4"/>
    </row>
    <row r="319" spans="1:38" ht="16.5" customHeight="1">
      <c r="A319" s="4"/>
      <c r="M319" s="152"/>
      <c r="AG319" s="4"/>
      <c r="AH319" s="4"/>
      <c r="AI319" s="4"/>
      <c r="AJ319" s="4"/>
      <c r="AK319" s="4"/>
      <c r="AL319" s="4"/>
    </row>
    <row r="320" spans="1:38" ht="16.5" customHeight="1">
      <c r="A320" s="4"/>
      <c r="M320" s="152"/>
      <c r="AG320" s="4"/>
      <c r="AH320" s="4"/>
      <c r="AI320" s="4"/>
      <c r="AJ320" s="4"/>
      <c r="AK320" s="4"/>
      <c r="AL320" s="4"/>
    </row>
    <row r="321" spans="1:38" ht="16.5" customHeight="1">
      <c r="A321" s="4"/>
      <c r="M321" s="152"/>
      <c r="AG321" s="4"/>
      <c r="AH321" s="4"/>
      <c r="AI321" s="4"/>
      <c r="AJ321" s="4"/>
      <c r="AK321" s="4"/>
      <c r="AL321" s="4"/>
    </row>
    <row r="322" spans="1:38" ht="16.5" customHeight="1">
      <c r="A322" s="4"/>
      <c r="M322" s="152"/>
      <c r="AG322" s="4"/>
      <c r="AH322" s="4"/>
      <c r="AI322" s="4"/>
      <c r="AJ322" s="4"/>
      <c r="AK322" s="4"/>
      <c r="AL322" s="4"/>
    </row>
    <row r="323" spans="1:38" ht="16.5" customHeight="1">
      <c r="A323" s="4"/>
      <c r="M323" s="152"/>
      <c r="AG323" s="4"/>
      <c r="AH323" s="4"/>
      <c r="AI323" s="4"/>
      <c r="AJ323" s="4"/>
      <c r="AK323" s="4"/>
      <c r="AL323" s="4"/>
    </row>
    <row r="324" spans="1:38" ht="16.5" customHeight="1">
      <c r="A324" s="4"/>
      <c r="M324" s="152"/>
      <c r="AG324" s="4"/>
      <c r="AH324" s="4"/>
      <c r="AI324" s="4"/>
      <c r="AJ324" s="4"/>
      <c r="AK324" s="4"/>
      <c r="AL324" s="4"/>
    </row>
    <row r="325" spans="1:38" ht="16.5" customHeight="1">
      <c r="A325" s="4"/>
      <c r="M325" s="152"/>
      <c r="AG325" s="4"/>
      <c r="AH325" s="4"/>
      <c r="AI325" s="4"/>
      <c r="AJ325" s="4"/>
      <c r="AK325" s="4"/>
      <c r="AL325" s="4"/>
    </row>
    <row r="326" spans="1:38" ht="16.5" customHeight="1">
      <c r="A326" s="4"/>
      <c r="M326" s="152"/>
      <c r="AG326" s="4"/>
      <c r="AH326" s="4"/>
      <c r="AI326" s="4"/>
      <c r="AJ326" s="4"/>
      <c r="AK326" s="4"/>
      <c r="AL326" s="4"/>
    </row>
    <row r="327" spans="1:38" ht="16.5" customHeight="1">
      <c r="A327" s="4"/>
      <c r="M327" s="152"/>
      <c r="AG327" s="4"/>
      <c r="AH327" s="4"/>
      <c r="AI327" s="4"/>
      <c r="AJ327" s="4"/>
      <c r="AK327" s="4"/>
      <c r="AL327" s="4"/>
    </row>
    <row r="328" spans="1:38" ht="16.5" customHeight="1">
      <c r="A328" s="4"/>
      <c r="E328" s="4"/>
      <c r="F328" s="4"/>
      <c r="G328" s="4"/>
      <c r="H328" s="4"/>
      <c r="I328" s="4"/>
      <c r="J328" s="4"/>
      <c r="K328" s="4"/>
      <c r="L328" s="4"/>
      <c r="M328" s="15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6.5" customHeight="1">
      <c r="A329" s="4"/>
      <c r="E329" s="4"/>
      <c r="F329" s="4"/>
      <c r="G329" s="4"/>
      <c r="H329" s="4"/>
      <c r="I329" s="4"/>
      <c r="J329" s="4"/>
      <c r="K329" s="4"/>
      <c r="L329" s="4"/>
      <c r="M329" s="15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6.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152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16.5" customHeight="1">
      <c r="A331" s="4"/>
      <c r="E331" s="4"/>
      <c r="F331" s="4"/>
      <c r="G331" s="4"/>
      <c r="H331" s="4"/>
      <c r="I331" s="4"/>
      <c r="J331" s="4"/>
      <c r="K331" s="4"/>
      <c r="L331" s="4"/>
      <c r="M331" s="15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6.5" customHeight="1">
      <c r="A332" s="4"/>
      <c r="E332" s="4"/>
      <c r="F332" s="4"/>
      <c r="G332" s="4"/>
      <c r="H332" s="4"/>
      <c r="I332" s="4"/>
      <c r="J332" s="4"/>
      <c r="K332" s="4"/>
      <c r="L332" s="4"/>
      <c r="M332" s="15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6.5" customHeight="1">
      <c r="A333" s="4"/>
      <c r="E333" s="4"/>
      <c r="F333" s="4"/>
      <c r="G333" s="4"/>
      <c r="H333" s="4"/>
      <c r="I333" s="4"/>
      <c r="J333" s="4"/>
      <c r="K333" s="4"/>
      <c r="L333" s="4"/>
      <c r="M333" s="15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6.5" customHeight="1">
      <c r="A334" s="4"/>
      <c r="E334" s="4"/>
      <c r="F334" s="4"/>
      <c r="G334" s="4"/>
      <c r="H334" s="4"/>
      <c r="I334" s="4"/>
      <c r="J334" s="4"/>
      <c r="K334" s="4"/>
      <c r="L334" s="4"/>
      <c r="M334" s="15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6.5" customHeight="1">
      <c r="M335" s="152"/>
    </row>
    <row r="336" spans="1:38" ht="16.5" customHeight="1">
      <c r="B336" s="19" t="s">
        <v>68</v>
      </c>
      <c r="M336" s="152"/>
    </row>
    <row r="337" spans="2:13" ht="16.5" customHeight="1" thickBot="1">
      <c r="M337" s="152"/>
    </row>
    <row r="338" spans="2:13" ht="16.5" customHeight="1" thickBot="1">
      <c r="B338" s="100"/>
      <c r="C338" s="100">
        <v>2012</v>
      </c>
      <c r="D338" s="100" t="s">
        <v>53</v>
      </c>
      <c r="E338" s="89" t="s">
        <v>79</v>
      </c>
      <c r="M338" s="152"/>
    </row>
    <row r="339" spans="2:13" ht="16.5" customHeight="1" thickBot="1">
      <c r="B339" s="99" t="s">
        <v>22</v>
      </c>
      <c r="C339" s="114">
        <v>1189.0999999999999</v>
      </c>
      <c r="D339" s="115" t="e">
        <f>#REF!</f>
        <v>#REF!</v>
      </c>
      <c r="E339" s="116" t="e">
        <f>#REF!</f>
        <v>#REF!</v>
      </c>
      <c r="M339" s="152"/>
    </row>
    <row r="340" spans="2:13" ht="16.5" customHeight="1" thickBot="1">
      <c r="B340" s="93" t="s">
        <v>67</v>
      </c>
      <c r="C340" s="117">
        <v>93.7</v>
      </c>
      <c r="D340" s="118" t="e">
        <f>-#REF!</f>
        <v>#REF!</v>
      </c>
      <c r="E340" s="117" t="e">
        <f>-#REF!</f>
        <v>#REF!</v>
      </c>
      <c r="M340" s="152"/>
    </row>
    <row r="341" spans="2:13" ht="16.5" customHeight="1" thickBot="1">
      <c r="B341" s="99" t="s">
        <v>23</v>
      </c>
      <c r="C341" s="116">
        <v>1095.3</v>
      </c>
      <c r="D341" s="115" t="e">
        <f>#REF!</f>
        <v>#REF!</v>
      </c>
      <c r="E341" s="116" t="e">
        <f>#REF!</f>
        <v>#REF!</v>
      </c>
      <c r="F341" s="11" t="e">
        <f>E341/E341</f>
        <v>#REF!</v>
      </c>
      <c r="M341" s="152"/>
    </row>
    <row r="342" spans="2:13" ht="16.5" customHeight="1" thickBot="1">
      <c r="B342" s="93" t="s">
        <v>7</v>
      </c>
      <c r="C342" s="117">
        <v>455.25</v>
      </c>
      <c r="D342" s="118" t="e">
        <f>#REF!</f>
        <v>#REF!</v>
      </c>
      <c r="E342" s="117" t="e">
        <f>#REF!</f>
        <v>#REF!</v>
      </c>
      <c r="F342" s="120" t="e">
        <f>E342/E341</f>
        <v>#REF!</v>
      </c>
      <c r="M342" s="152"/>
    </row>
    <row r="343" spans="2:13" ht="16.5" customHeight="1" thickBot="1">
      <c r="B343" s="93" t="s">
        <v>8</v>
      </c>
      <c r="C343" s="117">
        <v>506.90199999999999</v>
      </c>
      <c r="D343" s="118" t="e">
        <f>#REF!</f>
        <v>#REF!</v>
      </c>
      <c r="E343" s="117" t="e">
        <f>#REF!</f>
        <v>#REF!</v>
      </c>
      <c r="F343" s="11" t="e">
        <f>E343/E341</f>
        <v>#REF!</v>
      </c>
      <c r="M343" s="152"/>
    </row>
    <row r="344" spans="2:13" ht="16.5" customHeight="1" thickBot="1">
      <c r="B344" s="93" t="s">
        <v>9</v>
      </c>
      <c r="C344" s="117">
        <v>133.15600000000001</v>
      </c>
      <c r="D344" s="118" t="e">
        <f>#REF!</f>
        <v>#REF!</v>
      </c>
      <c r="E344" s="117" t="e">
        <f>#REF!</f>
        <v>#REF!</v>
      </c>
      <c r="F344" s="11" t="e">
        <f>E344/E341</f>
        <v>#REF!</v>
      </c>
      <c r="M344" s="152"/>
    </row>
    <row r="345" spans="2:13" ht="16.5" customHeight="1">
      <c r="M345" s="152"/>
    </row>
    <row r="346" spans="2:13" ht="16.5" customHeight="1">
      <c r="M346" s="152"/>
    </row>
    <row r="347" spans="2:13" ht="16.5" customHeight="1">
      <c r="M347" s="152"/>
    </row>
    <row r="348" spans="2:13" ht="16.5" customHeight="1">
      <c r="M348" s="152"/>
    </row>
    <row r="349" spans="2:13" ht="16.5" customHeight="1">
      <c r="M349" s="152"/>
    </row>
    <row r="350" spans="2:13" ht="16.5" customHeight="1">
      <c r="M350" s="152"/>
    </row>
    <row r="351" spans="2:13" ht="16.5" customHeight="1">
      <c r="M351" s="152"/>
    </row>
    <row r="352" spans="2:13" ht="16.5" customHeight="1">
      <c r="M352" s="152"/>
    </row>
    <row r="353" spans="1:38" ht="16.5" customHeight="1">
      <c r="M353" s="152"/>
    </row>
    <row r="354" spans="1:38" ht="16.5" customHeight="1">
      <c r="M354" s="152"/>
    </row>
    <row r="355" spans="1:38" ht="16.5" customHeight="1">
      <c r="M355" s="152"/>
    </row>
    <row r="356" spans="1:38" ht="16.5" customHeight="1">
      <c r="M356" s="152"/>
    </row>
    <row r="357" spans="1:38" ht="16.5" customHeight="1">
      <c r="M357" s="152"/>
    </row>
    <row r="358" spans="1:38" ht="16.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152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1:38">
      <c r="M359" s="152"/>
    </row>
    <row r="360" spans="1:38" ht="16.5" customHeight="1">
      <c r="M360" s="152"/>
    </row>
    <row r="361" spans="1:38" ht="16.5" customHeight="1">
      <c r="M361" s="152"/>
    </row>
    <row r="362" spans="1:38"/>
    <row r="363" spans="1:38"/>
    <row r="1383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workbookViewId="0">
      <selection activeCell="F22" sqref="F22"/>
    </sheetView>
  </sheetViews>
  <sheetFormatPr defaultColWidth="0" defaultRowHeight="15" zeroHeight="1"/>
  <cols>
    <col min="1" max="13" width="9.140625" style="231" customWidth="1"/>
    <col min="14" max="16384" width="9.140625" style="23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35"/>
  <sheetViews>
    <sheetView showGridLines="0" tabSelected="1" zoomScaleNormal="10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D4" sqref="D4"/>
    </sheetView>
  </sheetViews>
  <sheetFormatPr defaultRowHeight="15"/>
  <cols>
    <col min="1" max="1" width="1.85546875" customWidth="1"/>
    <col min="2" max="2" width="40.28515625" customWidth="1"/>
    <col min="3" max="7" width="9.5703125" bestFit="1" customWidth="1"/>
    <col min="8" max="8" width="10.28515625" customWidth="1"/>
    <col min="9" max="9" width="11.85546875" bestFit="1" customWidth="1"/>
    <col min="10" max="10" width="8.5703125" bestFit="1" customWidth="1"/>
    <col min="11" max="11" width="10.85546875" bestFit="1" customWidth="1"/>
    <col min="12" max="17" width="8.42578125" customWidth="1"/>
    <col min="19" max="19" width="10" bestFit="1" customWidth="1"/>
    <col min="20" max="22" width="9" bestFit="1" customWidth="1"/>
    <col min="23" max="23" width="7.5703125" bestFit="1" customWidth="1"/>
    <col min="24" max="24" width="8.5703125" customWidth="1"/>
    <col min="25" max="28" width="7.5703125" customWidth="1"/>
    <col min="29" max="29" width="8.5703125" customWidth="1"/>
    <col min="30" max="33" width="7.5703125" customWidth="1"/>
    <col min="34" max="34" width="8.5703125" customWidth="1"/>
    <col min="35" max="38" width="7.5703125" customWidth="1"/>
    <col min="39" max="45" width="7.5703125" bestFit="1" customWidth="1"/>
    <col min="46" max="46" width="8.5703125" bestFit="1" customWidth="1"/>
    <col min="47" max="47" width="7.5703125" bestFit="1" customWidth="1"/>
  </cols>
  <sheetData>
    <row r="1" spans="2:47" ht="21.75" customHeight="1"/>
    <row r="2" spans="2:47" ht="21.75" customHeight="1" thickBot="1">
      <c r="B2" s="182" t="s">
        <v>122</v>
      </c>
      <c r="C2" s="181"/>
      <c r="D2" s="181"/>
      <c r="E2" s="181"/>
      <c r="F2" s="181"/>
      <c r="G2" s="181"/>
      <c r="H2" s="181"/>
      <c r="I2" s="181"/>
      <c r="J2" s="181"/>
      <c r="K2" s="181"/>
    </row>
    <row r="3" spans="2:47" ht="21.75" customHeight="1"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2:47" ht="21.75" customHeight="1"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2:47" ht="21.75" customHeight="1">
      <c r="R5" s="223"/>
    </row>
    <row r="6" spans="2:47" s="224" customFormat="1" ht="26.25" customHeight="1">
      <c r="B6" s="230" t="s">
        <v>118</v>
      </c>
      <c r="C6" s="235" t="s">
        <v>212</v>
      </c>
      <c r="D6" s="235" t="s">
        <v>208</v>
      </c>
      <c r="E6" s="235" t="s">
        <v>205</v>
      </c>
      <c r="F6" s="235" t="s">
        <v>199</v>
      </c>
      <c r="G6" s="235" t="s">
        <v>193</v>
      </c>
      <c r="H6" s="235" t="s">
        <v>189</v>
      </c>
      <c r="I6" s="235" t="s">
        <v>185</v>
      </c>
      <c r="J6" s="235" t="s">
        <v>180</v>
      </c>
      <c r="K6" s="235" t="s">
        <v>171</v>
      </c>
      <c r="L6" s="235" t="s">
        <v>167</v>
      </c>
      <c r="M6" s="235" t="s">
        <v>163</v>
      </c>
      <c r="N6" s="235" t="s">
        <v>160</v>
      </c>
      <c r="O6" s="235" t="s">
        <v>157</v>
      </c>
      <c r="P6" s="235" t="s">
        <v>146</v>
      </c>
      <c r="Q6" s="235" t="s">
        <v>130</v>
      </c>
      <c r="R6" s="227" t="s">
        <v>128</v>
      </c>
      <c r="S6" s="227" t="s">
        <v>132</v>
      </c>
      <c r="T6" s="227" t="s">
        <v>133</v>
      </c>
      <c r="U6" s="227" t="s">
        <v>134</v>
      </c>
      <c r="V6" s="227" t="s">
        <v>135</v>
      </c>
      <c r="W6" s="227" t="s">
        <v>136</v>
      </c>
      <c r="X6" s="227" t="s">
        <v>137</v>
      </c>
      <c r="Y6" s="227" t="s">
        <v>138</v>
      </c>
      <c r="Z6" s="227" t="s">
        <v>139</v>
      </c>
      <c r="AA6" s="227" t="s">
        <v>99</v>
      </c>
      <c r="AB6" s="227" t="s">
        <v>98</v>
      </c>
      <c r="AC6" s="227" t="s">
        <v>97</v>
      </c>
      <c r="AD6" s="227" t="s">
        <v>96</v>
      </c>
      <c r="AE6" s="227" t="s">
        <v>95</v>
      </c>
      <c r="AF6" s="227" t="s">
        <v>94</v>
      </c>
      <c r="AG6" s="227" t="s">
        <v>93</v>
      </c>
      <c r="AH6" s="227" t="s">
        <v>92</v>
      </c>
      <c r="AI6" s="227" t="s">
        <v>86</v>
      </c>
      <c r="AJ6" s="227" t="s">
        <v>85</v>
      </c>
      <c r="AK6" s="227" t="s">
        <v>83</v>
      </c>
      <c r="AL6" s="227" t="s">
        <v>79</v>
      </c>
      <c r="AM6" s="227" t="s">
        <v>35</v>
      </c>
      <c r="AN6" s="227" t="s">
        <v>34</v>
      </c>
      <c r="AO6" s="227" t="s">
        <v>54</v>
      </c>
      <c r="AP6" s="227" t="s">
        <v>53</v>
      </c>
      <c r="AQ6" s="227" t="s">
        <v>36</v>
      </c>
      <c r="AR6" s="227" t="s">
        <v>33</v>
      </c>
      <c r="AS6" s="227" t="s">
        <v>52</v>
      </c>
      <c r="AT6" s="227" t="s">
        <v>78</v>
      </c>
    </row>
    <row r="7" spans="2:47">
      <c r="B7" s="183" t="s">
        <v>59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</row>
    <row r="8" spans="2:47">
      <c r="B8" s="185" t="s">
        <v>60</v>
      </c>
      <c r="C8" s="186">
        <f>SUM(C9:C10)</f>
        <v>8.7000000000000011</v>
      </c>
      <c r="D8" s="186">
        <f>SUM(D9:D10)</f>
        <v>8.2000000000000011</v>
      </c>
      <c r="E8" s="186">
        <f>SUM(E9:E10)</f>
        <v>7.7</v>
      </c>
      <c r="F8" s="186">
        <f>SUM(F9:F10)</f>
        <v>8.0429999999999993</v>
      </c>
      <c r="G8" s="186">
        <f>SUM(G9:G10)</f>
        <v>8.1</v>
      </c>
      <c r="H8" s="186">
        <v>10.902293208538801</v>
      </c>
      <c r="I8" s="186">
        <v>10.6</v>
      </c>
      <c r="J8" s="186">
        <v>8.6999999999999993</v>
      </c>
      <c r="K8" s="186">
        <v>9</v>
      </c>
      <c r="L8" s="186">
        <v>8.6</v>
      </c>
      <c r="M8" s="186">
        <v>7.7709999999999999</v>
      </c>
      <c r="N8" s="186">
        <v>10.061999999999999</v>
      </c>
      <c r="O8" s="186">
        <v>10.817</v>
      </c>
      <c r="P8" s="186">
        <v>17.09</v>
      </c>
      <c r="Q8" s="186">
        <v>11.9234251161906</v>
      </c>
      <c r="R8" s="186">
        <v>19.398037764761899</v>
      </c>
      <c r="S8" s="186">
        <v>21.618661598355001</v>
      </c>
      <c r="T8" s="186">
        <v>21.3706139184848</v>
      </c>
      <c r="U8" s="186">
        <v>20.282384952727302</v>
      </c>
      <c r="V8" s="186">
        <v>20.795604075252601</v>
      </c>
      <c r="W8" s="186">
        <v>21.425989600000001</v>
      </c>
      <c r="X8" s="186">
        <v>20.704886090113572</v>
      </c>
      <c r="Y8" s="186">
        <v>19.485151349999999</v>
      </c>
      <c r="Z8" s="186">
        <v>20.097374200337899</v>
      </c>
      <c r="AA8" s="186">
        <v>61.0343309636364</v>
      </c>
      <c r="AB8" s="186">
        <v>60.695134345454498</v>
      </c>
      <c r="AC8" s="186">
        <v>56.828113920392099</v>
      </c>
      <c r="AD8" s="186">
        <v>57.718185180534192</v>
      </c>
      <c r="AE8" s="186">
        <v>65.951625906343494</v>
      </c>
      <c r="AF8" s="186">
        <v>76.082209224999986</v>
      </c>
      <c r="AG8" s="186">
        <v>73.333396711743305</v>
      </c>
      <c r="AH8" s="186">
        <v>75.116280507505905</v>
      </c>
      <c r="AI8" s="186">
        <v>78.8869951387409</v>
      </c>
      <c r="AJ8" s="186">
        <v>72.090826611380194</v>
      </c>
      <c r="AK8" s="186">
        <v>58.249227094915305</v>
      </c>
      <c r="AL8" s="186">
        <v>59.342161692172603</v>
      </c>
      <c r="AM8" s="186">
        <v>63.799943758181797</v>
      </c>
      <c r="AN8" s="186">
        <v>61.283433144848495</v>
      </c>
      <c r="AO8" s="186">
        <v>58.645150409090903</v>
      </c>
      <c r="AP8" s="186">
        <v>59.556919946060603</v>
      </c>
      <c r="AQ8" s="186">
        <v>57.84772345533333</v>
      </c>
      <c r="AR8" s="186">
        <v>55.978779682666662</v>
      </c>
      <c r="AS8" s="186">
        <v>52.795212301523804</v>
      </c>
      <c r="AT8" s="186">
        <v>45.599719148735559</v>
      </c>
      <c r="AU8" s="252"/>
    </row>
    <row r="9" spans="2:47">
      <c r="B9" s="187" t="s">
        <v>82</v>
      </c>
      <c r="C9" s="188">
        <v>7.9</v>
      </c>
      <c r="D9" s="188">
        <v>7.4</v>
      </c>
      <c r="E9" s="188">
        <v>7</v>
      </c>
      <c r="F9" s="188">
        <v>7.3</v>
      </c>
      <c r="G9" s="188">
        <v>7.4</v>
      </c>
      <c r="H9" s="188">
        <v>8.4674596676678</v>
      </c>
      <c r="I9" s="188">
        <v>8.1</v>
      </c>
      <c r="J9" s="188">
        <v>6.6</v>
      </c>
      <c r="K9" s="188">
        <v>6.8</v>
      </c>
      <c r="L9" s="188">
        <v>6.5</v>
      </c>
      <c r="M9" s="188">
        <v>5.8</v>
      </c>
      <c r="N9" s="188">
        <v>7.7770000000000001</v>
      </c>
      <c r="O9" s="188">
        <v>8.49</v>
      </c>
      <c r="P9" s="188">
        <v>14.391</v>
      </c>
      <c r="Q9" s="188">
        <v>9.8388425523809993</v>
      </c>
      <c r="R9" s="188">
        <v>16.028651509523801</v>
      </c>
      <c r="S9" s="188">
        <v>17.968121772770601</v>
      </c>
      <c r="T9" s="188">
        <v>17.773305521515098</v>
      </c>
      <c r="U9" s="188">
        <v>16.936072222121201</v>
      </c>
      <c r="V9" s="188">
        <v>17.336968893131402</v>
      </c>
      <c r="W9" s="188">
        <v>17.783027800000003</v>
      </c>
      <c r="X9" s="188">
        <v>17.116095762822102</v>
      </c>
      <c r="Y9" s="188">
        <v>16.197399600000001</v>
      </c>
      <c r="Z9" s="188">
        <v>16.693605964581398</v>
      </c>
      <c r="AA9" s="188">
        <v>32.746297899999995</v>
      </c>
      <c r="AB9" s="188">
        <v>31.518660099999998</v>
      </c>
      <c r="AC9" s="188">
        <v>30.227096797069098</v>
      </c>
      <c r="AD9" s="188">
        <v>31.745818141859299</v>
      </c>
      <c r="AE9" s="188">
        <v>36.1419859958988</v>
      </c>
      <c r="AF9" s="188">
        <v>39.461775850000002</v>
      </c>
      <c r="AG9" s="188">
        <v>38.084494903692502</v>
      </c>
      <c r="AH9" s="188">
        <v>39.9564961014528</v>
      </c>
      <c r="AI9" s="188">
        <v>40.981495158353511</v>
      </c>
      <c r="AJ9" s="188">
        <v>37.488804380387393</v>
      </c>
      <c r="AK9" s="188">
        <v>33.355154399999996</v>
      </c>
      <c r="AL9" s="188">
        <v>34.2449949310016</v>
      </c>
      <c r="AM9" s="188">
        <v>36.217594503636398</v>
      </c>
      <c r="AN9" s="188">
        <v>34.191462929696996</v>
      </c>
      <c r="AO9" s="188">
        <v>33.382119233604598</v>
      </c>
      <c r="AP9" s="188">
        <v>33.743921974263905</v>
      </c>
      <c r="AQ9" s="188">
        <v>33.940136770910541</v>
      </c>
      <c r="AR9" s="188">
        <v>33.163697700521759</v>
      </c>
      <c r="AS9" s="188">
        <v>31.89177152878149</v>
      </c>
      <c r="AT9" s="188">
        <v>27.459185382233024</v>
      </c>
      <c r="AU9" s="252"/>
    </row>
    <row r="10" spans="2:47">
      <c r="B10" s="189" t="s">
        <v>84</v>
      </c>
      <c r="C10" s="190">
        <v>0.8</v>
      </c>
      <c r="D10" s="190">
        <v>0.8</v>
      </c>
      <c r="E10" s="190">
        <v>0.7</v>
      </c>
      <c r="F10" s="190">
        <v>0.74299999999999999</v>
      </c>
      <c r="G10" s="190">
        <v>0.7</v>
      </c>
      <c r="H10" s="190">
        <v>2.4348335408709998</v>
      </c>
      <c r="I10" s="190">
        <v>2.5</v>
      </c>
      <c r="J10" s="190">
        <v>2.1</v>
      </c>
      <c r="K10" s="190">
        <v>2.2000000000000002</v>
      </c>
      <c r="L10" s="190">
        <v>2.1</v>
      </c>
      <c r="M10" s="190">
        <v>1.972</v>
      </c>
      <c r="N10" s="190">
        <v>2.2850000000000001</v>
      </c>
      <c r="O10" s="190">
        <v>2.327</v>
      </c>
      <c r="P10" s="190">
        <v>2.6989999999999998</v>
      </c>
      <c r="Q10" s="190">
        <v>2.0845825638096005</v>
      </c>
      <c r="R10" s="190">
        <v>3.3693862552381004</v>
      </c>
      <c r="S10" s="190">
        <v>3.6505398255844002</v>
      </c>
      <c r="T10" s="190">
        <v>3.5973083969696997</v>
      </c>
      <c r="U10" s="190">
        <v>3.3463127306061002</v>
      </c>
      <c r="V10" s="190">
        <v>3.4586351821211996</v>
      </c>
      <c r="W10" s="190">
        <v>3.6429617999999997</v>
      </c>
      <c r="X10" s="190">
        <v>3.5887903272914694</v>
      </c>
      <c r="Y10" s="190">
        <v>3.28775175</v>
      </c>
      <c r="Z10" s="190">
        <v>3.4037682357565</v>
      </c>
      <c r="AA10" s="190">
        <v>28.288033063636398</v>
      </c>
      <c r="AB10" s="190">
        <v>29.1764742454545</v>
      </c>
      <c r="AC10" s="190">
        <v>26.601017123323</v>
      </c>
      <c r="AD10" s="190">
        <v>25.972367038674896</v>
      </c>
      <c r="AE10" s="190">
        <v>29.809639910444698</v>
      </c>
      <c r="AF10" s="190">
        <v>36.62043337499999</v>
      </c>
      <c r="AG10" s="190">
        <v>35.248901808050803</v>
      </c>
      <c r="AH10" s="190">
        <v>35.159784406053099</v>
      </c>
      <c r="AI10" s="190">
        <v>37.905499980387397</v>
      </c>
      <c r="AJ10" s="190">
        <v>34.602022230992802</v>
      </c>
      <c r="AK10" s="190">
        <v>24.894072694915302</v>
      </c>
      <c r="AL10" s="190">
        <v>25.097166761171</v>
      </c>
      <c r="AM10" s="190">
        <v>27.582349254545399</v>
      </c>
      <c r="AN10" s="190">
        <v>27.091970215151502</v>
      </c>
      <c r="AO10" s="190">
        <v>25.263031175486301</v>
      </c>
      <c r="AP10" s="190">
        <v>25.812997971796701</v>
      </c>
      <c r="AQ10" s="190">
        <v>23.907586684422792</v>
      </c>
      <c r="AR10" s="190">
        <v>22.815081982144903</v>
      </c>
      <c r="AS10" s="190">
        <v>20.903440772742318</v>
      </c>
      <c r="AT10" s="190">
        <v>18.140533766502539</v>
      </c>
      <c r="AU10" s="252"/>
    </row>
    <row r="11" spans="2:47">
      <c r="B11" s="191" t="s">
        <v>61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</row>
    <row r="12" spans="2:47">
      <c r="B12" s="193" t="s">
        <v>89</v>
      </c>
      <c r="C12" s="190">
        <v>5.0999999999999996</v>
      </c>
      <c r="D12" s="190">
        <v>5</v>
      </c>
      <c r="E12" s="190">
        <v>4.9000000000000004</v>
      </c>
      <c r="F12" s="190">
        <v>5.2</v>
      </c>
      <c r="G12" s="190">
        <v>3.2</v>
      </c>
      <c r="H12" s="190">
        <v>3.4</v>
      </c>
      <c r="I12" s="190">
        <v>4.7</v>
      </c>
      <c r="J12" s="190">
        <v>3.9729999999999999</v>
      </c>
      <c r="K12" s="190">
        <v>3.8</v>
      </c>
      <c r="L12" s="190">
        <v>3.4</v>
      </c>
      <c r="M12" s="190">
        <v>2.8290000000000002</v>
      </c>
      <c r="N12" s="190">
        <v>2.85</v>
      </c>
      <c r="O12" s="190">
        <v>2.8820000000000001</v>
      </c>
      <c r="P12" s="190">
        <v>26.65</v>
      </c>
      <c r="Q12" s="190">
        <v>13.472</v>
      </c>
      <c r="R12" s="190">
        <v>59.557698000000002</v>
      </c>
      <c r="S12" s="190">
        <v>70.967893000000018</v>
      </c>
      <c r="T12" s="190">
        <v>71.201110999999997</v>
      </c>
      <c r="U12" s="190">
        <v>67.266000000000005</v>
      </c>
      <c r="V12" s="190">
        <v>66.135000000000005</v>
      </c>
      <c r="W12" s="190">
        <v>64.8</v>
      </c>
      <c r="X12" s="190">
        <v>66.177000000000007</v>
      </c>
      <c r="Y12" s="190">
        <v>64.545000000000002</v>
      </c>
      <c r="Z12" s="190">
        <v>64.597349000000008</v>
      </c>
      <c r="AA12" s="190">
        <v>63.063695999999901</v>
      </c>
      <c r="AB12" s="190">
        <v>66.557491999999996</v>
      </c>
      <c r="AC12" s="190">
        <v>63.790075999999992</v>
      </c>
      <c r="AD12" s="190">
        <v>62.742859000000003</v>
      </c>
      <c r="AE12" s="190">
        <v>63.101624000000001</v>
      </c>
      <c r="AF12" s="190">
        <v>69.099638999999996</v>
      </c>
      <c r="AG12" s="190">
        <v>62.647832000000001</v>
      </c>
      <c r="AH12" s="190">
        <v>60.27149</v>
      </c>
      <c r="AI12" s="190">
        <v>58.592790000000001</v>
      </c>
      <c r="AJ12" s="190">
        <v>60.586664999999996</v>
      </c>
      <c r="AK12" s="190">
        <v>56.936652000000002</v>
      </c>
      <c r="AL12" s="190">
        <v>57.460720999999992</v>
      </c>
      <c r="AM12" s="190">
        <v>58.970495</v>
      </c>
      <c r="AN12" s="190">
        <v>60.350203000000008</v>
      </c>
      <c r="AO12" s="190">
        <v>55.531427999999998</v>
      </c>
      <c r="AP12" s="190">
        <v>53.335132999999999</v>
      </c>
      <c r="AQ12" s="190">
        <v>49.724459000000003</v>
      </c>
      <c r="AR12" s="190">
        <v>50.192158999999997</v>
      </c>
      <c r="AS12" s="190">
        <v>46.974711000000006</v>
      </c>
      <c r="AT12" s="190">
        <v>45.588550000000005</v>
      </c>
      <c r="AU12" s="252"/>
    </row>
    <row r="13" spans="2:47">
      <c r="B13" s="194" t="s">
        <v>88</v>
      </c>
      <c r="C13" s="192">
        <v>4.5999999999999996</v>
      </c>
      <c r="D13" s="192">
        <v>4.5</v>
      </c>
      <c r="E13" s="192">
        <v>4.4000000000000004</v>
      </c>
      <c r="F13" s="192">
        <v>4.7</v>
      </c>
      <c r="G13" s="192">
        <v>2.9</v>
      </c>
      <c r="H13" s="192">
        <v>3.1</v>
      </c>
      <c r="I13" s="192">
        <v>4.2</v>
      </c>
      <c r="J13" s="192">
        <v>3.55</v>
      </c>
      <c r="K13" s="192">
        <v>3.4</v>
      </c>
      <c r="L13" s="192">
        <v>3</v>
      </c>
      <c r="M13" s="192">
        <v>2.5459999999999998</v>
      </c>
      <c r="N13" s="192">
        <v>2.5430000000000001</v>
      </c>
      <c r="O13" s="192">
        <v>2.556</v>
      </c>
      <c r="P13" s="192">
        <v>23.984000000000002</v>
      </c>
      <c r="Q13" s="192">
        <v>12.234</v>
      </c>
      <c r="R13" s="192">
        <v>53.399812000000004</v>
      </c>
      <c r="S13" s="192">
        <v>62.970139000000003</v>
      </c>
      <c r="T13" s="192">
        <v>63.067450000000001</v>
      </c>
      <c r="U13" s="192">
        <v>59.511000000000003</v>
      </c>
      <c r="V13" s="192">
        <v>58.930999999999997</v>
      </c>
      <c r="W13" s="192">
        <v>57.273000000000003</v>
      </c>
      <c r="X13" s="192">
        <v>58.496000000000002</v>
      </c>
      <c r="Y13" s="192">
        <v>58.255000000000003</v>
      </c>
      <c r="Z13" s="192">
        <v>57.630087999999994</v>
      </c>
      <c r="AA13" s="192">
        <v>55.723979</v>
      </c>
      <c r="AB13" s="192">
        <v>59.173102000000007</v>
      </c>
      <c r="AC13" s="192">
        <v>56.583209000000004</v>
      </c>
      <c r="AD13" s="192">
        <v>56.164024000000005</v>
      </c>
      <c r="AE13" s="192">
        <v>56.474128</v>
      </c>
      <c r="AF13" s="192">
        <v>61.836648999999994</v>
      </c>
      <c r="AG13" s="192">
        <v>56.228012999999997</v>
      </c>
      <c r="AH13" s="192">
        <v>54.653697999999999</v>
      </c>
      <c r="AI13" s="192">
        <v>52.823478999999999</v>
      </c>
      <c r="AJ13" s="192">
        <v>54.655628999999998</v>
      </c>
      <c r="AK13" s="192">
        <v>51.382663999999998</v>
      </c>
      <c r="AL13" s="192">
        <v>52.283490000000008</v>
      </c>
      <c r="AM13" s="192">
        <v>53.370865000000002</v>
      </c>
      <c r="AN13" s="192">
        <v>54.615594000000009</v>
      </c>
      <c r="AO13" s="192">
        <v>50.334741000000001</v>
      </c>
      <c r="AP13" s="192">
        <v>48.666103</v>
      </c>
      <c r="AQ13" s="192">
        <v>44.841476999999998</v>
      </c>
      <c r="AR13" s="192">
        <v>45.243241999999995</v>
      </c>
      <c r="AS13" s="192">
        <v>42.111875999999995</v>
      </c>
      <c r="AT13" s="192">
        <v>41.191400999999999</v>
      </c>
      <c r="AU13" s="252"/>
    </row>
    <row r="14" spans="2:47">
      <c r="B14" s="232" t="s">
        <v>4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</row>
    <row r="15" spans="2:47">
      <c r="B15" s="197" t="s">
        <v>87</v>
      </c>
      <c r="C15" s="192">
        <v>10.7</v>
      </c>
      <c r="D15" s="192">
        <v>11.1</v>
      </c>
      <c r="E15" s="192">
        <v>9.6999999999999993</v>
      </c>
      <c r="F15" s="192">
        <v>9.6999999999999993</v>
      </c>
      <c r="G15" s="192">
        <v>9.5</v>
      </c>
      <c r="H15" s="192">
        <v>9.3612980000000015</v>
      </c>
      <c r="I15" s="192">
        <v>7.7</v>
      </c>
      <c r="J15" s="192">
        <v>7.9550000000000001</v>
      </c>
      <c r="K15" s="192">
        <v>8.3000000000000007</v>
      </c>
      <c r="L15" s="192">
        <v>6.6</v>
      </c>
      <c r="M15" s="192">
        <v>4.1980000000000004</v>
      </c>
      <c r="N15" s="192">
        <v>5.0309999999999997</v>
      </c>
      <c r="O15" s="192">
        <v>5.8650000000000002</v>
      </c>
      <c r="P15" s="192">
        <v>3.173</v>
      </c>
      <c r="Q15" s="192">
        <v>1.031952</v>
      </c>
      <c r="R15" s="192">
        <v>10.252141</v>
      </c>
      <c r="S15" s="192">
        <v>11.38875</v>
      </c>
      <c r="T15" s="192">
        <v>11.004419</v>
      </c>
      <c r="U15" s="192">
        <v>9.6790000000000003</v>
      </c>
      <c r="V15" s="192">
        <v>11.016999999999999</v>
      </c>
      <c r="W15" s="192">
        <v>11.029</v>
      </c>
      <c r="X15" s="192">
        <v>11.006</v>
      </c>
      <c r="Y15" s="192">
        <v>9.9809999999999999</v>
      </c>
      <c r="Z15" s="192">
        <v>10.21428</v>
      </c>
      <c r="AA15" s="192">
        <v>9.9480970000000006</v>
      </c>
      <c r="AB15" s="192">
        <v>9.8725250000000013</v>
      </c>
      <c r="AC15" s="192">
        <v>8.6700759999999999</v>
      </c>
      <c r="AD15" s="192">
        <v>9.2751999999999981</v>
      </c>
      <c r="AE15" s="192">
        <v>9.138617</v>
      </c>
      <c r="AF15" s="192">
        <v>9.3167099999999987</v>
      </c>
      <c r="AG15" s="192">
        <v>8.5464459999999995</v>
      </c>
      <c r="AH15" s="192">
        <v>9.5838319999999992</v>
      </c>
      <c r="AI15" s="192">
        <v>9.8161569999999987</v>
      </c>
      <c r="AJ15" s="192">
        <v>10.081830999999998</v>
      </c>
      <c r="AK15" s="192">
        <v>9.1864749999999979</v>
      </c>
      <c r="AL15" s="192">
        <v>9.8994850000000003</v>
      </c>
      <c r="AM15" s="192">
        <v>10.333592000000001</v>
      </c>
      <c r="AN15" s="192">
        <v>10.146135000000001</v>
      </c>
      <c r="AO15" s="192">
        <v>9.3415549999999996</v>
      </c>
      <c r="AP15" s="192">
        <v>9.7162800000000011</v>
      </c>
      <c r="AQ15" s="192">
        <v>9.7198539999999998</v>
      </c>
      <c r="AR15" s="192">
        <v>9.316453000000001</v>
      </c>
      <c r="AS15" s="192">
        <v>8.4655100000000001</v>
      </c>
      <c r="AT15" s="192">
        <v>8.4603110000000008</v>
      </c>
      <c r="AU15" s="252"/>
    </row>
    <row r="16" spans="2:47">
      <c r="B16" s="196" t="s">
        <v>90</v>
      </c>
      <c r="C16" s="190">
        <v>70.3</v>
      </c>
      <c r="D16" s="190">
        <v>71.8</v>
      </c>
      <c r="E16" s="190">
        <v>66.8</v>
      </c>
      <c r="F16" s="190">
        <v>65.8</v>
      </c>
      <c r="G16" s="190">
        <v>66.2</v>
      </c>
      <c r="H16" s="190">
        <v>64.747</v>
      </c>
      <c r="I16" s="190">
        <v>55.2</v>
      </c>
      <c r="J16" s="190">
        <v>56.719000000000001</v>
      </c>
      <c r="K16" s="190">
        <v>59.8</v>
      </c>
      <c r="L16" s="190">
        <v>50.9</v>
      </c>
      <c r="M16" s="190">
        <v>35.432000000000002</v>
      </c>
      <c r="N16" s="190">
        <v>42.84</v>
      </c>
      <c r="O16" s="190">
        <v>45.652000000000001</v>
      </c>
      <c r="P16" s="190">
        <v>28.183</v>
      </c>
      <c r="Q16" s="190">
        <v>11.837999999999999</v>
      </c>
      <c r="R16" s="190">
        <v>70.239000000000004</v>
      </c>
      <c r="S16" s="190">
        <v>76.114000000000004</v>
      </c>
      <c r="T16" s="190">
        <v>74.135000000000005</v>
      </c>
      <c r="U16" s="190">
        <v>66.652000000000001</v>
      </c>
      <c r="V16" s="190">
        <v>75.081000000000003</v>
      </c>
      <c r="W16" s="190">
        <v>75.59</v>
      </c>
      <c r="X16" s="190">
        <v>75.218000000000004</v>
      </c>
      <c r="Y16" s="190">
        <v>71.558000000000007</v>
      </c>
      <c r="Z16" s="190">
        <v>70.512</v>
      </c>
      <c r="AA16" s="190">
        <v>69.387</v>
      </c>
      <c r="AB16" s="190">
        <v>68.506</v>
      </c>
      <c r="AC16" s="190">
        <v>62.883000000000003</v>
      </c>
      <c r="AD16" s="190">
        <v>65.239999999999995</v>
      </c>
      <c r="AE16" s="190">
        <v>65.989999999999995</v>
      </c>
      <c r="AF16" s="190">
        <v>66.777000000000001</v>
      </c>
      <c r="AG16" s="190">
        <v>64.19</v>
      </c>
      <c r="AH16" s="190">
        <v>70.828999999999994</v>
      </c>
      <c r="AI16" s="190">
        <v>74.879000000000005</v>
      </c>
      <c r="AJ16" s="190">
        <v>74.944000000000003</v>
      </c>
      <c r="AK16" s="190">
        <v>70.763000000000005</v>
      </c>
      <c r="AL16" s="190">
        <v>74.444000000000003</v>
      </c>
      <c r="AM16" s="190">
        <v>78.611000000000004</v>
      </c>
      <c r="AN16" s="190">
        <v>77.727000000000004</v>
      </c>
      <c r="AO16" s="190">
        <v>73.721999999999994</v>
      </c>
      <c r="AP16" s="190">
        <v>74.498999999999995</v>
      </c>
      <c r="AQ16" s="190">
        <v>75.512</v>
      </c>
      <c r="AR16" s="190">
        <v>73.001999999999995</v>
      </c>
      <c r="AS16" s="190">
        <v>68.86</v>
      </c>
      <c r="AT16" s="190">
        <v>66.81</v>
      </c>
      <c r="AU16" s="252"/>
    </row>
    <row r="17" spans="2:47">
      <c r="B17" s="234" t="s">
        <v>112</v>
      </c>
      <c r="C17" s="192">
        <v>76.400000000000006</v>
      </c>
      <c r="D17" s="192">
        <v>71.5</v>
      </c>
      <c r="E17" s="192">
        <v>73.099999999999994</v>
      </c>
      <c r="F17" s="192">
        <v>69.040000000000006</v>
      </c>
      <c r="G17" s="192">
        <v>74.2</v>
      </c>
      <c r="H17" s="192">
        <v>78.339874228999989</v>
      </c>
      <c r="I17" s="192">
        <v>79.900000000000006</v>
      </c>
      <c r="J17" s="192">
        <v>76.674999999999997</v>
      </c>
      <c r="K17" s="192">
        <v>85.8</v>
      </c>
      <c r="L17" s="192">
        <v>86.980999999999995</v>
      </c>
      <c r="M17" s="192">
        <v>86.980999999999995</v>
      </c>
      <c r="N17" s="192">
        <v>71.299000000000007</v>
      </c>
      <c r="O17" s="192">
        <v>62.414000000000001</v>
      </c>
      <c r="P17" s="192">
        <v>46.671999999999997</v>
      </c>
      <c r="Q17" s="192">
        <v>35.806893869</v>
      </c>
      <c r="R17" s="192">
        <v>66.185000000000002</v>
      </c>
      <c r="S17" s="192">
        <v>72.463019309000003</v>
      </c>
      <c r="T17" s="192">
        <v>69.433999999999997</v>
      </c>
      <c r="U17" s="192">
        <v>73.063000000000002</v>
      </c>
      <c r="V17" s="192">
        <v>68.8</v>
      </c>
      <c r="W17" s="192">
        <v>78.650999999999996</v>
      </c>
      <c r="X17" s="192">
        <v>79.183999999999997</v>
      </c>
      <c r="Y17" s="192">
        <v>77.637</v>
      </c>
      <c r="Z17" s="192">
        <v>73.51195477200001</v>
      </c>
      <c r="AA17" s="192">
        <v>76.772621272999999</v>
      </c>
      <c r="AB17" s="192">
        <v>74.784312003000011</v>
      </c>
      <c r="AC17" s="192">
        <v>72.748999999999995</v>
      </c>
      <c r="AD17" s="192">
        <v>61.680468941000001</v>
      </c>
      <c r="AE17" s="192">
        <v>63.835959974000005</v>
      </c>
      <c r="AF17" s="192">
        <v>61.579094403999996</v>
      </c>
      <c r="AG17" s="192">
        <v>65.104349209000006</v>
      </c>
      <c r="AH17" s="192">
        <v>56.463919727000004</v>
      </c>
      <c r="AI17" s="192">
        <v>58.829857245999989</v>
      </c>
      <c r="AJ17" s="192">
        <v>59.806274601999995</v>
      </c>
      <c r="AK17" s="192">
        <v>69.778413698999998</v>
      </c>
      <c r="AL17" s="192">
        <v>74.419159253999993</v>
      </c>
      <c r="AM17" s="192">
        <v>91.756536241999996</v>
      </c>
      <c r="AN17" s="192">
        <v>84.135657702000017</v>
      </c>
      <c r="AO17" s="192">
        <v>87.372959996199995</v>
      </c>
      <c r="AP17" s="192">
        <v>77.400446312000014</v>
      </c>
      <c r="AQ17" s="192">
        <v>90.140277912999991</v>
      </c>
      <c r="AR17" s="192">
        <v>85.54767022499999</v>
      </c>
      <c r="AS17" s="192">
        <v>90.514790657999995</v>
      </c>
      <c r="AT17" s="192">
        <v>79.077216794999998</v>
      </c>
      <c r="AU17" s="252"/>
    </row>
    <row r="18" spans="2:47" ht="41.25" customHeight="1"/>
    <row r="19" spans="2:47" s="224" customFormat="1" ht="26.25" customHeight="1">
      <c r="B19" s="230" t="s">
        <v>119</v>
      </c>
      <c r="C19" s="251">
        <v>2023</v>
      </c>
      <c r="D19" s="251" t="s">
        <v>198</v>
      </c>
      <c r="E19" s="251" t="s">
        <v>172</v>
      </c>
      <c r="F19" s="251" t="s">
        <v>158</v>
      </c>
      <c r="G19" s="227" t="s">
        <v>140</v>
      </c>
      <c r="H19" s="227" t="s">
        <v>141</v>
      </c>
      <c r="I19" s="227">
        <v>2017</v>
      </c>
      <c r="J19" s="227">
        <v>2016</v>
      </c>
      <c r="K19" s="227">
        <v>2015</v>
      </c>
      <c r="L19" s="227">
        <v>2014</v>
      </c>
      <c r="M19" s="227">
        <v>2013</v>
      </c>
      <c r="X19"/>
    </row>
    <row r="20" spans="2:47">
      <c r="B20" s="183" t="s">
        <v>59</v>
      </c>
      <c r="C20" s="183"/>
      <c r="D20" s="183"/>
      <c r="E20" s="183"/>
      <c r="F20" s="184"/>
      <c r="G20" s="184"/>
      <c r="H20" s="184"/>
      <c r="I20" s="184"/>
      <c r="J20" s="184"/>
      <c r="K20" s="184"/>
      <c r="L20" s="184"/>
      <c r="M20" s="184"/>
    </row>
    <row r="21" spans="2:47">
      <c r="B21" s="185" t="s">
        <v>60</v>
      </c>
      <c r="C21" s="186">
        <f>SUM(C8:F8)</f>
        <v>32.643000000000001</v>
      </c>
      <c r="D21" s="186">
        <f>SUM(G8:J8)</f>
        <v>38.302293208538799</v>
      </c>
      <c r="E21" s="186">
        <f>SUM(K8:N8)</f>
        <v>35.433</v>
      </c>
      <c r="F21" s="186">
        <f>SUM(O8:R8)</f>
        <v>59.228462880952492</v>
      </c>
      <c r="G21" s="186">
        <v>84.067264544819722</v>
      </c>
      <c r="H21" s="186">
        <v>81.713401240451461</v>
      </c>
      <c r="I21" s="186">
        <v>236.27576441001722</v>
      </c>
      <c r="J21" s="186">
        <v>290.48427102855885</v>
      </c>
      <c r="K21" s="186">
        <v>268.56921053720902</v>
      </c>
      <c r="L21" s="186">
        <v>243.28544725818179</v>
      </c>
      <c r="M21" s="186">
        <v>212.22143458825934</v>
      </c>
      <c r="N21" s="252"/>
      <c r="O21" s="223"/>
    </row>
    <row r="22" spans="2:47">
      <c r="B22" s="187" t="s">
        <v>82</v>
      </c>
      <c r="C22" s="188">
        <f>SUM(C9:F9)</f>
        <v>29.6</v>
      </c>
      <c r="D22" s="188">
        <f>SUM(G9:J9)</f>
        <v>30.567459667667798</v>
      </c>
      <c r="E22" s="188">
        <f t="shared" ref="E22:E23" si="0">SUM(K9:N9)</f>
        <v>26.877000000000002</v>
      </c>
      <c r="F22" s="188">
        <f t="shared" ref="F22:F23" si="1">SUM(O9:R9)</f>
        <v>48.748494061904793</v>
      </c>
      <c r="G22" s="188">
        <v>70.01446840953831</v>
      </c>
      <c r="H22" s="188">
        <v>67.790129127403503</v>
      </c>
      <c r="I22" s="188">
        <v>126.2378729389284</v>
      </c>
      <c r="J22" s="188">
        <v>153.6454759188407</v>
      </c>
      <c r="K22" s="188">
        <v>146.07044886974248</v>
      </c>
      <c r="L22" s="188">
        <v>137.53509864120187</v>
      </c>
      <c r="M22" s="188">
        <v>126.4547913824468</v>
      </c>
      <c r="N22" s="252"/>
      <c r="O22" s="223"/>
    </row>
    <row r="23" spans="2:47">
      <c r="B23" s="189" t="s">
        <v>84</v>
      </c>
      <c r="C23" s="190">
        <f>SUM(C10:F10)</f>
        <v>3.0429999999999997</v>
      </c>
      <c r="D23" s="190">
        <f>SUM(G10:J10)</f>
        <v>7.7348335408709996</v>
      </c>
      <c r="E23" s="190">
        <f t="shared" si="0"/>
        <v>8.5570000000000004</v>
      </c>
      <c r="F23" s="190">
        <f t="shared" si="1"/>
        <v>10.479968819047702</v>
      </c>
      <c r="G23" s="190">
        <v>14.052796135281399</v>
      </c>
      <c r="H23" s="190">
        <v>13.92327211304797</v>
      </c>
      <c r="I23" s="190">
        <v>110.03789147108881</v>
      </c>
      <c r="J23" s="190">
        <v>136.83879510971812</v>
      </c>
      <c r="K23" s="190">
        <v>122.49876166746651</v>
      </c>
      <c r="L23" s="190">
        <v>105.75034861697991</v>
      </c>
      <c r="M23" s="190">
        <v>85.766643205812557</v>
      </c>
      <c r="N23" s="252"/>
      <c r="O23" s="223"/>
    </row>
    <row r="24" spans="2:47">
      <c r="B24" s="191" t="s">
        <v>61</v>
      </c>
      <c r="C24" s="192"/>
      <c r="D24" s="192"/>
      <c r="E24" s="192"/>
      <c r="F24" s="192"/>
      <c r="G24" s="192"/>
      <c r="H24" s="192"/>
      <c r="I24" s="192"/>
      <c r="J24" s="191"/>
      <c r="K24" s="191"/>
      <c r="L24" s="191"/>
      <c r="M24" s="191"/>
    </row>
    <row r="25" spans="2:47">
      <c r="B25" s="193" t="s">
        <v>89</v>
      </c>
      <c r="C25" s="190">
        <f>SUM(C12:F12)</f>
        <v>20.2</v>
      </c>
      <c r="D25" s="190">
        <f t="shared" ref="C25:D26" si="2">SUM(G12:J12)</f>
        <v>15.273</v>
      </c>
      <c r="E25" s="190">
        <f t="shared" ref="E25:E26" si="3">SUM(K12:N12)</f>
        <v>12.879</v>
      </c>
      <c r="F25" s="190">
        <f t="shared" ref="F25:F26" si="4">SUM(O12:R12)</f>
        <v>102.56169800000001</v>
      </c>
      <c r="G25" s="190">
        <v>275.56982900000003</v>
      </c>
      <c r="H25" s="190">
        <v>260.12</v>
      </c>
      <c r="I25" s="190">
        <v>256.18719599999997</v>
      </c>
      <c r="J25" s="190">
        <v>255.12034599999996</v>
      </c>
      <c r="K25" s="190">
        <v>233.57682800000001</v>
      </c>
      <c r="L25" s="190">
        <v>228.18725900000001</v>
      </c>
      <c r="M25" s="190">
        <v>192.47987899999998</v>
      </c>
      <c r="N25" s="252"/>
      <c r="O25" s="223"/>
    </row>
    <row r="26" spans="2:47">
      <c r="B26" s="194" t="s">
        <v>88</v>
      </c>
      <c r="C26" s="192">
        <f>SUM(C13:F13)</f>
        <v>18.2</v>
      </c>
      <c r="D26" s="192">
        <f t="shared" si="2"/>
        <v>13.75</v>
      </c>
      <c r="E26" s="192">
        <f t="shared" si="3"/>
        <v>11.489000000000001</v>
      </c>
      <c r="F26" s="192">
        <f t="shared" si="4"/>
        <v>92.173811999999998</v>
      </c>
      <c r="G26" s="192">
        <v>244.478814</v>
      </c>
      <c r="H26" s="192">
        <f>SUM(W13:Z13)</f>
        <v>231.654088</v>
      </c>
      <c r="I26" s="192">
        <v>227.64431400000001</v>
      </c>
      <c r="J26" s="192">
        <v>229.192408</v>
      </c>
      <c r="K26" s="192">
        <v>211.14526199999997</v>
      </c>
      <c r="L26" s="192">
        <v>206.98730300000003</v>
      </c>
      <c r="M26" s="192">
        <v>173.38799599999999</v>
      </c>
      <c r="N26" s="252"/>
      <c r="O26" s="223"/>
    </row>
    <row r="27" spans="2:47">
      <c r="B27" s="191" t="s">
        <v>4</v>
      </c>
      <c r="C27" s="195"/>
      <c r="D27" s="195"/>
      <c r="E27" s="195"/>
      <c r="F27" s="195"/>
      <c r="G27" s="195"/>
      <c r="H27" s="195"/>
      <c r="I27" s="195"/>
      <c r="J27" s="191"/>
      <c r="K27" s="191"/>
      <c r="L27" s="191"/>
      <c r="M27" s="191"/>
    </row>
    <row r="28" spans="2:47">
      <c r="B28" s="196" t="s">
        <v>87</v>
      </c>
      <c r="C28" s="190">
        <f>SUM(C15:F15)</f>
        <v>41.199999999999996</v>
      </c>
      <c r="D28" s="190">
        <f t="shared" ref="C28:D30" si="5">SUM(G15:J15)</f>
        <v>34.516297999999999</v>
      </c>
      <c r="E28" s="190">
        <f t="shared" ref="E28:E30" si="6">SUM(K15:N15)</f>
        <v>24.128999999999998</v>
      </c>
      <c r="F28" s="190">
        <f t="shared" ref="F28:F30" si="7">SUM(O15:R15)</f>
        <v>20.322093000000002</v>
      </c>
      <c r="G28" s="190">
        <f>SUM(S15:V15)</f>
        <v>43.089168999999998</v>
      </c>
      <c r="H28" s="190">
        <v>42.231999999999999</v>
      </c>
      <c r="I28" s="190">
        <v>37.765898</v>
      </c>
      <c r="J28" s="190">
        <v>36.585604999999994</v>
      </c>
      <c r="K28" s="190">
        <v>38.983948000000005</v>
      </c>
      <c r="L28" s="190">
        <v>39.537562000000008</v>
      </c>
      <c r="M28" s="190">
        <v>35.962128</v>
      </c>
      <c r="N28" s="252"/>
      <c r="O28" s="223"/>
    </row>
    <row r="29" spans="2:47">
      <c r="B29" s="197" t="s">
        <v>90</v>
      </c>
      <c r="C29" s="192">
        <f>SUM(C16:F16)</f>
        <v>274.7</v>
      </c>
      <c r="D29" s="192">
        <f t="shared" si="5"/>
        <v>242.86599999999999</v>
      </c>
      <c r="E29" s="192">
        <f t="shared" si="6"/>
        <v>188.97200000000001</v>
      </c>
      <c r="F29" s="192">
        <f t="shared" si="7"/>
        <v>155.91200000000001</v>
      </c>
      <c r="G29" s="192">
        <f>SUM(S16:V16)</f>
        <v>291.98200000000003</v>
      </c>
      <c r="H29" s="192">
        <f>SUM(W16:Z16)</f>
        <v>292.87799999999999</v>
      </c>
      <c r="I29" s="192">
        <v>266.01600000000002</v>
      </c>
      <c r="J29" s="192">
        <v>267.786</v>
      </c>
      <c r="K29" s="192">
        <v>295.02999999999997</v>
      </c>
      <c r="L29" s="192">
        <v>304.55900000000003</v>
      </c>
      <c r="M29" s="192">
        <v>284.18400000000003</v>
      </c>
      <c r="N29" s="252"/>
      <c r="O29" s="223"/>
    </row>
    <row r="30" spans="2:47">
      <c r="B30" s="198" t="s">
        <v>112</v>
      </c>
      <c r="C30" s="190">
        <f>SUM(C17:F17)</f>
        <v>290.04000000000002</v>
      </c>
      <c r="D30" s="190">
        <f t="shared" si="5"/>
        <v>309.11487422900001</v>
      </c>
      <c r="E30" s="190">
        <f t="shared" si="6"/>
        <v>331.06100000000004</v>
      </c>
      <c r="F30" s="190">
        <f t="shared" si="7"/>
        <v>211.07789386900001</v>
      </c>
      <c r="G30" s="190">
        <f>SUM(S17:V17)</f>
        <v>283.76001930900003</v>
      </c>
      <c r="H30" s="190">
        <f>SUM(W17:Z17)</f>
        <v>308.983954772</v>
      </c>
      <c r="I30" s="190">
        <f>SUM(AA17:AD17)</f>
        <v>285.98640221699998</v>
      </c>
      <c r="J30" s="190">
        <v>246.98332331400002</v>
      </c>
      <c r="K30" s="190">
        <v>262.83370480100001</v>
      </c>
      <c r="L30" s="190">
        <v>340.66560025219997</v>
      </c>
      <c r="M30" s="190">
        <v>345.27995559099992</v>
      </c>
      <c r="N30" s="252"/>
      <c r="O30" s="223"/>
    </row>
    <row r="32" spans="2:47">
      <c r="B32" s="236" t="s">
        <v>127</v>
      </c>
      <c r="C32" s="236"/>
      <c r="D32" s="236"/>
      <c r="E32" s="236"/>
      <c r="F32" s="236"/>
      <c r="G32" s="236"/>
      <c r="H32" s="236"/>
      <c r="I32" s="236"/>
      <c r="J32" s="236"/>
      <c r="K32" s="236"/>
    </row>
    <row r="33" spans="2:11">
      <c r="B33" s="236" t="s">
        <v>173</v>
      </c>
      <c r="C33" s="236"/>
      <c r="D33" s="236"/>
      <c r="E33" s="236"/>
      <c r="F33" s="236"/>
      <c r="G33" s="236"/>
      <c r="H33" s="236"/>
      <c r="I33" s="236"/>
      <c r="J33" s="236"/>
      <c r="K33" s="236"/>
    </row>
    <row r="34" spans="2:11">
      <c r="B34" s="236" t="s">
        <v>184</v>
      </c>
      <c r="C34" s="236"/>
      <c r="D34" s="236"/>
      <c r="E34" s="236"/>
      <c r="F34" s="236"/>
      <c r="G34" s="236"/>
      <c r="H34" s="236"/>
      <c r="I34" s="236"/>
      <c r="J34" s="236"/>
      <c r="K34" s="236"/>
    </row>
    <row r="35" spans="2:11">
      <c r="B35" s="236"/>
      <c r="C35" s="236"/>
      <c r="D35" s="236"/>
      <c r="E35" s="236"/>
      <c r="F35" s="236"/>
      <c r="G35" s="236"/>
      <c r="H35" s="236"/>
      <c r="I35" s="236"/>
      <c r="J35" s="236"/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ignoredErrors>
    <ignoredError sqref="G8 I31:N31 C8:F8 D21 C21" unlockedFormula="1"/>
    <ignoredError sqref="D19:G19" numberStoredAsText="1"/>
    <ignoredError sqref="G21:M25 M28:M30 G27:M27 G26 I26:M26" formulaRange="1"/>
    <ignoredError sqref="E21:F30 D22:D30 G28:L30 H26 C22:C30" formulaRange="1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U54"/>
  <sheetViews>
    <sheetView showGridLines="0" topLeftCell="B1" zoomScaleNormal="100" workbookViewId="0">
      <pane xSplit="2" ySplit="6" topLeftCell="D26" activePane="bottomRight" state="frozen"/>
      <selection activeCell="B1" sqref="B1"/>
      <selection pane="topRight" activeCell="D1" sqref="D1"/>
      <selection pane="bottomLeft" activeCell="B7" sqref="B7"/>
      <selection pane="bottomRight" activeCell="D28" sqref="D28:D46"/>
    </sheetView>
  </sheetViews>
  <sheetFormatPr defaultRowHeight="15"/>
  <cols>
    <col min="2" max="2" width="1.85546875" customWidth="1"/>
    <col min="3" max="3" width="59" customWidth="1"/>
    <col min="4" max="4" width="10.5703125" bestFit="1" customWidth="1"/>
    <col min="5" max="6" width="9.28515625" bestFit="1" customWidth="1"/>
    <col min="7" max="7" width="9.28515625" customWidth="1"/>
    <col min="8" max="9" width="9.28515625" bestFit="1" customWidth="1"/>
    <col min="10" max="10" width="11" customWidth="1"/>
    <col min="11" max="17" width="9.140625" customWidth="1"/>
    <col min="18" max="47" width="9.7109375" customWidth="1"/>
  </cols>
  <sheetData>
    <row r="1" spans="3:47" ht="21.75" customHeight="1"/>
    <row r="2" spans="3:47" ht="21.75" customHeight="1" thickBot="1">
      <c r="C2" s="182" t="s">
        <v>123</v>
      </c>
      <c r="D2" s="181"/>
      <c r="E2" s="181"/>
      <c r="F2" s="181"/>
      <c r="G2" s="181"/>
      <c r="H2" s="181"/>
      <c r="I2" s="181"/>
      <c r="J2" s="181"/>
    </row>
    <row r="3" spans="3:47" ht="21.75" customHeight="1">
      <c r="C3" s="181"/>
      <c r="D3" s="181"/>
      <c r="E3" s="181"/>
      <c r="F3" s="181"/>
      <c r="G3" s="181"/>
      <c r="H3" s="181"/>
      <c r="I3" s="181"/>
      <c r="J3" s="181"/>
      <c r="M3" s="223"/>
    </row>
    <row r="4" spans="3:47" ht="21.75" customHeight="1">
      <c r="C4" s="181"/>
      <c r="D4" s="181"/>
      <c r="E4" s="181"/>
      <c r="F4" s="181"/>
      <c r="G4" s="181"/>
      <c r="H4" s="181"/>
      <c r="I4" s="181"/>
      <c r="J4" s="181"/>
      <c r="K4" s="223"/>
      <c r="M4" s="223"/>
    </row>
    <row r="5" spans="3:47" ht="21.75" customHeight="1">
      <c r="K5" s="223"/>
      <c r="L5" s="223"/>
      <c r="M5" s="223"/>
      <c r="N5" s="223"/>
      <c r="O5" s="223"/>
      <c r="P5" s="223"/>
      <c r="R5" s="238"/>
      <c r="S5" s="238"/>
      <c r="T5" s="238"/>
    </row>
    <row r="6" spans="3:47" s="225" customFormat="1" ht="26.25" customHeight="1">
      <c r="C6" s="230" t="s">
        <v>118</v>
      </c>
      <c r="D6" s="229" t="s">
        <v>213</v>
      </c>
      <c r="E6" s="229" t="s">
        <v>209</v>
      </c>
      <c r="F6" s="229" t="s">
        <v>206</v>
      </c>
      <c r="G6" s="229" t="s">
        <v>200</v>
      </c>
      <c r="H6" s="229" t="s">
        <v>194</v>
      </c>
      <c r="I6" s="229" t="s">
        <v>190</v>
      </c>
      <c r="J6" s="229" t="s">
        <v>186</v>
      </c>
      <c r="K6" s="229" t="s">
        <v>181</v>
      </c>
      <c r="L6" s="229" t="s">
        <v>174</v>
      </c>
      <c r="M6" s="229" t="s">
        <v>170</v>
      </c>
      <c r="N6" s="229" t="s">
        <v>166</v>
      </c>
      <c r="O6" s="229" t="s">
        <v>162</v>
      </c>
      <c r="P6" s="229" t="s">
        <v>155</v>
      </c>
      <c r="Q6" s="229" t="s">
        <v>146</v>
      </c>
      <c r="R6" s="229" t="s">
        <v>130</v>
      </c>
      <c r="S6" s="229" t="s">
        <v>128</v>
      </c>
      <c r="T6" s="229" t="s">
        <v>132</v>
      </c>
      <c r="U6" s="229" t="s">
        <v>133</v>
      </c>
      <c r="V6" s="229" t="s">
        <v>134</v>
      </c>
      <c r="W6" s="229" t="s">
        <v>135</v>
      </c>
      <c r="X6" s="229" t="s">
        <v>136</v>
      </c>
      <c r="Y6" s="229" t="s">
        <v>111</v>
      </c>
      <c r="Z6" s="229" t="s">
        <v>109</v>
      </c>
      <c r="AA6" s="229" t="s">
        <v>100</v>
      </c>
      <c r="AB6" s="229" t="s">
        <v>99</v>
      </c>
      <c r="AC6" s="229" t="s">
        <v>98</v>
      </c>
      <c r="AD6" s="229" t="s">
        <v>97</v>
      </c>
      <c r="AE6" s="229" t="s">
        <v>96</v>
      </c>
      <c r="AF6" s="229" t="s">
        <v>95</v>
      </c>
      <c r="AG6" s="229" t="s">
        <v>94</v>
      </c>
      <c r="AH6" s="229" t="s">
        <v>93</v>
      </c>
      <c r="AI6" s="229" t="s">
        <v>92</v>
      </c>
      <c r="AJ6" s="229" t="s">
        <v>86</v>
      </c>
      <c r="AK6" s="229" t="s">
        <v>85</v>
      </c>
      <c r="AL6" s="229" t="s">
        <v>83</v>
      </c>
      <c r="AM6" s="229" t="s">
        <v>79</v>
      </c>
      <c r="AN6" s="229" t="s">
        <v>35</v>
      </c>
      <c r="AO6" s="229" t="s">
        <v>34</v>
      </c>
      <c r="AP6" s="229" t="s">
        <v>54</v>
      </c>
      <c r="AQ6" s="229" t="s">
        <v>53</v>
      </c>
      <c r="AR6" s="229" t="s">
        <v>36</v>
      </c>
      <c r="AS6" s="229" t="s">
        <v>33</v>
      </c>
      <c r="AT6" s="229" t="s">
        <v>52</v>
      </c>
      <c r="AU6" s="229" t="s">
        <v>78</v>
      </c>
    </row>
    <row r="7" spans="3:47" ht="17.25">
      <c r="C7" s="200" t="s">
        <v>151</v>
      </c>
      <c r="D7" s="201">
        <f>SUM(D8:D10)</f>
        <v>671.33299999999997</v>
      </c>
      <c r="E7" s="201">
        <f>SUM(E8:E10)</f>
        <v>741.8</v>
      </c>
      <c r="F7" s="201">
        <f>SUM(F8:F10)</f>
        <v>800.71</v>
      </c>
      <c r="G7" s="201">
        <f>SUM(G8:G10)</f>
        <v>678.3</v>
      </c>
      <c r="H7" s="201">
        <f>SUM(H8:H10)</f>
        <v>648.84100001000002</v>
      </c>
      <c r="I7" s="201">
        <v>642.95899998999994</v>
      </c>
      <c r="J7" s="201">
        <v>582.29999999999995</v>
      </c>
      <c r="K7" s="201">
        <v>533</v>
      </c>
      <c r="L7" s="201">
        <v>476.6</v>
      </c>
      <c r="M7" s="201">
        <v>404.5</v>
      </c>
      <c r="N7" s="201">
        <v>324.10000000000002</v>
      </c>
      <c r="O7" s="201">
        <v>394.19</v>
      </c>
      <c r="P7" s="201">
        <v>357.3</v>
      </c>
      <c r="Q7" s="201">
        <v>466</v>
      </c>
      <c r="R7" s="201">
        <v>420.20650378000278</v>
      </c>
      <c r="S7" s="201">
        <v>807.1</v>
      </c>
      <c r="T7" s="201">
        <v>879.1</v>
      </c>
      <c r="U7" s="201">
        <v>870</v>
      </c>
      <c r="V7" s="201">
        <v>816.13824956000212</v>
      </c>
      <c r="W7" s="201">
        <v>821.38057490000176</v>
      </c>
      <c r="X7" s="201">
        <v>844</v>
      </c>
      <c r="Y7" s="201">
        <v>1011.8</v>
      </c>
      <c r="Z7" s="201">
        <v>965.9</v>
      </c>
      <c r="AA7" s="201">
        <v>950.5</v>
      </c>
      <c r="AB7" s="201">
        <v>979.85717624000063</v>
      </c>
      <c r="AC7" s="201">
        <v>958.3</v>
      </c>
      <c r="AD7" s="201">
        <v>886.8</v>
      </c>
      <c r="AE7" s="201">
        <v>866.3</v>
      </c>
      <c r="AF7" s="201">
        <v>910.03895040999987</v>
      </c>
      <c r="AG7" s="201">
        <v>897.9</v>
      </c>
      <c r="AH7" s="201">
        <v>838.2</v>
      </c>
      <c r="AI7" s="201">
        <v>824.4</v>
      </c>
      <c r="AJ7" s="201">
        <v>835.60000000000036</v>
      </c>
      <c r="AK7" s="201">
        <v>813.7</v>
      </c>
      <c r="AL7" s="201">
        <v>740.3</v>
      </c>
      <c r="AM7" s="201">
        <v>733.2</v>
      </c>
      <c r="AN7" s="201">
        <v>811.30000000000018</v>
      </c>
      <c r="AO7" s="201">
        <v>800.4</v>
      </c>
      <c r="AP7" s="201">
        <v>738.8</v>
      </c>
      <c r="AQ7" s="201">
        <v>682.5</v>
      </c>
      <c r="AR7" s="201">
        <v>679.6</v>
      </c>
      <c r="AS7" s="201">
        <v>624.20000000000005</v>
      </c>
      <c r="AT7" s="201">
        <v>598.29999999999995</v>
      </c>
      <c r="AU7" s="201">
        <v>553.20000000000005</v>
      </c>
    </row>
    <row r="8" spans="3:47">
      <c r="C8" s="202" t="s">
        <v>7</v>
      </c>
      <c r="D8" s="203">
        <v>23.4</v>
      </c>
      <c r="E8" s="203">
        <v>20.100000000000001</v>
      </c>
      <c r="F8" s="203">
        <v>19.010000000000002</v>
      </c>
      <c r="G8" s="203">
        <v>20.9</v>
      </c>
      <c r="H8" s="203">
        <f>73.7-I8-J8-K8</f>
        <v>20.300000000000004</v>
      </c>
      <c r="I8" s="203">
        <v>17.100000000000001</v>
      </c>
      <c r="J8" s="203">
        <v>36.299999999999997</v>
      </c>
      <c r="K8" s="203">
        <v>0</v>
      </c>
      <c r="L8" s="203">
        <v>0</v>
      </c>
      <c r="M8" s="203">
        <v>0</v>
      </c>
      <c r="N8" s="203">
        <v>0</v>
      </c>
      <c r="O8" s="203">
        <v>17.39</v>
      </c>
      <c r="P8" s="203">
        <v>19.5</v>
      </c>
      <c r="Q8" s="203">
        <v>65.900000000000006</v>
      </c>
      <c r="R8" s="203">
        <v>48.2</v>
      </c>
      <c r="S8" s="203">
        <v>80.2</v>
      </c>
      <c r="T8" s="203">
        <v>88</v>
      </c>
      <c r="U8" s="203">
        <v>88.1</v>
      </c>
      <c r="V8" s="203">
        <v>82.722027270000012</v>
      </c>
      <c r="W8" s="203">
        <v>83.271599969999997</v>
      </c>
      <c r="X8" s="203">
        <v>85.7</v>
      </c>
      <c r="Y8" s="203">
        <v>254</v>
      </c>
      <c r="Z8" s="203">
        <v>225.8</v>
      </c>
      <c r="AA8" s="203">
        <v>238.6</v>
      </c>
      <c r="AB8" s="203">
        <v>272.60072525000004</v>
      </c>
      <c r="AC8" s="203">
        <v>250</v>
      </c>
      <c r="AD8" s="203">
        <v>225.2</v>
      </c>
      <c r="AE8" s="203">
        <v>217.6</v>
      </c>
      <c r="AF8" s="203">
        <v>226.02500000000001</v>
      </c>
      <c r="AG8" s="203">
        <v>228.6</v>
      </c>
      <c r="AH8" s="203">
        <v>214.8</v>
      </c>
      <c r="AI8" s="203">
        <v>219.6</v>
      </c>
      <c r="AJ8" s="203">
        <v>232.49999999999994</v>
      </c>
      <c r="AK8" s="203">
        <v>204.3</v>
      </c>
      <c r="AL8" s="203">
        <v>142.4</v>
      </c>
      <c r="AM8" s="203">
        <v>143.30000000000001</v>
      </c>
      <c r="AN8" s="203">
        <v>203.19999999999993</v>
      </c>
      <c r="AO8" s="203">
        <v>190.2</v>
      </c>
      <c r="AP8" s="203">
        <v>177.4</v>
      </c>
      <c r="AQ8" s="203">
        <v>183.8</v>
      </c>
      <c r="AR8" s="203">
        <v>180.8</v>
      </c>
      <c r="AS8" s="203">
        <v>167.1</v>
      </c>
      <c r="AT8" s="203">
        <v>155.1</v>
      </c>
      <c r="AU8" s="203">
        <v>139.19999999999999</v>
      </c>
    </row>
    <row r="9" spans="3:47">
      <c r="C9" s="204" t="s">
        <v>8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05">
        <v>0</v>
      </c>
      <c r="N9" s="205">
        <v>0</v>
      </c>
      <c r="O9" s="205">
        <v>0</v>
      </c>
      <c r="P9" s="205">
        <v>0</v>
      </c>
      <c r="Q9" s="205">
        <v>139.30000000000001</v>
      </c>
      <c r="R9" s="205">
        <v>95.542271189999994</v>
      </c>
      <c r="S9" s="205">
        <v>226.2</v>
      </c>
      <c r="T9" s="205">
        <v>260.10000000000002</v>
      </c>
      <c r="U9" s="205">
        <v>261.85860854999999</v>
      </c>
      <c r="V9" s="205">
        <v>248.90319558000002</v>
      </c>
      <c r="W9" s="205">
        <v>235.53819587000001</v>
      </c>
      <c r="X9" s="205">
        <v>235.9</v>
      </c>
      <c r="Y9" s="205">
        <v>237.3</v>
      </c>
      <c r="Z9" s="205">
        <v>234.1</v>
      </c>
      <c r="AA9" s="205">
        <v>236.3</v>
      </c>
      <c r="AB9" s="205">
        <v>235.55731339000005</v>
      </c>
      <c r="AC9" s="205">
        <v>246.1</v>
      </c>
      <c r="AD9" s="205">
        <v>240.1</v>
      </c>
      <c r="AE9" s="205">
        <v>238.5</v>
      </c>
      <c r="AF9" s="205">
        <v>257.62299999999999</v>
      </c>
      <c r="AG9" s="205">
        <v>242.9</v>
      </c>
      <c r="AH9" s="205">
        <v>228.7</v>
      </c>
      <c r="AI9" s="205">
        <v>203.3</v>
      </c>
      <c r="AJ9" s="205">
        <v>200.50000000000011</v>
      </c>
      <c r="AK9" s="205">
        <v>201.3</v>
      </c>
      <c r="AL9" s="205">
        <v>189.2</v>
      </c>
      <c r="AM9" s="205">
        <v>184.6</v>
      </c>
      <c r="AN9" s="205">
        <v>188.5</v>
      </c>
      <c r="AO9" s="205">
        <v>191.2</v>
      </c>
      <c r="AP9" s="205">
        <v>166.5</v>
      </c>
      <c r="AQ9" s="205">
        <v>156</v>
      </c>
      <c r="AR9" s="205">
        <v>143.4</v>
      </c>
      <c r="AS9" s="205">
        <v>142.69999999999999</v>
      </c>
      <c r="AT9" s="205">
        <v>138.5</v>
      </c>
      <c r="AU9" s="205">
        <v>127.1</v>
      </c>
    </row>
    <row r="10" spans="3:47">
      <c r="C10" s="202" t="s">
        <v>9</v>
      </c>
      <c r="D10" s="203">
        <f>671.333-D8</f>
        <v>647.93299999999999</v>
      </c>
      <c r="E10" s="203">
        <f>741.8-E8</f>
        <v>721.69999999999993</v>
      </c>
      <c r="F10" s="203">
        <v>781.7</v>
      </c>
      <c r="G10" s="203">
        <v>657.4</v>
      </c>
      <c r="H10" s="203">
        <f>2333.4-I10-J10-K10</f>
        <v>628.54100001000006</v>
      </c>
      <c r="I10" s="203">
        <f>I7-I8</f>
        <v>625.85899998999992</v>
      </c>
      <c r="J10" s="203">
        <f>J7-J8</f>
        <v>546</v>
      </c>
      <c r="K10" s="203">
        <v>533</v>
      </c>
      <c r="L10" s="203">
        <v>476.6</v>
      </c>
      <c r="M10" s="203">
        <v>404.5</v>
      </c>
      <c r="N10" s="203">
        <v>324.10000000000002</v>
      </c>
      <c r="O10" s="203">
        <v>376.8</v>
      </c>
      <c r="P10" s="203">
        <v>337.8</v>
      </c>
      <c r="Q10" s="203">
        <v>260.8</v>
      </c>
      <c r="R10" s="203">
        <v>276.46423259000278</v>
      </c>
      <c r="S10" s="203">
        <v>500.7</v>
      </c>
      <c r="T10" s="203">
        <v>531</v>
      </c>
      <c r="U10" s="203">
        <v>520.1</v>
      </c>
      <c r="V10" s="203">
        <v>484.51302671000207</v>
      </c>
      <c r="W10" s="203">
        <v>502.57077906000177</v>
      </c>
      <c r="X10" s="203">
        <v>522.4</v>
      </c>
      <c r="Y10" s="203">
        <v>520.5</v>
      </c>
      <c r="Z10" s="203">
        <v>506</v>
      </c>
      <c r="AA10" s="203">
        <v>475.7</v>
      </c>
      <c r="AB10" s="203">
        <v>471.6991376000006</v>
      </c>
      <c r="AC10" s="203">
        <v>462.1</v>
      </c>
      <c r="AD10" s="203">
        <v>421.5</v>
      </c>
      <c r="AE10" s="203">
        <v>410.3</v>
      </c>
      <c r="AF10" s="203">
        <v>426.39095040999979</v>
      </c>
      <c r="AG10" s="203">
        <v>426.4</v>
      </c>
      <c r="AH10" s="203">
        <v>394.7</v>
      </c>
      <c r="AI10" s="203">
        <v>401.5</v>
      </c>
      <c r="AJ10" s="203">
        <v>402.59999999999991</v>
      </c>
      <c r="AK10" s="203">
        <v>408.2</v>
      </c>
      <c r="AL10" s="203">
        <v>408.7</v>
      </c>
      <c r="AM10" s="203">
        <v>405.3</v>
      </c>
      <c r="AN10" s="203">
        <v>419.59999999999991</v>
      </c>
      <c r="AO10" s="203">
        <v>419</v>
      </c>
      <c r="AP10" s="203">
        <v>394.9</v>
      </c>
      <c r="AQ10" s="203">
        <v>342.8</v>
      </c>
      <c r="AR10" s="203">
        <v>355.3</v>
      </c>
      <c r="AS10" s="203">
        <v>314.39999999999998</v>
      </c>
      <c r="AT10" s="203">
        <v>304.7</v>
      </c>
      <c r="AU10" s="203">
        <v>286.89999999999998</v>
      </c>
    </row>
    <row r="11" spans="3:47">
      <c r="C11" s="212" t="s">
        <v>91</v>
      </c>
      <c r="D11" s="242">
        <f>SUM(D12:D19)</f>
        <v>-507.62599999999998</v>
      </c>
      <c r="E11" s="242">
        <f>SUM(E12:E19)</f>
        <v>-453.59</v>
      </c>
      <c r="F11" s="242">
        <f>SUM(F12:F19)</f>
        <v>-468.84400000000005</v>
      </c>
      <c r="G11" s="242">
        <f>SUM(G12:G19)</f>
        <v>-405.77500000000003</v>
      </c>
      <c r="H11" s="242">
        <f>SUM(H12:H19)</f>
        <v>-196.75000000000006</v>
      </c>
      <c r="I11" s="242">
        <v>-351.03399999999999</v>
      </c>
      <c r="J11" s="242">
        <v>-349.83499999999998</v>
      </c>
      <c r="K11" s="242">
        <v>-404.149</v>
      </c>
      <c r="L11" s="242">
        <v>1095.2</v>
      </c>
      <c r="M11" s="242">
        <v>-368.4</v>
      </c>
      <c r="N11" s="242">
        <v>-271.10000000000002</v>
      </c>
      <c r="O11" s="242">
        <v>-406.14137815999999</v>
      </c>
      <c r="P11" s="242">
        <v>-378.7</v>
      </c>
      <c r="Q11" s="242">
        <v>-728.5</v>
      </c>
      <c r="R11" s="242">
        <v>-705.78568645202006</v>
      </c>
      <c r="S11" s="242">
        <v>-786.9712943799999</v>
      </c>
      <c r="T11" s="242">
        <v>-1105.8</v>
      </c>
      <c r="U11" s="242">
        <f>-647.8</f>
        <v>-647.79999999999995</v>
      </c>
      <c r="V11" s="242">
        <v>-721.99138343999994</v>
      </c>
      <c r="W11" s="242">
        <v>-623.5</v>
      </c>
      <c r="X11" s="242">
        <v>-636</v>
      </c>
      <c r="Y11" s="242">
        <v>-848.3</v>
      </c>
      <c r="Z11" s="242">
        <v>-765.2</v>
      </c>
      <c r="AA11" s="242">
        <v>-736.52570702000003</v>
      </c>
      <c r="AB11" s="242">
        <v>-846.43871923000006</v>
      </c>
      <c r="AC11" s="242">
        <v>-803.17234853000002</v>
      </c>
      <c r="AD11" s="242">
        <v>-780.03778116000001</v>
      </c>
      <c r="AE11" s="242">
        <v>-779.9359040600001</v>
      </c>
      <c r="AF11" s="242">
        <v>-911.62504578999869</v>
      </c>
      <c r="AG11" s="242">
        <v>-811.88699999999994</v>
      </c>
      <c r="AH11" s="242">
        <v>-847.8660000000001</v>
      </c>
      <c r="AI11" s="242">
        <v>-826.24299999999994</v>
      </c>
      <c r="AJ11" s="242">
        <v>-956.21599999999989</v>
      </c>
      <c r="AK11" s="242">
        <v>-965.524</v>
      </c>
      <c r="AL11" s="242">
        <v>-902.15299999999991</v>
      </c>
      <c r="AM11" s="242">
        <v>-881.86300000000006</v>
      </c>
      <c r="AN11" s="243">
        <v>-1379.5000000000009</v>
      </c>
      <c r="AO11" s="242">
        <v>-1310.7</v>
      </c>
      <c r="AP11" s="242">
        <v>-1177.0999999999999</v>
      </c>
      <c r="AQ11" s="242">
        <v>-1232.8</v>
      </c>
      <c r="AR11" s="242">
        <v>-1413.1</v>
      </c>
      <c r="AS11" s="242">
        <v>-1110.4000000000001</v>
      </c>
      <c r="AT11" s="242">
        <v>-1034</v>
      </c>
      <c r="AU11" s="242">
        <v>-780.3</v>
      </c>
    </row>
    <row r="12" spans="3:47">
      <c r="C12" s="210" t="s">
        <v>11</v>
      </c>
      <c r="D12" s="211">
        <v>-38.86399999999999</v>
      </c>
      <c r="E12" s="211">
        <v>-37.145000000000003</v>
      </c>
      <c r="F12" s="211">
        <v>-37.994</v>
      </c>
      <c r="G12" s="211">
        <v>-33.234000000000002</v>
      </c>
      <c r="H12" s="211">
        <v>-40.983999999999995</v>
      </c>
      <c r="I12" s="211">
        <v>-36.662999999999997</v>
      </c>
      <c r="J12" s="211">
        <v>-39.682000000000002</v>
      </c>
      <c r="K12" s="211">
        <v>-30.321000000000002</v>
      </c>
      <c r="L12" s="211">
        <v>-42.1</v>
      </c>
      <c r="M12" s="211">
        <v>-31.835999999999999</v>
      </c>
      <c r="N12" s="211">
        <v>-34.298107740000006</v>
      </c>
      <c r="O12" s="211">
        <v>-46.773476629999998</v>
      </c>
      <c r="P12" s="211">
        <v>-14.7</v>
      </c>
      <c r="Q12" s="211">
        <v>-123</v>
      </c>
      <c r="R12" s="211">
        <v>-112.45762302</v>
      </c>
      <c r="S12" s="211">
        <v>-122.3</v>
      </c>
      <c r="T12" s="211">
        <v>-131.69999999999999</v>
      </c>
      <c r="U12" s="211">
        <v>-127.90705795000002</v>
      </c>
      <c r="V12" s="211">
        <v>-130.15279169999997</v>
      </c>
      <c r="W12" s="211">
        <v>-121.94015035000001</v>
      </c>
      <c r="X12" s="211">
        <v>-132.4</v>
      </c>
      <c r="Y12" s="211">
        <v>-152.5</v>
      </c>
      <c r="Z12" s="211">
        <v>-143.19999999999999</v>
      </c>
      <c r="AA12" s="211">
        <v>-150.50539390999998</v>
      </c>
      <c r="AB12" s="211">
        <v>-174.55899999999997</v>
      </c>
      <c r="AC12" s="211">
        <v>-149.40199999999999</v>
      </c>
      <c r="AD12" s="211">
        <v>-158.76300000000001</v>
      </c>
      <c r="AE12" s="211">
        <v>-158.114</v>
      </c>
      <c r="AF12" s="211">
        <v>-156.56213581999998</v>
      </c>
      <c r="AG12" s="211">
        <v>-176.56800000000001</v>
      </c>
      <c r="AH12" s="211">
        <v>-148.67400000000001</v>
      </c>
      <c r="AI12" s="211">
        <v>-145.00800000000001</v>
      </c>
      <c r="AJ12" s="211">
        <v>-162.42899999999997</v>
      </c>
      <c r="AK12" s="211">
        <v>-144.64500000000001</v>
      </c>
      <c r="AL12" s="211">
        <v>-129.89599999999999</v>
      </c>
      <c r="AM12" s="211">
        <v>-121.82299999999999</v>
      </c>
      <c r="AN12" s="211">
        <v>-159.60000000000008</v>
      </c>
      <c r="AO12" s="211">
        <v>-146.69999999999999</v>
      </c>
      <c r="AP12" s="211">
        <v>-135</v>
      </c>
      <c r="AQ12" s="211">
        <v>-130.9</v>
      </c>
      <c r="AR12" s="211">
        <v>-145.30000000000001</v>
      </c>
      <c r="AS12" s="211">
        <v>-127.5</v>
      </c>
      <c r="AT12" s="211">
        <v>-142.5</v>
      </c>
      <c r="AU12" s="211">
        <v>-102.2</v>
      </c>
    </row>
    <row r="13" spans="3:47">
      <c r="C13" s="215" t="s">
        <v>13</v>
      </c>
      <c r="D13" s="216">
        <v>-43.789999999999992</v>
      </c>
      <c r="E13" s="216">
        <v>-25.937000000000001</v>
      </c>
      <c r="F13" s="216">
        <v>-28.998000000000001</v>
      </c>
      <c r="G13" s="216">
        <v>-26.863</v>
      </c>
      <c r="H13" s="216">
        <v>-32.268000000000001</v>
      </c>
      <c r="I13" s="216">
        <v>-21.515999999999998</v>
      </c>
      <c r="J13" s="216">
        <v>-33.107999999999997</v>
      </c>
      <c r="K13" s="216">
        <v>-22.925000000000001</v>
      </c>
      <c r="L13" s="216">
        <v>-61.8</v>
      </c>
      <c r="M13" s="216">
        <v>-7.7779999999999996</v>
      </c>
      <c r="N13" s="216">
        <v>-3.6497416800000009</v>
      </c>
      <c r="O13" s="216">
        <v>-13.720958399999999</v>
      </c>
      <c r="P13" s="216">
        <v>-25.1</v>
      </c>
      <c r="Q13" s="216">
        <v>-38.799999999999997</v>
      </c>
      <c r="R13" s="216">
        <v>-32.963187680000004</v>
      </c>
      <c r="S13" s="216">
        <v>-38.4</v>
      </c>
      <c r="T13" s="216">
        <v>-16.100000000000001</v>
      </c>
      <c r="U13" s="216">
        <v>-42.189980610000006</v>
      </c>
      <c r="V13" s="216">
        <v>-44.021329859999994</v>
      </c>
      <c r="W13" s="216">
        <v>-44.088689530000011</v>
      </c>
      <c r="X13" s="216">
        <v>-116.2</v>
      </c>
      <c r="Y13" s="216">
        <v>-164.9</v>
      </c>
      <c r="Z13" s="216">
        <v>-71.599999999999994</v>
      </c>
      <c r="AA13" s="216">
        <v>-64.917669899999993</v>
      </c>
      <c r="AB13" s="216">
        <v>-62.914000000000016</v>
      </c>
      <c r="AC13" s="216">
        <v>-67.037999999999997</v>
      </c>
      <c r="AD13" s="216">
        <v>-64.685000000000002</v>
      </c>
      <c r="AE13" s="216">
        <v>-59.237000000000002</v>
      </c>
      <c r="AF13" s="216">
        <v>-81.429999999999978</v>
      </c>
      <c r="AG13" s="216">
        <v>-67.772999999999996</v>
      </c>
      <c r="AH13" s="216">
        <v>-71.039000000000001</v>
      </c>
      <c r="AI13" s="216">
        <v>-63.503999999999998</v>
      </c>
      <c r="AJ13" s="216">
        <v>-72.65100000000001</v>
      </c>
      <c r="AK13" s="216">
        <v>-70.286000000000001</v>
      </c>
      <c r="AL13" s="216">
        <v>-60.247</v>
      </c>
      <c r="AM13" s="216">
        <v>-54.963999999999999</v>
      </c>
      <c r="AN13" s="216">
        <v>-75.399999999999977</v>
      </c>
      <c r="AO13" s="216">
        <v>-54.9</v>
      </c>
      <c r="AP13" s="216">
        <v>-48</v>
      </c>
      <c r="AQ13" s="216">
        <v>-41.4</v>
      </c>
      <c r="AR13" s="216">
        <v>-39.700000000000003</v>
      </c>
      <c r="AS13" s="216">
        <v>-39.799999999999997</v>
      </c>
      <c r="AT13" s="216">
        <v>-41.4</v>
      </c>
      <c r="AU13" s="216">
        <v>-56.3</v>
      </c>
    </row>
    <row r="14" spans="3:47">
      <c r="C14" s="210" t="s">
        <v>14</v>
      </c>
      <c r="D14" s="211">
        <v>-38.369</v>
      </c>
      <c r="E14" s="211">
        <v>-51.235999999999997</v>
      </c>
      <c r="F14" s="211">
        <v>-53.134</v>
      </c>
      <c r="G14" s="211">
        <v>-52.582999999999998</v>
      </c>
      <c r="H14" s="211">
        <v>-65.714000000000013</v>
      </c>
      <c r="I14" s="211">
        <v>-57.699000000000005</v>
      </c>
      <c r="J14" s="211">
        <v>-50.735999999999997</v>
      </c>
      <c r="K14" s="211">
        <v>-43.396999999999998</v>
      </c>
      <c r="L14" s="211">
        <v>6.1</v>
      </c>
      <c r="M14" s="211">
        <v>-24.776</v>
      </c>
      <c r="N14" s="211">
        <v>-64.229618140000014</v>
      </c>
      <c r="O14" s="211">
        <v>-45.662428359999993</v>
      </c>
      <c r="P14" s="211">
        <v>-9.6999999999999993</v>
      </c>
      <c r="Q14" s="211">
        <v>-73.7</v>
      </c>
      <c r="R14" s="211">
        <v>-72.724783640000012</v>
      </c>
      <c r="S14" s="211">
        <v>-96.7</v>
      </c>
      <c r="T14" s="211">
        <v>-117.8</v>
      </c>
      <c r="U14" s="211">
        <v>-84.5</v>
      </c>
      <c r="V14" s="211">
        <v>-88.153210819999998</v>
      </c>
      <c r="W14" s="211">
        <v>-88.98039747</v>
      </c>
      <c r="X14" s="211">
        <v>-7.6</v>
      </c>
      <c r="Y14" s="211">
        <v>4.4000000000000004</v>
      </c>
      <c r="Z14" s="211">
        <v>-92.2</v>
      </c>
      <c r="AA14" s="211">
        <v>-86.219507279999988</v>
      </c>
      <c r="AB14" s="211">
        <v>-79.871716359999994</v>
      </c>
      <c r="AC14" s="211">
        <v>-90.697000000000003</v>
      </c>
      <c r="AD14" s="211">
        <v>-92.346000000000004</v>
      </c>
      <c r="AE14" s="211">
        <v>-98.807000000000002</v>
      </c>
      <c r="AF14" s="211">
        <v>-100.82099999999997</v>
      </c>
      <c r="AG14" s="211">
        <v>-102.146</v>
      </c>
      <c r="AH14" s="211">
        <v>-100.37</v>
      </c>
      <c r="AI14" s="211">
        <v>-107.39700000000001</v>
      </c>
      <c r="AJ14" s="211">
        <v>-35.336999999999989</v>
      </c>
      <c r="AK14" s="211">
        <v>-94.995999999999995</v>
      </c>
      <c r="AL14" s="211">
        <v>-83.334000000000003</v>
      </c>
      <c r="AM14" s="211">
        <v>-84.593000000000004</v>
      </c>
      <c r="AN14" s="211">
        <v>-81</v>
      </c>
      <c r="AO14" s="211">
        <v>-86.5</v>
      </c>
      <c r="AP14" s="211">
        <v>-70.8</v>
      </c>
      <c r="AQ14" s="211">
        <v>-75.7</v>
      </c>
      <c r="AR14" s="211">
        <v>-80.099999999999994</v>
      </c>
      <c r="AS14" s="211">
        <v>-80.5</v>
      </c>
      <c r="AT14" s="211">
        <v>-63.8</v>
      </c>
      <c r="AU14" s="211">
        <v>-63.5</v>
      </c>
    </row>
    <row r="15" spans="3:47">
      <c r="C15" s="215" t="s">
        <v>15</v>
      </c>
      <c r="D15" s="216">
        <v>-83.453000000000031</v>
      </c>
      <c r="E15" s="216">
        <v>-80.722999999999999</v>
      </c>
      <c r="F15" s="216">
        <v>-76.486999999999995</v>
      </c>
      <c r="G15" s="216">
        <v>-73.650999999999996</v>
      </c>
      <c r="H15" s="216">
        <v>-70.597999999999985</v>
      </c>
      <c r="I15" s="216">
        <v>-70.259</v>
      </c>
      <c r="J15" s="216">
        <v>-61.234999999999999</v>
      </c>
      <c r="K15" s="216">
        <v>-59.856000000000002</v>
      </c>
      <c r="L15" s="216">
        <v>-51.9</v>
      </c>
      <c r="M15" s="216">
        <v>-46.259</v>
      </c>
      <c r="N15" s="216">
        <v>-39.010240999999994</v>
      </c>
      <c r="O15" s="216">
        <v>-42.875</v>
      </c>
      <c r="P15" s="216">
        <v>-41.2</v>
      </c>
      <c r="Q15" s="216">
        <v>-29.6</v>
      </c>
      <c r="R15" s="216">
        <v>-30.68708680000001</v>
      </c>
      <c r="S15" s="216">
        <v>-56.4</v>
      </c>
      <c r="T15" s="216">
        <v>-60.8</v>
      </c>
      <c r="U15" s="216">
        <v>-59.2</v>
      </c>
      <c r="V15" s="216">
        <v>-55.283999999999999</v>
      </c>
      <c r="W15" s="216">
        <v>-57.181029909999999</v>
      </c>
      <c r="X15" s="216">
        <v>-55.6</v>
      </c>
      <c r="Y15" s="216">
        <v>-60.7</v>
      </c>
      <c r="Z15" s="216">
        <v>-58.8</v>
      </c>
      <c r="AA15" s="216">
        <v>-55.587610799999993</v>
      </c>
      <c r="AB15" s="216">
        <v>-57.677348189999975</v>
      </c>
      <c r="AC15" s="216">
        <v>-53.006999999999998</v>
      </c>
      <c r="AD15" s="216">
        <v>-48.372</v>
      </c>
      <c r="AE15" s="216">
        <v>-47.057000000000002</v>
      </c>
      <c r="AF15" s="216">
        <v>-48.860000000000014</v>
      </c>
      <c r="AG15" s="216">
        <v>-48.866</v>
      </c>
      <c r="AH15" s="216">
        <v>-45.091000000000001</v>
      </c>
      <c r="AI15" s="216">
        <v>-46.750999999999998</v>
      </c>
      <c r="AJ15" s="216">
        <v>-46.924000000000007</v>
      </c>
      <c r="AK15" s="216">
        <v>-47.552999999999997</v>
      </c>
      <c r="AL15" s="216">
        <v>-47.326999999999998</v>
      </c>
      <c r="AM15" s="216">
        <v>-46.185000000000002</v>
      </c>
      <c r="AN15" s="216">
        <v>-62.800000000000011</v>
      </c>
      <c r="AO15" s="216">
        <v>-47.8</v>
      </c>
      <c r="AP15" s="216">
        <v>-45.3</v>
      </c>
      <c r="AQ15" s="216">
        <v>-39.299999999999997</v>
      </c>
      <c r="AR15" s="216">
        <v>-45.8</v>
      </c>
      <c r="AS15" s="216">
        <v>-36.299999999999997</v>
      </c>
      <c r="AT15" s="216">
        <v>-35.799999999999997</v>
      </c>
      <c r="AU15" s="216">
        <v>-33.9</v>
      </c>
    </row>
    <row r="16" spans="3:47" ht="17.25">
      <c r="C16" s="210" t="s">
        <v>154</v>
      </c>
      <c r="D16" s="211">
        <v>-18.287000000000003</v>
      </c>
      <c r="E16" s="211">
        <v>2.2850000000000001</v>
      </c>
      <c r="F16" s="211">
        <v>-1.1719999999999999</v>
      </c>
      <c r="G16" s="211">
        <v>37.029000000000003</v>
      </c>
      <c r="H16" s="211">
        <v>317.98899999999998</v>
      </c>
      <c r="I16" s="211">
        <v>91.3</v>
      </c>
      <c r="J16" s="211">
        <f>106.1-14.4</f>
        <v>91.699999999999989</v>
      </c>
      <c r="K16" s="211">
        <v>7.2</v>
      </c>
      <c r="L16" s="211">
        <v>1450.5</v>
      </c>
      <c r="M16" s="211">
        <f>-41.167-4.2</f>
        <v>-45.367000000000004</v>
      </c>
      <c r="N16" s="211">
        <f>-82.73508646+153.9</f>
        <v>71.164913540000001</v>
      </c>
      <c r="O16" s="211">
        <v>-30.1</v>
      </c>
      <c r="P16" s="211">
        <v>76.8</v>
      </c>
      <c r="Q16" s="211">
        <f>-237.2-4.9</f>
        <v>-242.1</v>
      </c>
      <c r="R16" s="211">
        <v>-171.61399999999998</v>
      </c>
      <c r="S16" s="211">
        <v>-164.57129438000001</v>
      </c>
      <c r="T16" s="211">
        <f>-8.8-303.3</f>
        <v>-312.10000000000002</v>
      </c>
      <c r="U16" s="211">
        <f>-19.4+1.7</f>
        <v>-17.7</v>
      </c>
      <c r="V16" s="211">
        <v>-92.391999999999996</v>
      </c>
      <c r="W16" s="211">
        <v>-27.7040171599999</v>
      </c>
      <c r="X16" s="211">
        <v>-34.599999999999902</v>
      </c>
      <c r="Y16" s="211">
        <v>-29.7</v>
      </c>
      <c r="Z16" s="211">
        <v>-49.7</v>
      </c>
      <c r="AA16" s="211">
        <v>-43.553960199999999</v>
      </c>
      <c r="AB16" s="211">
        <v>-67.500375979999973</v>
      </c>
      <c r="AC16" s="211">
        <v>-49.731348530000005</v>
      </c>
      <c r="AD16" s="211">
        <v>-53.058781159999995</v>
      </c>
      <c r="AE16" s="211">
        <v>-60.986904060000001</v>
      </c>
      <c r="AF16" s="211">
        <v>-104.01290996999933</v>
      </c>
      <c r="AG16" s="211">
        <v>-50.098999999999997</v>
      </c>
      <c r="AH16" s="211">
        <v>-48.795000000000002</v>
      </c>
      <c r="AI16" s="211">
        <v>-42.664000000000001</v>
      </c>
      <c r="AJ16" s="211">
        <v>-72.045999999999992</v>
      </c>
      <c r="AK16" s="211">
        <v>-68.724000000000004</v>
      </c>
      <c r="AL16" s="211">
        <v>-77.323999999999998</v>
      </c>
      <c r="AM16" s="211">
        <v>-57.2</v>
      </c>
      <c r="AN16" s="211">
        <v>-110.4</v>
      </c>
      <c r="AO16" s="211">
        <v>-71.599999999999994</v>
      </c>
      <c r="AP16" s="211">
        <v>-44.9</v>
      </c>
      <c r="AQ16" s="211">
        <v>-54.6</v>
      </c>
      <c r="AR16" s="211">
        <v>-29.5</v>
      </c>
      <c r="AS16" s="211">
        <v>-48.7</v>
      </c>
      <c r="AT16" s="211">
        <v>-64.099999999999994</v>
      </c>
      <c r="AU16" s="211">
        <v>-47.8</v>
      </c>
    </row>
    <row r="17" spans="3:47">
      <c r="C17" s="215" t="s">
        <v>16</v>
      </c>
      <c r="D17" s="216">
        <v>-9.2840000000000025</v>
      </c>
      <c r="E17" s="216">
        <v>-1.244</v>
      </c>
      <c r="F17" s="216">
        <v>-23.568000000000001</v>
      </c>
      <c r="G17" s="216">
        <v>-4.8239999999999998</v>
      </c>
      <c r="H17" s="216">
        <v>-49.018000000000001</v>
      </c>
      <c r="I17" s="216">
        <v>-1.6319999999999999</v>
      </c>
      <c r="J17" s="216">
        <v>-0.9</v>
      </c>
      <c r="K17" s="216">
        <v>-3.133</v>
      </c>
      <c r="L17" s="216">
        <v>-2.6</v>
      </c>
      <c r="M17" s="216">
        <v>-8.4260000000000002</v>
      </c>
      <c r="N17" s="216">
        <v>-1.9470689999999995</v>
      </c>
      <c r="O17" s="216">
        <v>-19.076176660000002</v>
      </c>
      <c r="P17" s="216">
        <v>-12.3</v>
      </c>
      <c r="Q17" s="216">
        <v>-8.8000000000000007</v>
      </c>
      <c r="R17" s="216">
        <v>-4.4974053400000003</v>
      </c>
      <c r="S17" s="216">
        <v>-13.9</v>
      </c>
      <c r="T17" s="216">
        <v>-174</v>
      </c>
      <c r="U17" s="216">
        <v>-14.8</v>
      </c>
      <c r="V17" s="216">
        <v>-14.917999999999999</v>
      </c>
      <c r="W17" s="216">
        <v>-2.927</v>
      </c>
      <c r="X17" s="216">
        <v>-22.7</v>
      </c>
      <c r="Y17" s="216">
        <v>-125.6</v>
      </c>
      <c r="Z17" s="216">
        <v>-43.6</v>
      </c>
      <c r="AA17" s="216">
        <v>-31.152000000000001</v>
      </c>
      <c r="AB17" s="216">
        <v>-120.12207760000001</v>
      </c>
      <c r="AC17" s="216">
        <v>-105.79600000000001</v>
      </c>
      <c r="AD17" s="216">
        <v>-76.616</v>
      </c>
      <c r="AE17" s="216">
        <v>-70.408000000000001</v>
      </c>
      <c r="AF17" s="216">
        <v>-146.24299999999994</v>
      </c>
      <c r="AG17" s="216">
        <v>-96.135999999999996</v>
      </c>
      <c r="AH17" s="216">
        <v>-159.143</v>
      </c>
      <c r="AI17" s="216">
        <v>-160.15700000000001</v>
      </c>
      <c r="AJ17" s="216">
        <v>-314.96699999999987</v>
      </c>
      <c r="AK17" s="216">
        <v>-284.28500000000003</v>
      </c>
      <c r="AL17" s="216">
        <v>-257.49</v>
      </c>
      <c r="AM17" s="216">
        <v>-284.37700000000001</v>
      </c>
      <c r="AN17" s="216">
        <v>-686.2</v>
      </c>
      <c r="AO17" s="216">
        <v>-648.70000000000005</v>
      </c>
      <c r="AP17" s="216">
        <v>-616.1</v>
      </c>
      <c r="AQ17" s="216">
        <v>-698.9</v>
      </c>
      <c r="AR17" s="216">
        <v>-886</v>
      </c>
      <c r="AS17" s="216">
        <v>-614.9</v>
      </c>
      <c r="AT17" s="216">
        <v>-526.29999999999995</v>
      </c>
      <c r="AU17" s="216">
        <v>-320.5</v>
      </c>
    </row>
    <row r="18" spans="3:47">
      <c r="C18" s="210" t="s">
        <v>18</v>
      </c>
      <c r="D18" s="211">
        <v>0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 t="s">
        <v>182</v>
      </c>
      <c r="L18" s="211"/>
      <c r="M18" s="211">
        <v>0</v>
      </c>
      <c r="N18" s="211">
        <v>0</v>
      </c>
      <c r="O18" s="211">
        <v>0</v>
      </c>
      <c r="P18" s="211">
        <v>0</v>
      </c>
      <c r="Q18" s="211">
        <v>0</v>
      </c>
      <c r="R18" s="211">
        <v>0</v>
      </c>
      <c r="S18" s="211">
        <v>0</v>
      </c>
      <c r="T18" s="211">
        <v>0</v>
      </c>
      <c r="U18" s="211">
        <v>0</v>
      </c>
      <c r="V18" s="211">
        <v>0</v>
      </c>
      <c r="W18" s="211">
        <v>0</v>
      </c>
      <c r="X18" s="211">
        <v>0</v>
      </c>
      <c r="Y18" s="211">
        <v>-6.2</v>
      </c>
      <c r="Z18" s="211">
        <v>-6.5</v>
      </c>
      <c r="AA18" s="211">
        <v>-6.4785262600000006</v>
      </c>
      <c r="AB18" s="211">
        <v>-1.4874782300000042</v>
      </c>
      <c r="AC18" s="211">
        <v>-5.8559999999999999</v>
      </c>
      <c r="AD18" s="211">
        <v>-5.8380000000000001</v>
      </c>
      <c r="AE18" s="211">
        <v>-5.819</v>
      </c>
      <c r="AF18" s="211">
        <v>-2.7149999999999999</v>
      </c>
      <c r="AG18" s="211">
        <v>-2.5840000000000001</v>
      </c>
      <c r="AH18" s="211">
        <v>-2.5859999999999999</v>
      </c>
      <c r="AI18" s="211">
        <v>-1.8260000000000001</v>
      </c>
      <c r="AJ18" s="211">
        <v>-0.18300000000000338</v>
      </c>
      <c r="AK18" s="211">
        <v>-6.0739999999999998</v>
      </c>
      <c r="AL18" s="211">
        <v>-6.4390000000000001</v>
      </c>
      <c r="AM18" s="211">
        <v>-5.6890000000000001</v>
      </c>
      <c r="AN18" s="211">
        <v>-15.5</v>
      </c>
      <c r="AO18" s="211">
        <v>0</v>
      </c>
      <c r="AP18" s="211">
        <v>-4.4000000000000004</v>
      </c>
      <c r="AQ18" s="211">
        <v>-8.1</v>
      </c>
      <c r="AR18" s="211">
        <v>-2.2999999999999998</v>
      </c>
      <c r="AS18" s="211">
        <v>-2.2999999999999998</v>
      </c>
      <c r="AT18" s="211">
        <v>-3</v>
      </c>
      <c r="AU18" s="211">
        <v>-5.3</v>
      </c>
    </row>
    <row r="19" spans="3:47">
      <c r="C19" s="215" t="s">
        <v>19</v>
      </c>
      <c r="D19" s="216">
        <v>-275.57899999999995</v>
      </c>
      <c r="E19" s="216">
        <v>-259.58999999999997</v>
      </c>
      <c r="F19" s="216">
        <v>-247.49100000000001</v>
      </c>
      <c r="G19" s="216">
        <v>-251.649</v>
      </c>
      <c r="H19" s="216">
        <v>-256.15700000000004</v>
      </c>
      <c r="I19" s="216">
        <v>-254.58199999999999</v>
      </c>
      <c r="J19" s="216">
        <v>-255.9</v>
      </c>
      <c r="K19" s="216">
        <v>-251.74600000000001</v>
      </c>
      <c r="L19" s="216">
        <v>-202.9</v>
      </c>
      <c r="M19" s="216">
        <v>-204.02799999999999</v>
      </c>
      <c r="N19" s="216">
        <v>-199.05612732999998</v>
      </c>
      <c r="O19" s="216">
        <v>-207.9</v>
      </c>
      <c r="P19" s="216">
        <v>-352.5</v>
      </c>
      <c r="Q19" s="216">
        <v>-212.5</v>
      </c>
      <c r="R19" s="216">
        <v>-280.84745796999999</v>
      </c>
      <c r="S19" s="216">
        <v>-294.7</v>
      </c>
      <c r="T19" s="216">
        <v>-293.3</v>
      </c>
      <c r="U19" s="216">
        <v>-301.5</v>
      </c>
      <c r="V19" s="216">
        <v>-297.04330012999998</v>
      </c>
      <c r="W19" s="216">
        <v>-280.67871558000002</v>
      </c>
      <c r="X19" s="216">
        <v>-266.89999999999998</v>
      </c>
      <c r="Y19" s="216">
        <v>-313.2</v>
      </c>
      <c r="Z19" s="216">
        <v>-299.60000000000002</v>
      </c>
      <c r="AA19" s="216">
        <v>-298.40922528999999</v>
      </c>
      <c r="AB19" s="216">
        <v>-282.40672287000007</v>
      </c>
      <c r="AC19" s="216">
        <v>-281.64499999999998</v>
      </c>
      <c r="AD19" s="216">
        <v>-280.35899999999998</v>
      </c>
      <c r="AE19" s="216">
        <v>-279.50700000000001</v>
      </c>
      <c r="AF19" s="216">
        <v>-270.98099999999999</v>
      </c>
      <c r="AG19" s="216">
        <v>-267.71499999999997</v>
      </c>
      <c r="AH19" s="216">
        <v>-272.16800000000001</v>
      </c>
      <c r="AI19" s="216">
        <v>-258.93599999999998</v>
      </c>
      <c r="AJ19" s="216">
        <v>-251.67899999999997</v>
      </c>
      <c r="AK19" s="216">
        <v>-248.96100000000001</v>
      </c>
      <c r="AL19" s="216">
        <v>-240.096</v>
      </c>
      <c r="AM19" s="216">
        <v>-227.03200000000001</v>
      </c>
      <c r="AN19" s="216">
        <v>-188.70000000000005</v>
      </c>
      <c r="AO19" s="216">
        <v>-254.5</v>
      </c>
      <c r="AP19" s="216">
        <v>-212.6</v>
      </c>
      <c r="AQ19" s="216">
        <v>-183.8</v>
      </c>
      <c r="AR19" s="216">
        <v>-184.4</v>
      </c>
      <c r="AS19" s="216">
        <v>-160.4</v>
      </c>
      <c r="AT19" s="216">
        <v>-157</v>
      </c>
      <c r="AU19" s="216">
        <v>-150.9</v>
      </c>
    </row>
    <row r="20" spans="3:47" ht="17.25">
      <c r="C20" s="206" t="s">
        <v>145</v>
      </c>
      <c r="D20" s="241">
        <f>SUM(D12:D19)-D17</f>
        <v>-498.34199999999998</v>
      </c>
      <c r="E20" s="241">
        <f>SUM(E12:E19)-E17</f>
        <v>-452.34599999999995</v>
      </c>
      <c r="F20" s="241">
        <v>-445.27600000000001</v>
      </c>
      <c r="G20" s="241">
        <v>-400.95100000000002</v>
      </c>
      <c r="H20" s="241">
        <v>-147.73200000000006</v>
      </c>
      <c r="I20" s="241">
        <v>-343.49299999999999</v>
      </c>
      <c r="J20" s="241">
        <v>-334.5</v>
      </c>
      <c r="K20" s="241">
        <v>-397.4</v>
      </c>
      <c r="L20" s="241">
        <v>1266.2</v>
      </c>
      <c r="M20" s="241">
        <v>-355.8</v>
      </c>
      <c r="N20" s="241">
        <v>-423</v>
      </c>
      <c r="O20" s="241">
        <v>-386.96520149999998</v>
      </c>
      <c r="P20" s="241">
        <v>-176.6</v>
      </c>
      <c r="Q20" s="241">
        <v>-714.7</v>
      </c>
      <c r="R20" s="241">
        <v>-424.93822848202007</v>
      </c>
      <c r="S20" s="241">
        <v>-492.27129437999992</v>
      </c>
      <c r="T20" s="241">
        <v>-812.5</v>
      </c>
      <c r="U20" s="241">
        <v>-634.79999999999995</v>
      </c>
      <c r="V20" s="241">
        <v>-655.5</v>
      </c>
      <c r="W20" s="241">
        <v>-620.6</v>
      </c>
      <c r="X20" s="241">
        <v>-589.29999999999995</v>
      </c>
      <c r="Y20" s="241">
        <v>-716.5</v>
      </c>
      <c r="Z20" s="241">
        <v>-715.1</v>
      </c>
      <c r="AA20" s="241">
        <v>-699.19336738000004</v>
      </c>
      <c r="AB20" s="241">
        <v>-724.92916339999965</v>
      </c>
      <c r="AC20" s="241">
        <v>-691.52034852999998</v>
      </c>
      <c r="AD20" s="241">
        <v>-697.58378116000006</v>
      </c>
      <c r="AE20" s="241">
        <v>-703.70890406000012</v>
      </c>
      <c r="AF20" s="241">
        <v>-762.66704578999907</v>
      </c>
      <c r="AG20" s="241">
        <v>-713.16700000000003</v>
      </c>
      <c r="AH20" s="241">
        <v>-686.13700000000006</v>
      </c>
      <c r="AI20" s="241">
        <v>-664.25999999999988</v>
      </c>
      <c r="AJ20" s="241">
        <v>-641.06600000000026</v>
      </c>
      <c r="AK20" s="241">
        <v>-675.16500000000008</v>
      </c>
      <c r="AL20" s="241">
        <v>-638.22399999999993</v>
      </c>
      <c r="AM20" s="241">
        <v>-591.79700000000014</v>
      </c>
      <c r="AN20" s="241">
        <v>-677.79999999999973</v>
      </c>
      <c r="AO20" s="241">
        <v>-662.1</v>
      </c>
      <c r="AP20" s="241">
        <v>-556.6</v>
      </c>
      <c r="AQ20" s="241">
        <v>-525.70000000000005</v>
      </c>
      <c r="AR20" s="241">
        <v>-524.79999999999995</v>
      </c>
      <c r="AS20" s="241">
        <v>-493.2</v>
      </c>
      <c r="AT20" s="241">
        <v>-504.7</v>
      </c>
      <c r="AU20" s="241">
        <v>-454.5</v>
      </c>
    </row>
    <row r="21" spans="3:47" ht="17.25">
      <c r="C21" s="212" t="s">
        <v>150</v>
      </c>
      <c r="D21" s="242">
        <v>549.55299999999988</v>
      </c>
      <c r="E21" s="242">
        <v>546.57999999999993</v>
      </c>
      <c r="F21" s="242">
        <v>496.76499999999999</v>
      </c>
      <c r="G21" s="242">
        <v>520.85299999999995</v>
      </c>
      <c r="H21" s="242">
        <v>752.80500000000006</v>
      </c>
      <c r="I21" s="242">
        <v>552.11599998999986</v>
      </c>
      <c r="J21" s="242">
        <v>507.39</v>
      </c>
      <c r="K21" s="242">
        <v>388.7</v>
      </c>
      <c r="L21" s="242">
        <v>1952.7</v>
      </c>
      <c r="M21" s="242">
        <v>257.7</v>
      </c>
      <c r="N21" s="242">
        <v>103.82</v>
      </c>
      <c r="O21" s="242">
        <v>221.3</v>
      </c>
      <c r="P21" s="242">
        <v>889.4</v>
      </c>
      <c r="Q21" s="242">
        <v>-11.3</v>
      </c>
      <c r="R21" s="242">
        <v>18.7</v>
      </c>
      <c r="S21" s="242">
        <v>469.8</v>
      </c>
      <c r="T21" s="242">
        <v>546.79999999999995</v>
      </c>
      <c r="U21" s="242">
        <v>537.70000000000005</v>
      </c>
      <c r="V21" s="242">
        <v>462.6</v>
      </c>
      <c r="W21" s="242">
        <v>480.8</v>
      </c>
      <c r="X21" s="242">
        <v>522.20000000000005</v>
      </c>
      <c r="Y21" s="242">
        <v>612.00593080485373</v>
      </c>
      <c r="Z21" s="242">
        <v>549.94600000000003</v>
      </c>
      <c r="AA21" s="242">
        <v>547.29999999999995</v>
      </c>
      <c r="AB21" s="242">
        <v>546.81004379000069</v>
      </c>
      <c r="AC21" s="242">
        <v>541.79999999999995</v>
      </c>
      <c r="AD21" s="242">
        <v>466.8</v>
      </c>
      <c r="AE21" s="242">
        <v>436.7</v>
      </c>
      <c r="AF21" s="242">
        <v>597.59999999999991</v>
      </c>
      <c r="AG21" s="242">
        <v>391.7</v>
      </c>
      <c r="AH21" s="242">
        <v>384.7</v>
      </c>
      <c r="AI21" s="242">
        <v>442.8</v>
      </c>
      <c r="AJ21" s="242">
        <v>391.10000000000014</v>
      </c>
      <c r="AK21" s="242">
        <v>413.9</v>
      </c>
      <c r="AL21" s="242">
        <v>373.6</v>
      </c>
      <c r="AM21" s="242">
        <v>363.2</v>
      </c>
      <c r="AN21" s="242">
        <v>322.59999999999991</v>
      </c>
      <c r="AO21" s="242">
        <v>391.9</v>
      </c>
      <c r="AP21" s="242">
        <v>390.9</v>
      </c>
      <c r="AQ21" s="242">
        <v>336.6</v>
      </c>
      <c r="AR21" s="242">
        <v>344.19999999999993</v>
      </c>
      <c r="AS21" s="242">
        <v>287.89999999999998</v>
      </c>
      <c r="AT21" s="242">
        <v>250.2</v>
      </c>
      <c r="AU21" s="242">
        <v>250.8</v>
      </c>
    </row>
    <row r="22" spans="3:47">
      <c r="C22" s="240" t="s">
        <v>106</v>
      </c>
      <c r="D22" s="207">
        <f>SUM(D23:D24)</f>
        <v>-292.82499999999987</v>
      </c>
      <c r="E22" s="207">
        <f>SUM(E23:E24)</f>
        <v>-374.35900000000004</v>
      </c>
      <c r="F22" s="207">
        <f>SUM(F23:F24)</f>
        <v>-263.94099999999997</v>
      </c>
      <c r="G22" s="207">
        <f>SUM(G23:G24)</f>
        <v>-447.49</v>
      </c>
      <c r="H22" s="207">
        <f>SUM(H23:H24)</f>
        <v>-335.60699999999997</v>
      </c>
      <c r="I22" s="207">
        <v>34.018000000000001</v>
      </c>
      <c r="J22" s="207">
        <v>-510.02700000000004</v>
      </c>
      <c r="K22" s="207">
        <v>-624.73099999999988</v>
      </c>
      <c r="L22" s="207">
        <v>-594.4</v>
      </c>
      <c r="M22" s="207">
        <v>-814.7</v>
      </c>
      <c r="N22" s="207">
        <v>-552.79999999999995</v>
      </c>
      <c r="O22" s="207">
        <v>-584.20000000000005</v>
      </c>
      <c r="P22" s="207">
        <v>-719.7</v>
      </c>
      <c r="Q22" s="207">
        <v>410.8</v>
      </c>
      <c r="R22" s="207">
        <v>-193.18545655000003</v>
      </c>
      <c r="S22" s="207">
        <v>-490.71723661999999</v>
      </c>
      <c r="T22" s="207">
        <v>-428</v>
      </c>
      <c r="U22" s="207">
        <v>-374.32094786000005</v>
      </c>
      <c r="V22" s="207">
        <v>-515.64199999999994</v>
      </c>
      <c r="W22" s="207">
        <v>-466.23705213999995</v>
      </c>
      <c r="X22" s="207">
        <v>-209</v>
      </c>
      <c r="Y22" s="207">
        <v>-405.8</v>
      </c>
      <c r="Z22" s="207">
        <v>-577.29999999999995</v>
      </c>
      <c r="AA22" s="207">
        <v>-402.6</v>
      </c>
      <c r="AB22" s="207">
        <v>-447.13041923000014</v>
      </c>
      <c r="AC22" s="207">
        <v>-395.44600000000003</v>
      </c>
      <c r="AD22" s="207">
        <v>-295.38299999999998</v>
      </c>
      <c r="AE22" s="207">
        <v>-412.13299999999998</v>
      </c>
      <c r="AF22" s="207">
        <v>-500.70401831229509</v>
      </c>
      <c r="AG22" s="207">
        <v>-509.72300000000001</v>
      </c>
      <c r="AH22" s="207">
        <v>-597.149</v>
      </c>
      <c r="AI22" s="207">
        <v>-662.12400000000002</v>
      </c>
      <c r="AJ22" s="207">
        <v>-735.4190000000001</v>
      </c>
      <c r="AK22" s="207">
        <v>-345.56799999999998</v>
      </c>
      <c r="AL22" s="207">
        <v>-455.81900000000002</v>
      </c>
      <c r="AM22" s="207">
        <v>-575.08299999999997</v>
      </c>
      <c r="AN22" s="207">
        <v>-323.32500000000005</v>
      </c>
      <c r="AO22" s="207">
        <v>-323.779</v>
      </c>
      <c r="AP22" s="207">
        <v>-230.446</v>
      </c>
      <c r="AQ22" s="207">
        <v>-90.594999999999999</v>
      </c>
      <c r="AR22" s="207">
        <v>-49.536000000000001</v>
      </c>
      <c r="AS22" s="207">
        <v>-64.402000000000001</v>
      </c>
      <c r="AT22" s="207">
        <v>-76.09</v>
      </c>
      <c r="AU22" s="207">
        <v>-42.109000000000002</v>
      </c>
    </row>
    <row r="23" spans="3:47">
      <c r="C23" s="244" t="s">
        <v>107</v>
      </c>
      <c r="D23" s="216">
        <v>128.31099999999998</v>
      </c>
      <c r="E23" s="216">
        <v>168.62100000000001</v>
      </c>
      <c r="F23" s="216">
        <v>89.591999999999999</v>
      </c>
      <c r="G23" s="216">
        <v>91.188000000000002</v>
      </c>
      <c r="H23" s="216">
        <v>170.25</v>
      </c>
      <c r="I23" s="216">
        <v>88.162999999999997</v>
      </c>
      <c r="J23" s="216">
        <v>68.203000000000003</v>
      </c>
      <c r="K23" s="216">
        <v>59.802</v>
      </c>
      <c r="L23" s="216">
        <v>15.7</v>
      </c>
      <c r="M23" s="216">
        <v>36.5</v>
      </c>
      <c r="N23" s="216">
        <v>36</v>
      </c>
      <c r="O23" s="216">
        <v>43.9</v>
      </c>
      <c r="P23" s="216">
        <v>112.4</v>
      </c>
      <c r="Q23" s="216">
        <v>64.7</v>
      </c>
      <c r="R23" s="216">
        <v>74.509585300000012</v>
      </c>
      <c r="S23" s="216">
        <v>202.51885494999999</v>
      </c>
      <c r="T23" s="216">
        <v>269.39999999999998</v>
      </c>
      <c r="U23" s="216">
        <v>81.2</v>
      </c>
      <c r="V23" s="216">
        <v>46.06600000000001</v>
      </c>
      <c r="W23" s="216">
        <v>107.02717455000001</v>
      </c>
      <c r="X23" s="216">
        <v>108.8</v>
      </c>
      <c r="Y23" s="216">
        <v>54.2</v>
      </c>
      <c r="Z23" s="216">
        <v>60.8</v>
      </c>
      <c r="AA23" s="216">
        <v>34.674722959999997</v>
      </c>
      <c r="AB23" s="216">
        <v>30.566851589999999</v>
      </c>
      <c r="AC23" s="216">
        <v>26.97</v>
      </c>
      <c r="AD23" s="216">
        <v>36.063000000000002</v>
      </c>
      <c r="AE23" s="216">
        <v>44.545999999999999</v>
      </c>
      <c r="AF23" s="216">
        <v>123.91176783</v>
      </c>
      <c r="AG23" s="216">
        <v>72.602999999999994</v>
      </c>
      <c r="AH23" s="216">
        <v>73.897000000000006</v>
      </c>
      <c r="AI23" s="216">
        <v>57.046999999999997</v>
      </c>
      <c r="AJ23" s="216">
        <v>38.703000000000031</v>
      </c>
      <c r="AK23" s="216">
        <v>131.53700000000001</v>
      </c>
      <c r="AL23" s="216">
        <v>54.155999999999999</v>
      </c>
      <c r="AM23" s="216">
        <v>75.787999999999997</v>
      </c>
      <c r="AN23" s="216">
        <v>42.032000000000011</v>
      </c>
      <c r="AO23" s="216">
        <v>47.116999999999997</v>
      </c>
      <c r="AP23" s="216">
        <v>35.412999999999997</v>
      </c>
      <c r="AQ23" s="216">
        <v>42.613</v>
      </c>
      <c r="AR23" s="216">
        <v>61.455000000000013</v>
      </c>
      <c r="AS23" s="216">
        <v>48.927</v>
      </c>
      <c r="AT23" s="216">
        <v>54.652000000000001</v>
      </c>
      <c r="AU23" s="216">
        <v>38.777000000000001</v>
      </c>
    </row>
    <row r="24" spans="3:47">
      <c r="C24" s="202" t="s">
        <v>108</v>
      </c>
      <c r="D24" s="211">
        <v>-421.13599999999985</v>
      </c>
      <c r="E24" s="211">
        <v>-542.98</v>
      </c>
      <c r="F24" s="211">
        <v>-353.53299999999996</v>
      </c>
      <c r="G24" s="211">
        <v>-538.678</v>
      </c>
      <c r="H24" s="211">
        <v>-505.85699999999997</v>
      </c>
      <c r="I24" s="211">
        <v>-54.144999999999996</v>
      </c>
      <c r="J24" s="211">
        <v>-578.23</v>
      </c>
      <c r="K24" s="211">
        <v>-684.5329999999999</v>
      </c>
      <c r="L24" s="211">
        <v>-610.1</v>
      </c>
      <c r="M24" s="211">
        <v>-851.2</v>
      </c>
      <c r="N24" s="211">
        <v>-588.79999999999995</v>
      </c>
      <c r="O24" s="211">
        <v>-628.1</v>
      </c>
      <c r="P24" s="211">
        <v>-832.1</v>
      </c>
      <c r="Q24" s="211">
        <v>-475.5</v>
      </c>
      <c r="R24" s="211">
        <v>-267.69504185000005</v>
      </c>
      <c r="S24" s="211">
        <v>-693.23609156999999</v>
      </c>
      <c r="T24" s="211">
        <v>-697.3</v>
      </c>
      <c r="U24" s="211">
        <v>-455.52777331000016</v>
      </c>
      <c r="V24" s="211">
        <v>-561.70799999999997</v>
      </c>
      <c r="W24" s="211">
        <v>-573.26422668999999</v>
      </c>
      <c r="X24" s="211">
        <v>-317.8</v>
      </c>
      <c r="Y24" s="211">
        <v>-460</v>
      </c>
      <c r="Z24" s="211">
        <v>-638.1</v>
      </c>
      <c r="AA24" s="211">
        <v>-437.27406181999999</v>
      </c>
      <c r="AB24" s="211">
        <v>-477.69727082000009</v>
      </c>
      <c r="AC24" s="211">
        <v>-422.416</v>
      </c>
      <c r="AD24" s="211">
        <v>-331.44600000000003</v>
      </c>
      <c r="AE24" s="211">
        <v>-456.67899999999997</v>
      </c>
      <c r="AF24" s="211">
        <v>-624.61578614229506</v>
      </c>
      <c r="AG24" s="211">
        <v>-582.32600000000002</v>
      </c>
      <c r="AH24" s="211">
        <v>-671.04600000000005</v>
      </c>
      <c r="AI24" s="211">
        <v>-719.17100000000005</v>
      </c>
      <c r="AJ24" s="211">
        <v>-774.12199999999984</v>
      </c>
      <c r="AK24" s="211">
        <v>-477.10500000000002</v>
      </c>
      <c r="AL24" s="211">
        <v>-509.97500000000002</v>
      </c>
      <c r="AM24" s="211">
        <v>-650.87099999999998</v>
      </c>
      <c r="AN24" s="211">
        <v>-365.35699999999997</v>
      </c>
      <c r="AO24" s="211">
        <v>-370.89600000000002</v>
      </c>
      <c r="AP24" s="211">
        <v>-265.85899999999998</v>
      </c>
      <c r="AQ24" s="211">
        <v>-133.208</v>
      </c>
      <c r="AR24" s="211">
        <v>-110.99099999999999</v>
      </c>
      <c r="AS24" s="211">
        <v>-113.32899999999999</v>
      </c>
      <c r="AT24" s="211">
        <v>-130.74199999999999</v>
      </c>
      <c r="AU24" s="211">
        <v>-80.885999999999996</v>
      </c>
    </row>
    <row r="25" spans="3:47">
      <c r="C25" s="245" t="s">
        <v>110</v>
      </c>
      <c r="D25" s="242">
        <v>5.1970000000000027</v>
      </c>
      <c r="E25" s="242">
        <v>-69.365000000000038</v>
      </c>
      <c r="F25" s="242">
        <v>-16.978999999999999</v>
      </c>
      <c r="G25" s="242">
        <v>-83.186000000000078</v>
      </c>
      <c r="H25" s="242">
        <v>78.015000000000015</v>
      </c>
      <c r="I25" s="242">
        <v>118.71099998999992</v>
      </c>
      <c r="J25" s="242">
        <v>-122.9</v>
      </c>
      <c r="K25" s="242">
        <v>-229.77099999999973</v>
      </c>
      <c r="L25" s="242">
        <v>868.5</v>
      </c>
      <c r="M25" s="242">
        <v>-531.4</v>
      </c>
      <c r="N25" s="242">
        <v>-445</v>
      </c>
      <c r="O25" s="242">
        <v>-441.3</v>
      </c>
      <c r="P25" s="242">
        <v>-240.5</v>
      </c>
      <c r="Q25" s="242">
        <v>-400.6</v>
      </c>
      <c r="R25" s="242">
        <v>-280.0712144820173</v>
      </c>
      <c r="S25" s="242">
        <v>-428.05030078813684</v>
      </c>
      <c r="T25" s="242">
        <v>-938.4</v>
      </c>
      <c r="U25" s="242">
        <v>-76.579780893792986</v>
      </c>
      <c r="V25" s="242">
        <v>-348.39108449090395</v>
      </c>
      <c r="W25" s="242">
        <v>-189.42913461530307</v>
      </c>
      <c r="X25" s="242">
        <v>39.1</v>
      </c>
      <c r="Y25" s="242">
        <v>-81.3</v>
      </c>
      <c r="Z25" s="242">
        <v>-192.1</v>
      </c>
      <c r="AA25" s="242">
        <v>-89.6</v>
      </c>
      <c r="AB25" s="242">
        <v>-243.70000000000005</v>
      </c>
      <c r="AC25" s="242">
        <v>-37.700000000000003</v>
      </c>
      <c r="AD25" s="242">
        <v>-62.6</v>
      </c>
      <c r="AE25" s="242">
        <v>-138.6</v>
      </c>
      <c r="AF25" s="242">
        <v>-90.499999999999886</v>
      </c>
      <c r="AG25" s="242">
        <v>-266.89999999999998</v>
      </c>
      <c r="AH25" s="242">
        <v>-301.60000000000002</v>
      </c>
      <c r="AI25" s="242">
        <v>-301.8</v>
      </c>
      <c r="AJ25" s="242">
        <v>-392.6</v>
      </c>
      <c r="AK25" s="242">
        <v>-138.5</v>
      </c>
      <c r="AL25" s="242">
        <v>-211.8</v>
      </c>
      <c r="AM25" s="242">
        <v>-213.3</v>
      </c>
      <c r="AN25" s="242">
        <v>-121.19999999999999</v>
      </c>
      <c r="AO25" s="242">
        <v>-128.6</v>
      </c>
      <c r="AP25" s="242">
        <v>-28.3</v>
      </c>
      <c r="AQ25" s="242">
        <v>15.2</v>
      </c>
      <c r="AR25" s="242">
        <v>34.54</v>
      </c>
      <c r="AS25" s="242">
        <v>32.707000000000001</v>
      </c>
      <c r="AT25" s="242">
        <v>-0.56100000000000005</v>
      </c>
      <c r="AU25" s="242">
        <v>29.314</v>
      </c>
    </row>
    <row r="27" spans="3:47" s="225" customFormat="1" ht="26.25" customHeight="1">
      <c r="C27" s="228" t="s">
        <v>119</v>
      </c>
      <c r="D27" s="250" t="s">
        <v>214</v>
      </c>
      <c r="E27" s="250" t="s">
        <v>195</v>
      </c>
      <c r="F27" s="250" t="s">
        <v>175</v>
      </c>
      <c r="G27" s="250" t="s">
        <v>156</v>
      </c>
      <c r="H27" s="229" t="s">
        <v>140</v>
      </c>
      <c r="I27" s="229" t="s">
        <v>141</v>
      </c>
      <c r="J27" s="229">
        <v>2017</v>
      </c>
      <c r="K27" s="229">
        <v>2016</v>
      </c>
      <c r="L27" s="229">
        <v>2015</v>
      </c>
      <c r="M27" s="229">
        <v>2014</v>
      </c>
      <c r="N27" s="229">
        <v>2013</v>
      </c>
    </row>
    <row r="28" spans="3:47" ht="17.25">
      <c r="C28" s="200" t="s">
        <v>151</v>
      </c>
      <c r="D28" s="201">
        <f>SUM(D7:G7)</f>
        <v>2892.143</v>
      </c>
      <c r="E28" s="201">
        <f>SUM(H7:K7)</f>
        <v>2407.1</v>
      </c>
      <c r="F28" s="201">
        <v>1505.7</v>
      </c>
      <c r="G28" s="201">
        <v>1436.2</v>
      </c>
      <c r="H28" s="201">
        <v>3386.7</v>
      </c>
      <c r="I28" s="201">
        <v>3294.6000000000004</v>
      </c>
      <c r="J28" s="201">
        <v>3691.2</v>
      </c>
      <c r="K28" s="201">
        <v>3470.6</v>
      </c>
      <c r="L28" s="201">
        <v>3122.8</v>
      </c>
      <c r="M28" s="201">
        <v>3033</v>
      </c>
      <c r="N28" s="201">
        <v>2455.3000000000002</v>
      </c>
      <c r="S28" s="217"/>
      <c r="T28" s="223"/>
    </row>
    <row r="29" spans="3:47">
      <c r="C29" s="202" t="s">
        <v>7</v>
      </c>
      <c r="D29" s="203">
        <f>SUM(D8:G8)</f>
        <v>83.41</v>
      </c>
      <c r="E29" s="203">
        <f t="shared" ref="D29:E45" si="0">SUM(H8:K8)</f>
        <v>73.7</v>
      </c>
      <c r="F29" s="203">
        <v>0</v>
      </c>
      <c r="G29" s="203">
        <v>60.5</v>
      </c>
      <c r="H29" s="203">
        <v>342</v>
      </c>
      <c r="I29" s="203">
        <v>326.39999999999998</v>
      </c>
      <c r="J29" s="203">
        <v>965.4</v>
      </c>
      <c r="K29" s="203">
        <v>889.1</v>
      </c>
      <c r="L29" s="203">
        <v>722.5</v>
      </c>
      <c r="M29" s="203">
        <v>754.6</v>
      </c>
      <c r="N29" s="203">
        <v>642.20000000000005</v>
      </c>
      <c r="S29" s="217"/>
    </row>
    <row r="30" spans="3:47">
      <c r="C30" s="204" t="s">
        <v>8</v>
      </c>
      <c r="D30" s="205">
        <f>SUM(D9:G9)</f>
        <v>0</v>
      </c>
      <c r="E30" s="205">
        <f t="shared" si="0"/>
        <v>0</v>
      </c>
      <c r="F30" s="205">
        <v>0</v>
      </c>
      <c r="G30" s="205">
        <v>0</v>
      </c>
      <c r="H30" s="205">
        <v>1006.4</v>
      </c>
      <c r="I30" s="205">
        <v>943.5</v>
      </c>
      <c r="J30" s="205">
        <v>960.2</v>
      </c>
      <c r="K30" s="205">
        <v>932.6</v>
      </c>
      <c r="L30" s="205">
        <v>775.6</v>
      </c>
      <c r="M30" s="205">
        <v>702.2</v>
      </c>
      <c r="N30" s="205">
        <v>551.70000000000005</v>
      </c>
    </row>
    <row r="31" spans="3:47">
      <c r="C31" s="202" t="s">
        <v>9</v>
      </c>
      <c r="D31" s="203">
        <f>SUM(D10:G10)</f>
        <v>2808.7329999999997</v>
      </c>
      <c r="E31" s="203">
        <f t="shared" si="0"/>
        <v>2333.4</v>
      </c>
      <c r="F31" s="203">
        <v>1505.7</v>
      </c>
      <c r="G31" s="203">
        <v>1375.8</v>
      </c>
      <c r="H31" s="203">
        <v>2038.3</v>
      </c>
      <c r="I31" s="203">
        <v>2024.7</v>
      </c>
      <c r="J31" s="203">
        <v>1765.6</v>
      </c>
      <c r="K31" s="203">
        <v>1649</v>
      </c>
      <c r="L31" s="203">
        <v>1624.8</v>
      </c>
      <c r="M31" s="203">
        <v>1576.3</v>
      </c>
      <c r="N31" s="203">
        <v>1261.4000000000001</v>
      </c>
    </row>
    <row r="32" spans="3:47">
      <c r="C32" s="212" t="s">
        <v>91</v>
      </c>
      <c r="D32" s="242">
        <f>SUM(D11:G11)</f>
        <v>-1835.835</v>
      </c>
      <c r="E32" s="242">
        <f t="shared" si="0"/>
        <v>-1301.768</v>
      </c>
      <c r="F32" s="242">
        <v>49.7</v>
      </c>
      <c r="G32" s="242">
        <v>-1100.2</v>
      </c>
      <c r="H32" s="242">
        <v>-3066.6</v>
      </c>
      <c r="I32" s="242">
        <v>-2432.5990000000002</v>
      </c>
      <c r="J32" s="242">
        <v>-3209.5847529800003</v>
      </c>
      <c r="K32" s="242">
        <v>-3397.6210457899988</v>
      </c>
      <c r="L32" s="242">
        <v>-3705.7559999999999</v>
      </c>
      <c r="M32" s="242">
        <v>-5100.1000000000004</v>
      </c>
      <c r="N32" s="242">
        <v>-4336.8</v>
      </c>
    </row>
    <row r="33" spans="3:47">
      <c r="C33" s="210" t="s">
        <v>11</v>
      </c>
      <c r="D33" s="211">
        <f>SUM(D12:G12)</f>
        <v>-147.23699999999999</v>
      </c>
      <c r="E33" s="211">
        <f t="shared" si="0"/>
        <v>-147.65</v>
      </c>
      <c r="F33" s="211">
        <v>-155</v>
      </c>
      <c r="G33" s="211">
        <v>-153.30000000000001</v>
      </c>
      <c r="H33" s="211">
        <v>-511.7</v>
      </c>
      <c r="I33" s="211">
        <v>-521.43200000000002</v>
      </c>
      <c r="J33" s="211">
        <v>-640.83799999999997</v>
      </c>
      <c r="K33" s="211">
        <v>-626.81213581999998</v>
      </c>
      <c r="L33" s="211">
        <v>-558.79300000000001</v>
      </c>
      <c r="M33" s="211">
        <v>-572.20000000000005</v>
      </c>
      <c r="N33" s="211">
        <v>-501.1</v>
      </c>
      <c r="T33" s="217"/>
      <c r="U33" s="223"/>
    </row>
    <row r="34" spans="3:47">
      <c r="C34" s="215" t="s">
        <v>13</v>
      </c>
      <c r="D34" s="216">
        <f>SUM(D13:G13)</f>
        <v>-125.58799999999999</v>
      </c>
      <c r="E34" s="216">
        <f t="shared" si="0"/>
        <v>-109.81699999999999</v>
      </c>
      <c r="F34" s="216">
        <v>-86</v>
      </c>
      <c r="G34" s="216">
        <v>-96.4</v>
      </c>
      <c r="H34" s="216">
        <v>-146.4</v>
      </c>
      <c r="I34" s="216">
        <v>-188.453</v>
      </c>
      <c r="J34" s="216">
        <v>-253.874</v>
      </c>
      <c r="K34" s="216">
        <v>-283.74599999999998</v>
      </c>
      <c r="L34" s="216">
        <v>-258.14800000000002</v>
      </c>
      <c r="M34" s="216">
        <v>-219.7</v>
      </c>
      <c r="N34" s="216">
        <v>-174.7</v>
      </c>
      <c r="T34" s="217"/>
    </row>
    <row r="35" spans="3:47">
      <c r="C35" s="210" t="s">
        <v>14</v>
      </c>
      <c r="D35" s="211">
        <f>SUM(D14:G14)</f>
        <v>-195.32199999999997</v>
      </c>
      <c r="E35" s="211">
        <f t="shared" si="0"/>
        <v>-217.54599999999999</v>
      </c>
      <c r="F35" s="211">
        <v>-126.3</v>
      </c>
      <c r="G35" s="211">
        <v>-117.2</v>
      </c>
      <c r="H35" s="211">
        <v>-379.5</v>
      </c>
      <c r="I35" s="211">
        <v>-279.04499999999996</v>
      </c>
      <c r="J35" s="211">
        <v>-361.72171636000002</v>
      </c>
      <c r="K35" s="211">
        <v>-410.73399999999998</v>
      </c>
      <c r="L35" s="211">
        <v>-298.26</v>
      </c>
      <c r="M35" s="211">
        <v>-314</v>
      </c>
      <c r="N35" s="211">
        <v>-287.8</v>
      </c>
      <c r="W35" s="209"/>
    </row>
    <row r="36" spans="3:47">
      <c r="C36" s="215" t="s">
        <v>15</v>
      </c>
      <c r="D36" s="216">
        <f>SUM(D15:G15)</f>
        <v>-314.31400000000002</v>
      </c>
      <c r="E36" s="216">
        <f t="shared" si="0"/>
        <v>-261.94799999999998</v>
      </c>
      <c r="F36" s="216">
        <v>-180.1</v>
      </c>
      <c r="G36" s="216">
        <v>-156</v>
      </c>
      <c r="H36" s="216">
        <v>-232.3</v>
      </c>
      <c r="I36" s="216">
        <v>-226.893</v>
      </c>
      <c r="J36" s="216">
        <v>-206.11334818999998</v>
      </c>
      <c r="K36" s="216">
        <v>-189.56800000000001</v>
      </c>
      <c r="L36" s="216">
        <v>-187.989</v>
      </c>
      <c r="M36" s="216">
        <v>-195.2</v>
      </c>
      <c r="N36" s="216">
        <v>-151.80000000000001</v>
      </c>
      <c r="W36" s="216"/>
    </row>
    <row r="37" spans="3:47" ht="17.25">
      <c r="C37" s="210" t="s">
        <v>154</v>
      </c>
      <c r="D37" s="211">
        <f>SUM(D16:G16)</f>
        <v>19.855</v>
      </c>
      <c r="E37" s="211">
        <f t="shared" si="0"/>
        <v>508.18899999999996</v>
      </c>
      <c r="F37" s="211">
        <v>1443</v>
      </c>
      <c r="G37" s="211">
        <v>401.3</v>
      </c>
      <c r="H37" s="211">
        <f>-146.8-303.3</f>
        <v>-450.1</v>
      </c>
      <c r="I37" s="211">
        <v>-134.60500000000047</v>
      </c>
      <c r="J37" s="211">
        <v>-231.27740972999996</v>
      </c>
      <c r="K37" s="211">
        <v>-245.57090996999932</v>
      </c>
      <c r="L37" s="211">
        <v>-275.29399999999998</v>
      </c>
      <c r="M37" s="211">
        <v>-281.5</v>
      </c>
      <c r="N37" s="211">
        <v>-209.3</v>
      </c>
      <c r="W37" s="209"/>
    </row>
    <row r="38" spans="3:47">
      <c r="C38" s="215" t="s">
        <v>16</v>
      </c>
      <c r="D38" s="216">
        <f>SUM(D17:G17)</f>
        <v>-38.92</v>
      </c>
      <c r="E38" s="216">
        <f t="shared" si="0"/>
        <v>-54.683</v>
      </c>
      <c r="F38" s="216">
        <v>-32</v>
      </c>
      <c r="G38" s="216">
        <v>-39.5</v>
      </c>
      <c r="H38" s="216">
        <v>-174</v>
      </c>
      <c r="I38" s="216">
        <v>-25.545999999999999</v>
      </c>
      <c r="J38" s="216">
        <v>-372.9420776</v>
      </c>
      <c r="K38" s="216">
        <v>-561.67899999999997</v>
      </c>
      <c r="L38" s="216">
        <v>-1141.1189999999999</v>
      </c>
      <c r="M38" s="216">
        <v>-2649.9</v>
      </c>
      <c r="N38" s="216">
        <v>-2347.6999999999998</v>
      </c>
    </row>
    <row r="39" spans="3:47">
      <c r="C39" s="210" t="s">
        <v>18</v>
      </c>
      <c r="D39" s="211">
        <f>SUM(D18:G18)</f>
        <v>0</v>
      </c>
      <c r="E39" s="211">
        <f t="shared" si="0"/>
        <v>0</v>
      </c>
      <c r="F39" s="211"/>
      <c r="G39" s="211">
        <v>0</v>
      </c>
      <c r="H39" s="211">
        <v>0</v>
      </c>
      <c r="I39" s="211">
        <v>0</v>
      </c>
      <c r="J39" s="211">
        <v>-19.000478230000002</v>
      </c>
      <c r="K39" s="211">
        <v>-9.7110000000000003</v>
      </c>
      <c r="L39" s="211">
        <v>-18.385000000000002</v>
      </c>
      <c r="M39" s="211">
        <v>-28</v>
      </c>
      <c r="N39" s="211">
        <v>-12.9</v>
      </c>
    </row>
    <row r="40" spans="3:47">
      <c r="C40" s="215" t="s">
        <v>19</v>
      </c>
      <c r="D40" s="216">
        <f>SUM(D19:G19)</f>
        <v>-1034.3089999999997</v>
      </c>
      <c r="E40" s="216">
        <f t="shared" si="0"/>
        <v>-1018.385</v>
      </c>
      <c r="F40" s="216">
        <v>-813.9</v>
      </c>
      <c r="G40" s="216">
        <v>-939.1</v>
      </c>
      <c r="H40" s="216">
        <v>-1172.4000000000001</v>
      </c>
      <c r="I40" s="216">
        <v>-1056.625</v>
      </c>
      <c r="J40" s="216">
        <v>-1123.91772287</v>
      </c>
      <c r="K40" s="216">
        <v>-1069.8</v>
      </c>
      <c r="L40" s="216">
        <v>-967.76800000000003</v>
      </c>
      <c r="M40" s="216">
        <v>-839.6</v>
      </c>
      <c r="N40" s="216">
        <v>-651.4</v>
      </c>
    </row>
    <row r="41" spans="3:47" ht="17.25">
      <c r="C41" s="206" t="s">
        <v>145</v>
      </c>
      <c r="D41" s="241">
        <f>SUM(D20:G20)</f>
        <v>-1796.915</v>
      </c>
      <c r="E41" s="241">
        <f t="shared" si="0"/>
        <v>-1223.125</v>
      </c>
      <c r="F41" s="241">
        <v>100.8</v>
      </c>
      <c r="G41" s="241">
        <v>-999.3</v>
      </c>
      <c r="H41" s="241">
        <v>-2589.1999999999998</v>
      </c>
      <c r="I41" s="241">
        <v>-2383</v>
      </c>
      <c r="J41" s="241">
        <v>-2817.7421971499998</v>
      </c>
      <c r="K41" s="241">
        <v>-2826.2310457899989</v>
      </c>
      <c r="L41" s="241">
        <v>-2546.2520000000004</v>
      </c>
      <c r="M41" s="241">
        <v>-2422.1999999999998</v>
      </c>
      <c r="N41" s="241">
        <v>-1976.2</v>
      </c>
    </row>
    <row r="42" spans="3:47" ht="17.25">
      <c r="C42" s="212" t="s">
        <v>150</v>
      </c>
      <c r="D42" s="242">
        <f>SUM(D21:G21)</f>
        <v>2113.7509999999997</v>
      </c>
      <c r="E42" s="242">
        <f t="shared" si="0"/>
        <v>2201.0109999899996</v>
      </c>
      <c r="F42" s="242">
        <v>2536.8000000000002</v>
      </c>
      <c r="G42" s="242">
        <v>1378.1</v>
      </c>
      <c r="H42" s="242">
        <v>1972</v>
      </c>
      <c r="I42" s="242">
        <v>2288.9</v>
      </c>
      <c r="J42" s="242">
        <v>1992.1100437900006</v>
      </c>
      <c r="K42" s="242">
        <v>1816.8</v>
      </c>
      <c r="L42" s="242">
        <v>1541.8</v>
      </c>
      <c r="M42" s="242">
        <v>1442</v>
      </c>
      <c r="N42" s="242">
        <v>1133.0999999999999</v>
      </c>
    </row>
    <row r="43" spans="3:47">
      <c r="C43" s="240" t="s">
        <v>106</v>
      </c>
      <c r="D43" s="207">
        <f>SUM(D22:G22)</f>
        <v>-1378.615</v>
      </c>
      <c r="E43" s="207">
        <f t="shared" si="0"/>
        <v>-1436.3469999999998</v>
      </c>
      <c r="F43" s="207">
        <v>-2534.5</v>
      </c>
      <c r="G43" s="207">
        <v>-1667.1</v>
      </c>
      <c r="H43" s="207">
        <v>-1784.2</v>
      </c>
      <c r="I43" s="207">
        <v>-1392.6</v>
      </c>
      <c r="J43" s="207">
        <v>-1550.1</v>
      </c>
      <c r="K43" s="207">
        <v>-2269.700018312295</v>
      </c>
      <c r="L43" s="207">
        <v>-2111.8890000000001</v>
      </c>
      <c r="M43" s="207">
        <v>-968.14499999999998</v>
      </c>
      <c r="N43" s="207">
        <v>-232.137</v>
      </c>
    </row>
    <row r="44" spans="3:47">
      <c r="C44" s="244" t="s">
        <v>107</v>
      </c>
      <c r="D44" s="216">
        <f>SUM(D23:G23)</f>
        <v>477.71199999999999</v>
      </c>
      <c r="E44" s="216">
        <f t="shared" si="0"/>
        <v>386.41800000000001</v>
      </c>
      <c r="F44" s="216">
        <v>109.9</v>
      </c>
      <c r="G44" s="216">
        <v>406.1</v>
      </c>
      <c r="H44" s="216">
        <v>503.6</v>
      </c>
      <c r="I44" s="216">
        <v>252.5</v>
      </c>
      <c r="J44" s="216">
        <v>138.14541130999999</v>
      </c>
      <c r="K44" s="216">
        <v>327.45876783</v>
      </c>
      <c r="L44" s="216">
        <v>300.18400000000003</v>
      </c>
      <c r="M44" s="216">
        <v>167.17500000000001</v>
      </c>
      <c r="N44" s="216">
        <v>203.81100000000001</v>
      </c>
    </row>
    <row r="45" spans="3:47">
      <c r="C45" s="202" t="s">
        <v>108</v>
      </c>
      <c r="D45" s="211">
        <f>SUM(D24:G24)</f>
        <v>-1856.3269999999998</v>
      </c>
      <c r="E45" s="211">
        <f t="shared" si="0"/>
        <v>-1822.7649999999999</v>
      </c>
      <c r="F45" s="211">
        <v>-2644.5</v>
      </c>
      <c r="G45" s="211">
        <v>-2073.1999999999998</v>
      </c>
      <c r="H45" s="211">
        <v>-2287.8000000000002</v>
      </c>
      <c r="I45" s="211">
        <v>-1645.1</v>
      </c>
      <c r="J45" s="211">
        <v>-1688.2379864900001</v>
      </c>
      <c r="K45" s="211">
        <v>-2597.1587861422954</v>
      </c>
      <c r="L45" s="211">
        <v>-2412.0729999999999</v>
      </c>
      <c r="M45" s="211">
        <v>-1135.32</v>
      </c>
      <c r="N45" s="211">
        <v>-435.94799999999998</v>
      </c>
    </row>
    <row r="46" spans="3:47">
      <c r="C46" s="245" t="s">
        <v>110</v>
      </c>
      <c r="D46" s="242">
        <f>SUM(D25:G25)</f>
        <v>-164.33300000000011</v>
      </c>
      <c r="E46" s="242">
        <f>SUM(H25:K25)</f>
        <v>-155.9450000099998</v>
      </c>
      <c r="F46" s="242">
        <v>-550.6</v>
      </c>
      <c r="G46" s="242">
        <v>-1339.5</v>
      </c>
      <c r="H46" s="242">
        <v>-1552.8</v>
      </c>
      <c r="I46" s="242">
        <v>-324</v>
      </c>
      <c r="J46" s="242">
        <v>-482.6</v>
      </c>
      <c r="K46" s="242">
        <v>-960.8</v>
      </c>
      <c r="L46" s="242">
        <v>-956.2</v>
      </c>
      <c r="M46" s="242">
        <v>-262.89999999999998</v>
      </c>
      <c r="N46" s="242">
        <v>96</v>
      </c>
    </row>
    <row r="47" spans="3:47">
      <c r="AS47" s="199"/>
      <c r="AT47" s="199"/>
      <c r="AU47" s="199"/>
    </row>
    <row r="48" spans="3:47">
      <c r="C48" s="237" t="s">
        <v>142</v>
      </c>
      <c r="D48" s="237"/>
      <c r="E48" s="237"/>
      <c r="F48" s="237"/>
      <c r="G48" s="237"/>
      <c r="H48" s="237"/>
      <c r="I48" s="237"/>
      <c r="J48" s="237"/>
    </row>
    <row r="49" spans="3:10">
      <c r="C49" s="236" t="s">
        <v>143</v>
      </c>
      <c r="D49" s="236"/>
      <c r="E49" s="236"/>
      <c r="F49" s="236"/>
      <c r="G49" s="236"/>
      <c r="H49" s="236"/>
      <c r="I49" s="236"/>
      <c r="J49" s="236"/>
    </row>
    <row r="50" spans="3:10">
      <c r="C50" s="236" t="s">
        <v>152</v>
      </c>
      <c r="D50" s="236"/>
      <c r="E50" s="236"/>
      <c r="F50" s="236"/>
      <c r="G50" s="236"/>
      <c r="H50" s="236"/>
      <c r="I50" s="236"/>
      <c r="J50" s="236"/>
    </row>
    <row r="51" spans="3:10">
      <c r="C51" s="236" t="s">
        <v>144</v>
      </c>
      <c r="D51" s="236"/>
      <c r="E51" s="236"/>
      <c r="F51" s="236"/>
      <c r="G51" s="236"/>
      <c r="H51" s="236"/>
      <c r="I51" s="236"/>
      <c r="J51" s="236"/>
    </row>
    <row r="52" spans="3:10">
      <c r="C52" s="236" t="s">
        <v>153</v>
      </c>
      <c r="D52" s="236"/>
      <c r="E52" s="236"/>
      <c r="F52" s="236"/>
      <c r="G52" s="236"/>
      <c r="H52" s="236"/>
      <c r="I52" s="236"/>
      <c r="J52" s="236"/>
    </row>
    <row r="53" spans="3:10">
      <c r="C53" s="236" t="s">
        <v>176</v>
      </c>
      <c r="D53" s="236"/>
      <c r="E53" s="236"/>
      <c r="F53" s="236"/>
      <c r="G53" s="236"/>
      <c r="H53" s="236"/>
      <c r="I53" s="236"/>
      <c r="J53" s="236"/>
    </row>
    <row r="54" spans="3:10">
      <c r="C54" s="236"/>
      <c r="D54" s="236"/>
      <c r="E54" s="236"/>
      <c r="F54" s="236"/>
      <c r="G54" s="236"/>
      <c r="H54" s="236"/>
      <c r="I54" s="236"/>
      <c r="J54" s="236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E27:G27" numberStoredAsText="1"/>
    <ignoredError sqref="H11 D22:H22 E46:E47 D47" formulaRange="1"/>
    <ignoredError sqref="H7 E28:E29 G7:G8 G10 F7:F8 F12 F10 D7:E7 D28:D29" unlockedFormula="1"/>
    <ignoredError sqref="E30:E45 F11:G11 D30:D46" formulaRange="1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22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6" sqref="C16:C22"/>
    </sheetView>
  </sheetViews>
  <sheetFormatPr defaultRowHeight="15"/>
  <cols>
    <col min="1" max="1" width="2.85546875" customWidth="1"/>
    <col min="2" max="2" width="41.85546875" bestFit="1" customWidth="1"/>
    <col min="3" max="5" width="10.5703125" bestFit="1" customWidth="1"/>
    <col min="6" max="6" width="11.5703125" bestFit="1" customWidth="1"/>
    <col min="7" max="8" width="11.42578125" customWidth="1"/>
    <col min="9" max="9" width="11.140625" customWidth="1"/>
    <col min="10" max="12" width="10.28515625" customWidth="1"/>
    <col min="13" max="18" width="9.5703125" customWidth="1"/>
    <col min="19" max="48" width="10" customWidth="1"/>
  </cols>
  <sheetData>
    <row r="1" spans="2:48" ht="21.75" customHeight="1"/>
    <row r="2" spans="2:48" ht="21.75" customHeight="1" thickBot="1">
      <c r="B2" s="182" t="s">
        <v>120</v>
      </c>
      <c r="C2" s="181"/>
      <c r="D2" s="181"/>
      <c r="E2" s="181"/>
      <c r="F2" s="181"/>
      <c r="G2" s="181"/>
      <c r="H2" s="181"/>
      <c r="I2" s="181"/>
    </row>
    <row r="3" spans="2:48" ht="21.75" customHeight="1">
      <c r="B3" s="181"/>
      <c r="C3" s="181"/>
      <c r="D3" s="181"/>
      <c r="E3" s="181"/>
      <c r="F3" s="181"/>
      <c r="G3" s="181"/>
      <c r="H3" s="181"/>
      <c r="I3" s="181"/>
    </row>
    <row r="4" spans="2:48" ht="21.75" customHeight="1">
      <c r="B4" s="181"/>
      <c r="C4" s="181"/>
      <c r="D4" s="181"/>
      <c r="E4" s="181"/>
      <c r="F4" s="181"/>
      <c r="G4" s="181"/>
      <c r="H4" s="181"/>
      <c r="I4" s="181"/>
    </row>
    <row r="5" spans="2:48" ht="21.75" customHeight="1"/>
    <row r="6" spans="2:48" s="225" customFormat="1" ht="26.25" customHeight="1">
      <c r="B6" s="228" t="s">
        <v>118</v>
      </c>
      <c r="C6" s="229" t="s">
        <v>215</v>
      </c>
      <c r="D6" s="229" t="s">
        <v>210</v>
      </c>
      <c r="E6" s="229" t="s">
        <v>207</v>
      </c>
      <c r="F6" s="229" t="s">
        <v>201</v>
      </c>
      <c r="G6" s="229" t="s">
        <v>196</v>
      </c>
      <c r="H6" s="229" t="s">
        <v>191</v>
      </c>
      <c r="I6" s="229" t="s">
        <v>187</v>
      </c>
      <c r="J6" s="229" t="s">
        <v>179</v>
      </c>
      <c r="K6" s="229" t="s">
        <v>177</v>
      </c>
      <c r="L6" s="229" t="s">
        <v>169</v>
      </c>
      <c r="M6" s="229" t="s">
        <v>165</v>
      </c>
      <c r="N6" s="229" t="s">
        <v>159</v>
      </c>
      <c r="O6" s="229" t="s">
        <v>148</v>
      </c>
      <c r="P6" s="229" t="s">
        <v>147</v>
      </c>
      <c r="Q6" s="229" t="s">
        <v>131</v>
      </c>
      <c r="R6" s="229" t="s">
        <v>129</v>
      </c>
      <c r="S6" s="229" t="s">
        <v>126</v>
      </c>
      <c r="T6" s="229" t="s">
        <v>125</v>
      </c>
      <c r="U6" s="229" t="s">
        <v>117</v>
      </c>
      <c r="V6" s="229" t="s">
        <v>116</v>
      </c>
      <c r="W6" s="229" t="s">
        <v>113</v>
      </c>
      <c r="X6" s="229" t="s">
        <v>111</v>
      </c>
      <c r="Y6" s="229" t="s">
        <v>109</v>
      </c>
      <c r="Z6" s="229" t="s">
        <v>100</v>
      </c>
      <c r="AA6" s="229" t="s">
        <v>99</v>
      </c>
      <c r="AB6" s="229" t="s">
        <v>98</v>
      </c>
      <c r="AC6" s="229" t="s">
        <v>97</v>
      </c>
      <c r="AD6" s="229" t="s">
        <v>96</v>
      </c>
      <c r="AE6" s="229" t="s">
        <v>95</v>
      </c>
      <c r="AF6" s="229" t="s">
        <v>94</v>
      </c>
      <c r="AG6" s="229" t="s">
        <v>93</v>
      </c>
      <c r="AH6" s="229" t="s">
        <v>92</v>
      </c>
      <c r="AI6" s="229" t="s">
        <v>86</v>
      </c>
      <c r="AJ6" s="229" t="s">
        <v>85</v>
      </c>
      <c r="AK6" s="229" t="s">
        <v>83</v>
      </c>
      <c r="AL6" s="229" t="s">
        <v>79</v>
      </c>
      <c r="AM6" s="229" t="s">
        <v>35</v>
      </c>
      <c r="AN6" s="229" t="s">
        <v>34</v>
      </c>
      <c r="AO6" s="229" t="s">
        <v>54</v>
      </c>
      <c r="AP6" s="229" t="s">
        <v>53</v>
      </c>
      <c r="AQ6" s="229" t="s">
        <v>36</v>
      </c>
      <c r="AR6" s="229" t="s">
        <v>33</v>
      </c>
      <c r="AS6" s="229" t="s">
        <v>52</v>
      </c>
      <c r="AT6" s="229" t="s">
        <v>78</v>
      </c>
    </row>
    <row r="7" spans="2:48">
      <c r="B7" s="206" t="s">
        <v>101</v>
      </c>
      <c r="C7" s="207">
        <f>SUM(C8:C9)</f>
        <v>16795.7</v>
      </c>
      <c r="D7" s="207">
        <f>SUM(D8:D9)</f>
        <v>18328.169000000002</v>
      </c>
      <c r="E7" s="207">
        <f>SUM(E8:E9)</f>
        <v>17921.977999999999</v>
      </c>
      <c r="F7" s="207">
        <f>SUM(F8:F9)</f>
        <v>17732.428</v>
      </c>
      <c r="G7" s="207">
        <f>SUM(G8:G9)</f>
        <v>17550.456999999999</v>
      </c>
      <c r="H7" s="207">
        <v>18481.161999999997</v>
      </c>
      <c r="I7" s="207">
        <v>18088.400000000001</v>
      </c>
      <c r="J7" s="207">
        <v>17888.400000000001</v>
      </c>
      <c r="K7" s="207">
        <v>17820.3</v>
      </c>
      <c r="L7" s="207">
        <v>21043</v>
      </c>
      <c r="M7" s="207">
        <v>21264.5</v>
      </c>
      <c r="N7" s="207">
        <v>21256.9</v>
      </c>
      <c r="O7" s="207">
        <v>21256.353702870001</v>
      </c>
      <c r="P7" s="207">
        <v>21290.7</v>
      </c>
      <c r="Q7" s="207">
        <v>21841.600999999999</v>
      </c>
      <c r="R7" s="207">
        <v>23723.392590269999</v>
      </c>
      <c r="S7" s="207">
        <v>23821</v>
      </c>
      <c r="T7" s="207">
        <v>24817.353999999999</v>
      </c>
      <c r="U7" s="207">
        <v>23821.036</v>
      </c>
      <c r="V7" s="207">
        <v>23820.985802469997</v>
      </c>
      <c r="W7" s="207">
        <v>25518.1</v>
      </c>
      <c r="X7" s="207">
        <v>25430.799999999999</v>
      </c>
      <c r="Y7" s="207">
        <v>25658.834834780006</v>
      </c>
      <c r="Z7" s="207">
        <v>25487.749</v>
      </c>
      <c r="AA7" s="207">
        <v>25489.173999999999</v>
      </c>
      <c r="AB7" s="207">
        <v>25202.02</v>
      </c>
      <c r="AC7" s="207">
        <v>25347.666000000001</v>
      </c>
      <c r="AD7" s="207">
        <v>25486.951000000001</v>
      </c>
      <c r="AE7" s="207">
        <v>25581.883999999998</v>
      </c>
      <c r="AF7" s="207">
        <v>29253.906999999999</v>
      </c>
      <c r="AG7" s="207">
        <v>30032.361000000001</v>
      </c>
      <c r="AH7" s="207">
        <v>29350.472000000002</v>
      </c>
      <c r="AI7" s="207">
        <v>29145.534</v>
      </c>
      <c r="AJ7" s="207">
        <v>29249.89</v>
      </c>
      <c r="AK7" s="207">
        <v>28530.913</v>
      </c>
      <c r="AL7" s="207">
        <v>27557.991000000002</v>
      </c>
      <c r="AM7" s="207">
        <v>26399.953000000001</v>
      </c>
      <c r="AN7" s="207">
        <v>25819.613000000001</v>
      </c>
      <c r="AO7" s="207">
        <v>25871.508000000002</v>
      </c>
      <c r="AP7" s="207">
        <v>24708.826000000001</v>
      </c>
      <c r="AQ7" s="207">
        <v>23829.865000000002</v>
      </c>
      <c r="AR7" s="207">
        <v>22140.212</v>
      </c>
      <c r="AS7" s="207">
        <v>21652.393</v>
      </c>
      <c r="AT7" s="207">
        <v>20633.827000000001</v>
      </c>
    </row>
    <row r="8" spans="2:48">
      <c r="B8" s="208" t="s">
        <v>115</v>
      </c>
      <c r="C8" s="209">
        <v>3491.6</v>
      </c>
      <c r="D8" s="209">
        <v>4716.183</v>
      </c>
      <c r="E8" s="209">
        <v>4195.4890000000005</v>
      </c>
      <c r="F8" s="209">
        <v>3829.788</v>
      </c>
      <c r="G8" s="209">
        <v>3453.0770000000002</v>
      </c>
      <c r="H8" s="209">
        <v>4161.3369999999995</v>
      </c>
      <c r="I8" s="209">
        <v>3658.3</v>
      </c>
      <c r="J8" s="209">
        <v>3523</v>
      </c>
      <c r="K8" s="209">
        <v>3370.1</v>
      </c>
      <c r="L8" s="209">
        <v>6666.5</v>
      </c>
      <c r="M8" s="209">
        <v>6716</v>
      </c>
      <c r="N8" s="209">
        <v>6428.5999999999995</v>
      </c>
      <c r="O8" s="209">
        <v>6303.1523844000003</v>
      </c>
      <c r="P8" s="209">
        <v>2841.1</v>
      </c>
      <c r="Q8" s="209">
        <v>3288.1220000000003</v>
      </c>
      <c r="R8" s="209">
        <v>5124.1458675399999</v>
      </c>
      <c r="S8" s="209">
        <v>4832</v>
      </c>
      <c r="T8" s="209">
        <v>5448.3630269799996</v>
      </c>
      <c r="U8" s="209">
        <v>4832.01</v>
      </c>
      <c r="V8" s="209">
        <v>4831.892761529999</v>
      </c>
      <c r="W8" s="209">
        <v>1785.6000000000001</v>
      </c>
      <c r="X8" s="209">
        <v>1765.4</v>
      </c>
      <c r="Y8" s="209">
        <v>1938.4</v>
      </c>
      <c r="Z8" s="209">
        <v>1644.191</v>
      </c>
      <c r="AA8" s="209">
        <v>1493.7149999999999</v>
      </c>
      <c r="AB8" s="209">
        <v>1095.864</v>
      </c>
      <c r="AC8" s="209">
        <v>1200.19</v>
      </c>
      <c r="AD8" s="209">
        <v>1278.652</v>
      </c>
      <c r="AE8" s="209">
        <v>1281.0809999999999</v>
      </c>
      <c r="AF8" s="209">
        <v>1178.519</v>
      </c>
      <c r="AG8" s="209">
        <v>5646.98</v>
      </c>
      <c r="AH8" s="209">
        <v>5165.7610000000004</v>
      </c>
      <c r="AI8" s="209">
        <v>1178.519</v>
      </c>
      <c r="AJ8" s="209">
        <v>1175.9860000000001</v>
      </c>
      <c r="AK8" s="209">
        <v>2053.672</v>
      </c>
      <c r="AL8" s="209">
        <v>1853.627</v>
      </c>
      <c r="AM8" s="209">
        <v>1667.9179999999999</v>
      </c>
      <c r="AN8" s="209">
        <v>1963.258</v>
      </c>
      <c r="AO8" s="209">
        <v>2699.8910000000001</v>
      </c>
      <c r="AP8" s="209">
        <v>2380.6640000000002</v>
      </c>
      <c r="AQ8" s="209">
        <v>2313.125</v>
      </c>
      <c r="AR8" s="209">
        <v>1539.5820000000001</v>
      </c>
      <c r="AS8" s="209">
        <v>2066.3240000000001</v>
      </c>
      <c r="AT8" s="209">
        <v>1772.5329999999999</v>
      </c>
    </row>
    <row r="9" spans="2:48">
      <c r="B9" s="210" t="s">
        <v>102</v>
      </c>
      <c r="C9" s="211">
        <v>13304.1</v>
      </c>
      <c r="D9" s="211">
        <v>13611.986000000001</v>
      </c>
      <c r="E9" s="211">
        <v>13726.489</v>
      </c>
      <c r="F9" s="211">
        <v>13902.64</v>
      </c>
      <c r="G9" s="211">
        <v>14097.38</v>
      </c>
      <c r="H9" s="211">
        <v>14319.824999999999</v>
      </c>
      <c r="I9" s="211">
        <v>14430.1</v>
      </c>
      <c r="J9" s="211">
        <v>14365.4</v>
      </c>
      <c r="K9" s="211">
        <v>14450.2</v>
      </c>
      <c r="L9" s="211">
        <v>14376.5</v>
      </c>
      <c r="M9" s="211">
        <v>14548.5</v>
      </c>
      <c r="N9" s="211">
        <v>14828.3</v>
      </c>
      <c r="O9" s="211">
        <v>14953.202318469999</v>
      </c>
      <c r="P9" s="211">
        <v>18449.599999999999</v>
      </c>
      <c r="Q9" s="211">
        <v>18553.478999999999</v>
      </c>
      <c r="R9" s="211">
        <v>18599.099999999999</v>
      </c>
      <c r="S9" s="211">
        <v>18989</v>
      </c>
      <c r="T9" s="211">
        <v>19368.996999999999</v>
      </c>
      <c r="U9" s="211">
        <v>18989.026000000002</v>
      </c>
      <c r="V9" s="211">
        <v>18988.99304094</v>
      </c>
      <c r="W9" s="211">
        <v>23732.5</v>
      </c>
      <c r="X9" s="211">
        <v>23665.3</v>
      </c>
      <c r="Y9" s="211">
        <v>23720.400000000001</v>
      </c>
      <c r="Z9" s="211">
        <v>23843.558000000001</v>
      </c>
      <c r="AA9" s="211">
        <v>23995.458999999999</v>
      </c>
      <c r="AB9" s="211">
        <v>24106.155999999999</v>
      </c>
      <c r="AC9" s="211">
        <v>24147.475999999999</v>
      </c>
      <c r="AD9" s="211">
        <v>24208.298999999999</v>
      </c>
      <c r="AE9" s="211">
        <v>24300.803</v>
      </c>
      <c r="AF9" s="211">
        <v>28075.387999999999</v>
      </c>
      <c r="AG9" s="211">
        <v>24385.381000000001</v>
      </c>
      <c r="AH9" s="211">
        <v>24184.710999999999</v>
      </c>
      <c r="AI9" s="211">
        <v>27967.014999999999</v>
      </c>
      <c r="AJ9" s="211">
        <v>28073.903999999999</v>
      </c>
      <c r="AK9" s="211">
        <v>26477.241000000002</v>
      </c>
      <c r="AL9" s="211">
        <v>25704.364000000001</v>
      </c>
      <c r="AM9" s="211">
        <v>24732.035</v>
      </c>
      <c r="AN9" s="211">
        <v>23856.355</v>
      </c>
      <c r="AO9" s="211">
        <v>23171.616999999998</v>
      </c>
      <c r="AP9" s="211">
        <v>22328.162</v>
      </c>
      <c r="AQ9" s="211">
        <v>21516.74</v>
      </c>
      <c r="AR9" s="211">
        <v>20600.63</v>
      </c>
      <c r="AS9" s="211">
        <v>19586.069</v>
      </c>
      <c r="AT9" s="211">
        <v>18861.294000000002</v>
      </c>
    </row>
    <row r="10" spans="2:48">
      <c r="B10" s="214" t="s">
        <v>103</v>
      </c>
      <c r="C10" s="213">
        <f>SUM(C11:C13)</f>
        <v>16795.699999999997</v>
      </c>
      <c r="D10" s="213">
        <f>SUM(D11:D13)</f>
        <v>18328.186000000002</v>
      </c>
      <c r="E10" s="213">
        <f>SUM(E11:E13)</f>
        <v>17921.977999999999</v>
      </c>
      <c r="F10" s="213">
        <f>SUM(F11:F13)</f>
        <v>17732.427999999996</v>
      </c>
      <c r="G10" s="213">
        <f>SUM(G11:G13)</f>
        <v>17550.457000000002</v>
      </c>
      <c r="H10" s="213">
        <v>18481.162000000004</v>
      </c>
      <c r="I10" s="213">
        <v>18088.400000000001</v>
      </c>
      <c r="J10" s="213">
        <v>17888.400000000001</v>
      </c>
      <c r="K10" s="213">
        <v>17820.3</v>
      </c>
      <c r="L10" s="213">
        <v>21043</v>
      </c>
      <c r="M10" s="213">
        <v>21264.5</v>
      </c>
      <c r="N10" s="213">
        <v>21256.899999999998</v>
      </c>
      <c r="O10" s="213">
        <v>21256.354377479998</v>
      </c>
      <c r="P10" s="213">
        <v>21290.7</v>
      </c>
      <c r="Q10" s="213">
        <v>21841.57</v>
      </c>
      <c r="R10" s="213">
        <v>23723.374704465448</v>
      </c>
      <c r="S10" s="242">
        <v>23821</v>
      </c>
      <c r="T10" s="242">
        <v>24817.353999999999</v>
      </c>
      <c r="U10" s="242">
        <v>23821.014786369997</v>
      </c>
      <c r="V10" s="242">
        <v>23821.021135732703</v>
      </c>
      <c r="W10" s="242">
        <v>25518.1</v>
      </c>
      <c r="X10" s="213">
        <v>25430.799999999999</v>
      </c>
      <c r="Y10" s="213">
        <v>25658.83483478245</v>
      </c>
      <c r="Z10" s="213">
        <v>25487.749</v>
      </c>
      <c r="AA10" s="213">
        <v>25489.173999999999</v>
      </c>
      <c r="AB10" s="213">
        <v>25202.02</v>
      </c>
      <c r="AC10" s="213">
        <v>25347.666000000001</v>
      </c>
      <c r="AD10" s="213">
        <v>25486.951000000001</v>
      </c>
      <c r="AE10" s="213">
        <v>25581.883999999998</v>
      </c>
      <c r="AF10" s="213">
        <v>29253.906999999999</v>
      </c>
      <c r="AG10" s="213">
        <v>30032.361000000001</v>
      </c>
      <c r="AH10" s="213">
        <v>29350.472000000002</v>
      </c>
      <c r="AI10" s="213">
        <v>29145.534</v>
      </c>
      <c r="AJ10" s="213">
        <v>29249.89</v>
      </c>
      <c r="AK10" s="213">
        <v>28530.913</v>
      </c>
      <c r="AL10" s="213">
        <v>27557.991000000002</v>
      </c>
      <c r="AM10" s="213">
        <v>26399.953000000001</v>
      </c>
      <c r="AN10" s="213">
        <v>25819.613000000001</v>
      </c>
      <c r="AO10" s="213">
        <v>25871.508000000002</v>
      </c>
      <c r="AP10" s="213">
        <v>24708.826000000001</v>
      </c>
      <c r="AQ10" s="213">
        <v>23829.865000000002</v>
      </c>
      <c r="AR10" s="213">
        <v>22140.212</v>
      </c>
      <c r="AS10" s="213">
        <v>21652.393</v>
      </c>
      <c r="AT10" s="213">
        <v>20633.827000000001</v>
      </c>
    </row>
    <row r="11" spans="2:48">
      <c r="B11" s="210" t="s">
        <v>104</v>
      </c>
      <c r="C11" s="211">
        <v>4108.2</v>
      </c>
      <c r="D11" s="211">
        <v>3848.7830000000004</v>
      </c>
      <c r="E11" s="211">
        <v>4553.201</v>
      </c>
      <c r="F11" s="211">
        <v>4493.1899999999996</v>
      </c>
      <c r="G11" s="211">
        <v>4561.7950000000001</v>
      </c>
      <c r="H11" s="211">
        <v>4427.2029999999995</v>
      </c>
      <c r="I11" s="211">
        <v>4303</v>
      </c>
      <c r="J11" s="211">
        <v>4346.7</v>
      </c>
      <c r="K11" s="211">
        <v>4441.8</v>
      </c>
      <c r="L11" s="211">
        <v>8263.8000000000011</v>
      </c>
      <c r="M11" s="211">
        <v>8129.2</v>
      </c>
      <c r="N11" s="211">
        <v>7665.2999999999993</v>
      </c>
      <c r="O11" s="211">
        <v>7363.4284983500002</v>
      </c>
      <c r="P11" s="211">
        <v>7234.1</v>
      </c>
      <c r="Q11" s="211">
        <v>7062.5370000000003</v>
      </c>
      <c r="R11" s="211">
        <v>7940.4171691300007</v>
      </c>
      <c r="S11" s="211">
        <v>5488.2</v>
      </c>
      <c r="T11" s="211">
        <v>5415.0950000000003</v>
      </c>
      <c r="U11" s="211">
        <v>5488.0637863699994</v>
      </c>
      <c r="V11" s="211">
        <v>5488.2266835999999</v>
      </c>
      <c r="W11" s="211">
        <v>4386.4000000000005</v>
      </c>
      <c r="X11" s="211">
        <v>4655.3999999999996</v>
      </c>
      <c r="Y11" s="211">
        <v>3770.4978656099993</v>
      </c>
      <c r="Z11" s="211">
        <v>3316.7849999999999</v>
      </c>
      <c r="AA11" s="211">
        <v>3985.9</v>
      </c>
      <c r="AB11" s="211">
        <v>4839.0910000000003</v>
      </c>
      <c r="AC11" s="211">
        <v>3815.1529999999998</v>
      </c>
      <c r="AD11" s="211">
        <v>3684.741</v>
      </c>
      <c r="AE11" s="211">
        <v>3633.6579999999999</v>
      </c>
      <c r="AF11" s="211">
        <v>5056.2039999999997</v>
      </c>
      <c r="AG11" s="211">
        <v>5578.4210000000003</v>
      </c>
      <c r="AH11" s="211">
        <v>6397</v>
      </c>
      <c r="AI11" s="211">
        <v>4973.0910000000003</v>
      </c>
      <c r="AJ11" s="211">
        <v>6208.9409999999998</v>
      </c>
      <c r="AK11" s="211">
        <v>5069.3050000000003</v>
      </c>
      <c r="AL11" s="211">
        <v>3904.9360000000001</v>
      </c>
      <c r="AM11" s="211">
        <v>2685.2860000000001</v>
      </c>
      <c r="AN11" s="211">
        <v>2206.8449999999998</v>
      </c>
      <c r="AO11" s="211">
        <v>2289.6219999999998</v>
      </c>
      <c r="AP11" s="211">
        <v>1969.029</v>
      </c>
      <c r="AQ11" s="211">
        <v>2352.136</v>
      </c>
      <c r="AR11" s="211">
        <v>2636.027</v>
      </c>
      <c r="AS11" s="211">
        <v>2025.6690000000001</v>
      </c>
      <c r="AT11" s="211">
        <v>1868.941</v>
      </c>
    </row>
    <row r="12" spans="2:48">
      <c r="B12" s="215" t="s">
        <v>105</v>
      </c>
      <c r="C12" s="216">
        <v>16020.4</v>
      </c>
      <c r="D12" s="216">
        <v>17808.223000000002</v>
      </c>
      <c r="E12" s="216">
        <v>16590.34</v>
      </c>
      <c r="F12" s="216">
        <v>16465.155999999999</v>
      </c>
      <c r="G12" s="216">
        <v>16046.610000000002</v>
      </c>
      <c r="H12" s="216">
        <v>17310.925000000003</v>
      </c>
      <c r="I12" s="216">
        <v>17383.3</v>
      </c>
      <c r="J12" s="216">
        <v>16874.5</v>
      </c>
      <c r="K12" s="216">
        <v>16201.1</v>
      </c>
      <c r="L12" s="216">
        <v>16716.3</v>
      </c>
      <c r="M12" s="216">
        <v>16202.6</v>
      </c>
      <c r="N12" s="216">
        <v>15985.9</v>
      </c>
      <c r="O12" s="216">
        <v>15585.41467556</v>
      </c>
      <c r="P12" s="216">
        <v>15819.9</v>
      </c>
      <c r="Q12" s="216">
        <v>15928.374</v>
      </c>
      <c r="R12" s="216">
        <v>16553.12472485</v>
      </c>
      <c r="S12" s="216">
        <v>18613.099999999999</v>
      </c>
      <c r="T12" s="216">
        <v>18471.133000000002</v>
      </c>
      <c r="U12" s="216">
        <v>18613.066999999999</v>
      </c>
      <c r="V12" s="216">
        <v>18613.110452699995</v>
      </c>
      <c r="W12" s="216">
        <v>19340</v>
      </c>
      <c r="X12" s="216">
        <v>19151.900000000001</v>
      </c>
      <c r="Y12" s="216">
        <v>20123.43815256</v>
      </c>
      <c r="Z12" s="216">
        <v>20115.021000000001</v>
      </c>
      <c r="AA12" s="216">
        <v>19277.099999999999</v>
      </c>
      <c r="AB12" s="216">
        <v>18302.388999999999</v>
      </c>
      <c r="AC12" s="216">
        <v>19349.156999999999</v>
      </c>
      <c r="AD12" s="216">
        <v>19483.004000000001</v>
      </c>
      <c r="AE12" s="216">
        <v>19368.971000000001</v>
      </c>
      <c r="AF12" s="216">
        <v>20849.066999999999</v>
      </c>
      <c r="AG12" s="216">
        <v>22479.347000000002</v>
      </c>
      <c r="AH12" s="216">
        <v>20294.829000000002</v>
      </c>
      <c r="AI12" s="216">
        <v>20823.807000000001</v>
      </c>
      <c r="AJ12" s="216">
        <v>19052.013999999999</v>
      </c>
      <c r="AK12" s="216">
        <v>19593.32</v>
      </c>
      <c r="AL12" s="216">
        <v>19450.953000000001</v>
      </c>
      <c r="AM12" s="216">
        <v>19317.539000000001</v>
      </c>
      <c r="AN12" s="216">
        <v>19074.462</v>
      </c>
      <c r="AO12" s="216">
        <v>18859.263999999999</v>
      </c>
      <c r="AP12" s="216">
        <v>18092.349999999999</v>
      </c>
      <c r="AQ12" s="216">
        <v>16700.183000000001</v>
      </c>
      <c r="AR12" s="216">
        <v>14998.75</v>
      </c>
      <c r="AS12" s="216">
        <v>15459.627</v>
      </c>
      <c r="AT12" s="216">
        <v>14719.17</v>
      </c>
    </row>
    <row r="13" spans="2:48">
      <c r="B13" s="210" t="s">
        <v>114</v>
      </c>
      <c r="C13" s="211">
        <v>-3332.9</v>
      </c>
      <c r="D13" s="211">
        <v>-3328.8200000000006</v>
      </c>
      <c r="E13" s="211">
        <v>-3221.5630000000006</v>
      </c>
      <c r="F13" s="211">
        <v>-3225.9180000000006</v>
      </c>
      <c r="G13" s="211">
        <v>-3057.9479999999994</v>
      </c>
      <c r="H13" s="211">
        <v>-3256.9660000000003</v>
      </c>
      <c r="I13" s="211">
        <v>-3597.9</v>
      </c>
      <c r="J13" s="211">
        <v>-3332.8</v>
      </c>
      <c r="K13" s="211">
        <v>-2822.6</v>
      </c>
      <c r="L13" s="211">
        <v>-3937.1</v>
      </c>
      <c r="M13" s="211">
        <v>-3067.4</v>
      </c>
      <c r="N13" s="211">
        <v>-2394.3000000000002</v>
      </c>
      <c r="O13" s="211">
        <v>-1692.4887964300001</v>
      </c>
      <c r="P13" s="211">
        <v>-1763.3</v>
      </c>
      <c r="Q13" s="211">
        <v>-1149.3</v>
      </c>
      <c r="R13" s="211">
        <v>-770.16718951455164</v>
      </c>
      <c r="S13" s="211">
        <v>-280.2</v>
      </c>
      <c r="T13" s="211">
        <v>931.13</v>
      </c>
      <c r="U13" s="211">
        <v>-280.21600000000012</v>
      </c>
      <c r="V13" s="211">
        <v>-280.21600056729562</v>
      </c>
      <c r="W13" s="211">
        <v>1791.7</v>
      </c>
      <c r="X13" s="211">
        <v>1623.5</v>
      </c>
      <c r="Y13" s="211">
        <v>1764.8988166124511</v>
      </c>
      <c r="Z13" s="211">
        <v>2055.9430000000002</v>
      </c>
      <c r="AA13" s="211">
        <v>2226.2449999999999</v>
      </c>
      <c r="AB13" s="211">
        <v>2060.54</v>
      </c>
      <c r="AC13" s="211">
        <v>2183.3560000000002</v>
      </c>
      <c r="AD13" s="211">
        <v>2319.2060000000001</v>
      </c>
      <c r="AE13" s="211">
        <v>2579.2550000000001</v>
      </c>
      <c r="AF13" s="211">
        <v>3348.636</v>
      </c>
      <c r="AG13" s="211">
        <v>1974.5930000000001</v>
      </c>
      <c r="AH13" s="211">
        <v>2658.643</v>
      </c>
      <c r="AI13" s="211">
        <v>3348.636</v>
      </c>
      <c r="AJ13" s="211">
        <v>3988.9349999999999</v>
      </c>
      <c r="AK13" s="211">
        <v>3868.288</v>
      </c>
      <c r="AL13" s="211">
        <v>4202.1019999999999</v>
      </c>
      <c r="AM13" s="211">
        <v>4397.1279999999997</v>
      </c>
      <c r="AN13" s="211">
        <v>4538.3059999999996</v>
      </c>
      <c r="AO13" s="211">
        <v>4722.6220000000003</v>
      </c>
      <c r="AP13" s="211">
        <v>4647.4470000000001</v>
      </c>
      <c r="AQ13" s="211">
        <v>4777.5460000000003</v>
      </c>
      <c r="AR13" s="211">
        <v>4505.4350000000004</v>
      </c>
      <c r="AS13" s="211">
        <v>4167.0969999999998</v>
      </c>
      <c r="AT13" s="211">
        <v>4045.7159999999999</v>
      </c>
    </row>
    <row r="14" spans="2:48">
      <c r="J14" s="223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</row>
    <row r="15" spans="2:48" s="225" customFormat="1" ht="26.25" customHeight="1">
      <c r="B15" s="228" t="s">
        <v>119</v>
      </c>
      <c r="C15" s="229">
        <v>2023</v>
      </c>
      <c r="D15" s="229">
        <v>2022</v>
      </c>
      <c r="E15" s="229">
        <v>2021</v>
      </c>
      <c r="F15" s="229">
        <v>2020</v>
      </c>
      <c r="G15" s="229">
        <v>2019</v>
      </c>
      <c r="H15" s="229">
        <v>2018</v>
      </c>
      <c r="I15" s="229">
        <v>2017</v>
      </c>
      <c r="J15" s="229">
        <v>2016</v>
      </c>
      <c r="K15" s="229">
        <v>2015</v>
      </c>
      <c r="L15" s="229">
        <v>2014</v>
      </c>
      <c r="M15" s="229">
        <v>2013</v>
      </c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</row>
    <row r="16" spans="2:48">
      <c r="B16" s="206" t="s">
        <v>101</v>
      </c>
      <c r="C16" s="207">
        <f>C7</f>
        <v>16795.7</v>
      </c>
      <c r="D16" s="207">
        <f>G7</f>
        <v>17550.456999999999</v>
      </c>
      <c r="E16" s="207">
        <v>17820.3</v>
      </c>
      <c r="F16" s="207">
        <v>21256.353702870001</v>
      </c>
      <c r="G16" s="207">
        <v>23821.041738600001</v>
      </c>
      <c r="H16" s="207">
        <v>25518.1</v>
      </c>
      <c r="I16" s="207">
        <v>25489.173999999999</v>
      </c>
      <c r="J16" s="207">
        <v>25581.883999999998</v>
      </c>
      <c r="K16" s="207">
        <v>29145.534</v>
      </c>
      <c r="L16" s="207">
        <v>26399.953000000001</v>
      </c>
      <c r="M16" s="207">
        <v>23829.865000000002</v>
      </c>
    </row>
    <row r="17" spans="2:13">
      <c r="B17" s="208" t="s">
        <v>115</v>
      </c>
      <c r="C17" s="209">
        <f>C8</f>
        <v>3491.6</v>
      </c>
      <c r="D17" s="209">
        <f>G8</f>
        <v>3453.0770000000002</v>
      </c>
      <c r="E17" s="209">
        <v>3370.1</v>
      </c>
      <c r="F17" s="209">
        <v>6303.1523844000003</v>
      </c>
      <c r="G17" s="209">
        <v>4832.0107828299997</v>
      </c>
      <c r="H17" s="209">
        <v>1785.6</v>
      </c>
      <c r="I17" s="209">
        <v>1493.7149999999999</v>
      </c>
      <c r="J17" s="209">
        <v>1281.0809999999999</v>
      </c>
      <c r="K17" s="209">
        <v>1178.519</v>
      </c>
      <c r="L17" s="209">
        <v>1667.9179999999999</v>
      </c>
      <c r="M17" s="209">
        <v>2313.125</v>
      </c>
    </row>
    <row r="18" spans="2:13">
      <c r="B18" s="210" t="s">
        <v>102</v>
      </c>
      <c r="C18" s="211">
        <f>C9</f>
        <v>13304.1</v>
      </c>
      <c r="D18" s="211">
        <f t="shared" ref="C18:D22" si="0">G9</f>
        <v>14097.38</v>
      </c>
      <c r="E18" s="211">
        <v>14450.2</v>
      </c>
      <c r="F18" s="211">
        <v>14953.202318469999</v>
      </c>
      <c r="G18" s="211">
        <v>18989.030955769998</v>
      </c>
      <c r="H18" s="211">
        <v>23732.6</v>
      </c>
      <c r="I18" s="211">
        <v>23995.458999999999</v>
      </c>
      <c r="J18" s="211">
        <v>24300.803</v>
      </c>
      <c r="K18" s="211">
        <v>27967.014999999999</v>
      </c>
      <c r="L18" s="211">
        <v>24732.035</v>
      </c>
      <c r="M18" s="211">
        <v>21516.74</v>
      </c>
    </row>
    <row r="19" spans="2:13">
      <c r="B19" s="214" t="s">
        <v>103</v>
      </c>
      <c r="C19" s="213">
        <f>C10</f>
        <v>16795.699999999997</v>
      </c>
      <c r="D19" s="213">
        <f t="shared" si="0"/>
        <v>17550.457000000002</v>
      </c>
      <c r="E19" s="213">
        <v>17820.3</v>
      </c>
      <c r="F19" s="213">
        <v>21256.354377479998</v>
      </c>
      <c r="G19" s="213">
        <v>23821.042060899999</v>
      </c>
      <c r="H19" s="213">
        <v>25518.1</v>
      </c>
      <c r="I19" s="213">
        <v>25489.173999999999</v>
      </c>
      <c r="J19" s="213">
        <v>25581.883999999998</v>
      </c>
      <c r="K19" s="213">
        <v>29145.534</v>
      </c>
      <c r="L19" s="213">
        <v>26399.953000000001</v>
      </c>
      <c r="M19" s="213">
        <v>23829.865000000002</v>
      </c>
    </row>
    <row r="20" spans="2:13">
      <c r="B20" s="210" t="s">
        <v>104</v>
      </c>
      <c r="C20" s="211">
        <f>C11</f>
        <v>4108.2</v>
      </c>
      <c r="D20" s="211">
        <f t="shared" si="0"/>
        <v>4561.7950000000001</v>
      </c>
      <c r="E20" s="211">
        <v>4441.8</v>
      </c>
      <c r="F20" s="211">
        <v>7363.4284983500002</v>
      </c>
      <c r="G20" s="211">
        <v>5488.1521486600004</v>
      </c>
      <c r="H20" s="211">
        <v>4386.3999999999996</v>
      </c>
      <c r="I20" s="211">
        <v>3985.9</v>
      </c>
      <c r="J20" s="211">
        <v>3633.6579999999999</v>
      </c>
      <c r="K20" s="211">
        <v>4973.0910000000003</v>
      </c>
      <c r="L20" s="211">
        <v>2685.2860000000001</v>
      </c>
      <c r="M20" s="211">
        <v>2352.136</v>
      </c>
    </row>
    <row r="21" spans="2:13">
      <c r="B21" s="215" t="s">
        <v>105</v>
      </c>
      <c r="C21" s="216">
        <f>C12</f>
        <v>16020.4</v>
      </c>
      <c r="D21" s="216">
        <f t="shared" si="0"/>
        <v>16046.610000000002</v>
      </c>
      <c r="E21" s="216">
        <v>16201.1</v>
      </c>
      <c r="F21" s="216">
        <v>15585.41467556</v>
      </c>
      <c r="G21" s="216">
        <v>18613.105354079999</v>
      </c>
      <c r="H21" s="216">
        <v>19340</v>
      </c>
      <c r="I21" s="216">
        <v>19277.099999999999</v>
      </c>
      <c r="J21" s="216">
        <v>19368.971000000001</v>
      </c>
      <c r="K21" s="216">
        <v>20823.807000000001</v>
      </c>
      <c r="L21" s="216">
        <v>19317.539000000001</v>
      </c>
      <c r="M21" s="216">
        <v>16700.183000000001</v>
      </c>
    </row>
    <row r="22" spans="2:13">
      <c r="B22" s="210" t="s">
        <v>114</v>
      </c>
      <c r="C22" s="211">
        <f>C13</f>
        <v>-3332.9</v>
      </c>
      <c r="D22" s="211">
        <f t="shared" si="0"/>
        <v>-3057.9479999999994</v>
      </c>
      <c r="E22" s="211">
        <v>-2822.6</v>
      </c>
      <c r="F22" s="211">
        <v>-1692.4887964300001</v>
      </c>
      <c r="G22" s="211">
        <v>-280.21544183999998</v>
      </c>
      <c r="H22" s="211">
        <v>1791.7</v>
      </c>
      <c r="I22" s="211">
        <v>2226.2449999999999</v>
      </c>
      <c r="J22" s="211">
        <v>2579.2550000000001</v>
      </c>
      <c r="K22" s="211">
        <v>3348.636</v>
      </c>
      <c r="L22" s="211">
        <v>4397.1279999999997</v>
      </c>
      <c r="M22" s="211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W17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4" sqref="E4"/>
    </sheetView>
  </sheetViews>
  <sheetFormatPr defaultRowHeight="15"/>
  <cols>
    <col min="1" max="1" width="2.42578125" customWidth="1"/>
    <col min="2" max="2" width="30.140625" bestFit="1" customWidth="1"/>
    <col min="3" max="7" width="9.28515625" bestFit="1" customWidth="1"/>
    <col min="8" max="8" width="10.7109375" customWidth="1"/>
    <col min="9" max="9" width="12.5703125" bestFit="1" customWidth="1"/>
    <col min="10" max="10" width="10.42578125" customWidth="1"/>
    <col min="11" max="13" width="9.28515625" bestFit="1" customWidth="1"/>
    <col min="14" max="16" width="9.28515625" customWidth="1"/>
    <col min="17" max="17" width="9.28515625" bestFit="1" customWidth="1"/>
    <col min="18" max="19" width="9.28515625" customWidth="1"/>
    <col min="20" max="20" width="10.28515625" customWidth="1"/>
    <col min="21" max="27" width="9.28515625" bestFit="1" customWidth="1"/>
    <col min="28" max="33" width="10.28515625" bestFit="1" customWidth="1"/>
    <col min="34" max="42" width="9.28515625" bestFit="1" customWidth="1"/>
    <col min="43" max="48" width="9.85546875" customWidth="1"/>
  </cols>
  <sheetData>
    <row r="1" spans="2:49" ht="21.75" customHeight="1"/>
    <row r="2" spans="2:49" ht="21.75" customHeight="1" thickBot="1">
      <c r="B2" s="182" t="s">
        <v>121</v>
      </c>
      <c r="C2" s="181"/>
      <c r="D2" s="181"/>
      <c r="E2" s="181"/>
      <c r="F2" s="181"/>
      <c r="H2" s="181"/>
      <c r="I2" s="181"/>
      <c r="J2" s="181"/>
    </row>
    <row r="3" spans="2:49" ht="21.75" customHeight="1">
      <c r="B3" s="181"/>
      <c r="C3" s="181"/>
      <c r="D3" s="181"/>
      <c r="E3" s="181"/>
      <c r="F3" s="181"/>
      <c r="H3" s="181"/>
      <c r="I3" s="181"/>
      <c r="J3" s="181"/>
    </row>
    <row r="4" spans="2:49" ht="21.75" customHeight="1">
      <c r="B4" s="181"/>
      <c r="C4" s="181"/>
      <c r="D4" s="181"/>
      <c r="E4" s="181"/>
      <c r="F4" s="181"/>
      <c r="H4" s="181"/>
      <c r="I4" s="181"/>
      <c r="J4" s="181"/>
    </row>
    <row r="5" spans="2:49" ht="21.75" customHeight="1"/>
    <row r="6" spans="2:49" s="225" customFormat="1" ht="26.25" customHeight="1">
      <c r="B6" s="226" t="s">
        <v>124</v>
      </c>
      <c r="C6" s="227" t="s">
        <v>216</v>
      </c>
      <c r="D6" s="227" t="s">
        <v>211</v>
      </c>
      <c r="E6" s="227" t="s">
        <v>204</v>
      </c>
      <c r="F6" s="227" t="s">
        <v>202</v>
      </c>
      <c r="G6" s="227" t="s">
        <v>197</v>
      </c>
      <c r="H6" s="227" t="s">
        <v>192</v>
      </c>
      <c r="I6" s="227" t="s">
        <v>188</v>
      </c>
      <c r="J6" s="227" t="s">
        <v>183</v>
      </c>
      <c r="K6" s="227" t="s">
        <v>178</v>
      </c>
      <c r="L6" s="227" t="s">
        <v>168</v>
      </c>
      <c r="M6" s="227" t="s">
        <v>164</v>
      </c>
      <c r="N6" s="227" t="s">
        <v>161</v>
      </c>
      <c r="O6" s="227" t="s">
        <v>149</v>
      </c>
      <c r="P6" s="227" t="s">
        <v>146</v>
      </c>
      <c r="Q6" s="227" t="s">
        <v>130</v>
      </c>
      <c r="R6" s="227" t="s">
        <v>128</v>
      </c>
      <c r="S6" s="227" t="s">
        <v>132</v>
      </c>
      <c r="T6" s="227" t="s">
        <v>133</v>
      </c>
      <c r="U6" s="227" t="s">
        <v>134</v>
      </c>
      <c r="V6" s="227" t="s">
        <v>135</v>
      </c>
      <c r="W6" s="227" t="s">
        <v>136</v>
      </c>
      <c r="X6" s="227" t="s">
        <v>111</v>
      </c>
      <c r="Y6" s="227" t="s">
        <v>109</v>
      </c>
      <c r="Z6" s="227" t="s">
        <v>100</v>
      </c>
      <c r="AA6" s="227" t="s">
        <v>99</v>
      </c>
      <c r="AB6" s="227" t="s">
        <v>98</v>
      </c>
      <c r="AC6" s="227" t="s">
        <v>97</v>
      </c>
      <c r="AD6" s="227" t="s">
        <v>96</v>
      </c>
      <c r="AE6" s="227" t="s">
        <v>95</v>
      </c>
      <c r="AF6" s="227" t="s">
        <v>94</v>
      </c>
      <c r="AG6" s="227" t="s">
        <v>93</v>
      </c>
      <c r="AH6" s="227" t="s">
        <v>92</v>
      </c>
      <c r="AI6" s="227" t="s">
        <v>86</v>
      </c>
      <c r="AJ6" s="227" t="s">
        <v>85</v>
      </c>
      <c r="AK6" s="227" t="s">
        <v>83</v>
      </c>
      <c r="AL6" s="227" t="s">
        <v>79</v>
      </c>
      <c r="AM6" s="227" t="s">
        <v>35</v>
      </c>
      <c r="AN6" s="227" t="s">
        <v>34</v>
      </c>
      <c r="AO6" s="227" t="s">
        <v>54</v>
      </c>
      <c r="AP6" s="227" t="s">
        <v>53</v>
      </c>
      <c r="AQ6" s="227" t="s">
        <v>36</v>
      </c>
      <c r="AR6" s="227" t="s">
        <v>33</v>
      </c>
      <c r="AS6" s="227" t="s">
        <v>52</v>
      </c>
      <c r="AT6" s="227" t="s">
        <v>78</v>
      </c>
    </row>
    <row r="7" spans="2:49">
      <c r="B7" s="218" t="s">
        <v>26</v>
      </c>
      <c r="C7" s="219">
        <f>SUM(C8:C9)</f>
        <v>-3170.8</v>
      </c>
      <c r="D7" s="219">
        <f>SUM(D8:D9)</f>
        <v>-3525.4679999999998</v>
      </c>
      <c r="E7" s="219">
        <f>SUM(E8:E9)</f>
        <v>-3589.2139999999999</v>
      </c>
      <c r="F7" s="219">
        <f>SUM(F8:F9)</f>
        <v>-3642.9170000000004</v>
      </c>
      <c r="G7" s="219">
        <f>SUM(G8:G9)</f>
        <v>-3676.9380000000001</v>
      </c>
      <c r="H7" s="219">
        <v>-3794.8710000000001</v>
      </c>
      <c r="I7" s="219">
        <v>-3876.4</v>
      </c>
      <c r="J7" s="219">
        <v>-3884.5970000000002</v>
      </c>
      <c r="K7" s="219">
        <v>-3911.2</v>
      </c>
      <c r="L7" s="219">
        <v>-5784.4</v>
      </c>
      <c r="M7" s="219">
        <v>-5696.8</v>
      </c>
      <c r="N7" s="219">
        <v>-5669.9</v>
      </c>
      <c r="O7" s="219">
        <v>-5610.9</v>
      </c>
      <c r="P7" s="219">
        <v>-7542.3</v>
      </c>
      <c r="Q7" s="219">
        <v>-7488.6</v>
      </c>
      <c r="R7" s="219">
        <v>-7426.9</v>
      </c>
      <c r="S7" s="219">
        <v>-7447.9850000000006</v>
      </c>
      <c r="T7" s="219">
        <v>-7789.2</v>
      </c>
      <c r="U7" s="219">
        <v>-7422.7449999999999</v>
      </c>
      <c r="V7" s="219">
        <v>-7447.9857681499998</v>
      </c>
      <c r="W7" s="219">
        <v>-9296.1</v>
      </c>
      <c r="X7" s="219">
        <v>-9430.7999999999993</v>
      </c>
      <c r="Y7" s="219">
        <v>-9669.2000000000007</v>
      </c>
      <c r="Z7" s="219">
        <v>-9525.1978280100011</v>
      </c>
      <c r="AA7" s="219">
        <v>-9489.9880000000012</v>
      </c>
      <c r="AB7" s="219">
        <v>-8427.9609999999993</v>
      </c>
      <c r="AC7" s="219">
        <v>-8481.6</v>
      </c>
      <c r="AD7" s="219">
        <v>-8525.2060000000001</v>
      </c>
      <c r="AE7" s="219">
        <v>-8554.3469999999998</v>
      </c>
      <c r="AF7" s="219">
        <v>-11192.5</v>
      </c>
      <c r="AG7" s="219">
        <v>-11019.8</v>
      </c>
      <c r="AH7" s="219">
        <v>-10439.281999999999</v>
      </c>
      <c r="AI7" s="219">
        <v>-11577.722000000002</v>
      </c>
      <c r="AJ7" s="219">
        <v>-11453.7</v>
      </c>
      <c r="AK7" s="219">
        <v>-10532.9</v>
      </c>
      <c r="AL7" s="219">
        <v>-9665.7000000000007</v>
      </c>
      <c r="AM7" s="219">
        <v>-8990.2999999999993</v>
      </c>
      <c r="AN7" s="219">
        <v>-8669.1</v>
      </c>
      <c r="AO7" s="219">
        <v>-7977.8</v>
      </c>
      <c r="AP7" s="219">
        <v>-6856</v>
      </c>
      <c r="AQ7" s="219">
        <v>-6147.6</v>
      </c>
      <c r="AR7" s="219">
        <v>-4699.8</v>
      </c>
      <c r="AS7" s="219">
        <v>-4147.8999999999996</v>
      </c>
      <c r="AT7" s="219">
        <v>-3726.163</v>
      </c>
    </row>
    <row r="8" spans="2:49">
      <c r="B8" s="246" t="s">
        <v>27</v>
      </c>
      <c r="C8" s="247">
        <v>-742.8</v>
      </c>
      <c r="D8" s="247">
        <v>-545.55700000000002</v>
      </c>
      <c r="E8" s="247">
        <v>-530.85900000000004</v>
      </c>
      <c r="F8" s="247">
        <v>-515.86699999999996</v>
      </c>
      <c r="G8" s="247">
        <v>-500.61200000000002</v>
      </c>
      <c r="H8" s="247">
        <v>-498.42399999999998</v>
      </c>
      <c r="I8" s="247">
        <v>-489</v>
      </c>
      <c r="J8" s="247">
        <v>-467.37800000000004</v>
      </c>
      <c r="K8" s="247">
        <v>-452.1</v>
      </c>
      <c r="L8" s="247">
        <v>-2710</v>
      </c>
      <c r="M8" s="247">
        <v>-2554.3000000000002</v>
      </c>
      <c r="N8" s="247">
        <v>-2361.9</v>
      </c>
      <c r="O8" s="247">
        <v>-2306.1999999999998</v>
      </c>
      <c r="P8" s="247">
        <v>-2891.6</v>
      </c>
      <c r="Q8" s="247">
        <v>-3704.6</v>
      </c>
      <c r="R8" s="247">
        <v>-2950.7</v>
      </c>
      <c r="S8" s="247">
        <v>-687.86400000000003</v>
      </c>
      <c r="T8" s="247">
        <v>-853.5</v>
      </c>
      <c r="U8" s="247">
        <v>-1331.934</v>
      </c>
      <c r="V8" s="247">
        <v>-687.86444090000009</v>
      </c>
      <c r="W8" s="247">
        <v>-2246.9</v>
      </c>
      <c r="X8" s="247">
        <v>-2516.8000000000002</v>
      </c>
      <c r="Y8" s="247">
        <v>-2666</v>
      </c>
      <c r="Z8" s="247">
        <v>-2203.03248115</v>
      </c>
      <c r="AA8" s="247">
        <v>-2794.26</v>
      </c>
      <c r="AB8" s="247">
        <v>-1984.2719999999999</v>
      </c>
      <c r="AC8" s="247">
        <v>-1930.7329999999999</v>
      </c>
      <c r="AD8" s="247">
        <v>-1715.001</v>
      </c>
      <c r="AE8" s="247">
        <v>-1569.473</v>
      </c>
      <c r="AF8" s="247">
        <v>-1644.7</v>
      </c>
      <c r="AG8" s="247">
        <v>-1537.4</v>
      </c>
      <c r="AH8" s="247">
        <v>-2701.3539999999998</v>
      </c>
      <c r="AI8" s="247">
        <v>-2950.7979999999998</v>
      </c>
      <c r="AJ8" s="247">
        <v>-3969.3</v>
      </c>
      <c r="AK8" s="247">
        <v>-3147.8</v>
      </c>
      <c r="AL8" s="247">
        <v>-2163.8000000000002</v>
      </c>
      <c r="AM8" s="247">
        <v>-949.8</v>
      </c>
      <c r="AN8" s="247">
        <v>-652.70000000000005</v>
      </c>
      <c r="AO8" s="247">
        <v>-771.8</v>
      </c>
      <c r="AP8" s="247">
        <v>-213.6</v>
      </c>
      <c r="AQ8" s="247">
        <v>-463.2</v>
      </c>
      <c r="AR8" s="247">
        <v>-633.1</v>
      </c>
      <c r="AS8" s="247">
        <v>-546.6</v>
      </c>
      <c r="AT8" s="247">
        <v>-417.762</v>
      </c>
    </row>
    <row r="9" spans="2:49">
      <c r="B9" s="220" t="s">
        <v>28</v>
      </c>
      <c r="C9" s="239">
        <v>-2428</v>
      </c>
      <c r="D9" s="239">
        <v>-2979.9110000000001</v>
      </c>
      <c r="E9" s="239">
        <v>-3058.355</v>
      </c>
      <c r="F9" s="239">
        <v>-3127.05</v>
      </c>
      <c r="G9" s="239">
        <v>-3176.326</v>
      </c>
      <c r="H9" s="239">
        <v>-3296.4470000000001</v>
      </c>
      <c r="I9" s="239">
        <v>-3387.4</v>
      </c>
      <c r="J9" s="239">
        <v>-3417.2190000000001</v>
      </c>
      <c r="K9" s="239">
        <v>-3459.1</v>
      </c>
      <c r="L9" s="239">
        <v>-3074.3</v>
      </c>
      <c r="M9" s="239">
        <v>-3142.6</v>
      </c>
      <c r="N9" s="239">
        <v>-3308</v>
      </c>
      <c r="O9" s="239">
        <v>-3304.7</v>
      </c>
      <c r="P9" s="239">
        <v>-4650.7</v>
      </c>
      <c r="Q9" s="239">
        <v>-3784</v>
      </c>
      <c r="R9" s="221">
        <v>-4476.1000000000004</v>
      </c>
      <c r="S9" s="221">
        <v>-6760.1210000000001</v>
      </c>
      <c r="T9" s="221">
        <v>-6935.6</v>
      </c>
      <c r="U9" s="221">
        <v>-6090.8109999999997</v>
      </c>
      <c r="V9" s="221">
        <v>-6760.1213272499999</v>
      </c>
      <c r="W9" s="221">
        <v>-7049.2</v>
      </c>
      <c r="X9" s="221">
        <v>-6914</v>
      </c>
      <c r="Y9" s="221">
        <v>-7003.3</v>
      </c>
      <c r="Z9" s="221">
        <v>-7322.1653468600007</v>
      </c>
      <c r="AA9" s="221">
        <v>-6695.7280000000001</v>
      </c>
      <c r="AB9" s="221">
        <v>-6443.6890000000003</v>
      </c>
      <c r="AC9" s="221">
        <v>-6550.9250000000002</v>
      </c>
      <c r="AD9" s="221">
        <v>-6810.2049999999999</v>
      </c>
      <c r="AE9" s="221">
        <v>-6984.8739999999998</v>
      </c>
      <c r="AF9" s="221">
        <v>-9547.7999999999993</v>
      </c>
      <c r="AG9" s="221">
        <v>-9482.4</v>
      </c>
      <c r="AH9" s="221">
        <v>-7737.9279999999999</v>
      </c>
      <c r="AI9" s="221">
        <v>-8626.9240000000009</v>
      </c>
      <c r="AJ9" s="221">
        <v>-7484.4</v>
      </c>
      <c r="AK9" s="221">
        <v>-7385.1</v>
      </c>
      <c r="AL9" s="221">
        <v>-7501.9</v>
      </c>
      <c r="AM9" s="221">
        <v>-8040.5</v>
      </c>
      <c r="AN9" s="221">
        <v>-8016.4</v>
      </c>
      <c r="AO9" s="221">
        <v>-8206</v>
      </c>
      <c r="AP9" s="221">
        <v>-6642.5</v>
      </c>
      <c r="AQ9" s="221">
        <v>-5684.5</v>
      </c>
      <c r="AR9" s="221">
        <v>-4066.7</v>
      </c>
      <c r="AS9" s="221">
        <v>-3601.3</v>
      </c>
      <c r="AT9" s="221">
        <v>-3308.4009999999998</v>
      </c>
    </row>
    <row r="10" spans="2:49">
      <c r="B10" s="248" t="s">
        <v>29</v>
      </c>
      <c r="C10" s="249">
        <f>SUM(C11:C12)</f>
        <v>1919.2</v>
      </c>
      <c r="D10" s="249">
        <f>SUM(D11:D12)</f>
        <v>3147.84</v>
      </c>
      <c r="E10" s="249">
        <f>SUM(E11:E12)</f>
        <v>2612.7469999999998</v>
      </c>
      <c r="F10" s="249">
        <f>SUM(F11:F12)</f>
        <v>2173.6579999999999</v>
      </c>
      <c r="G10" s="249">
        <f>SUM(G11:G12)</f>
        <v>1783.46</v>
      </c>
      <c r="H10" s="249">
        <v>2457.1660000000002</v>
      </c>
      <c r="I10" s="249">
        <v>2006.5</v>
      </c>
      <c r="J10" s="249">
        <v>1759.0639999999999</v>
      </c>
      <c r="K10" s="249">
        <v>1529.6</v>
      </c>
      <c r="L10" s="249">
        <v>1354</v>
      </c>
      <c r="M10" s="249">
        <v>1236.4000000000001</v>
      </c>
      <c r="N10" s="249">
        <v>899.2</v>
      </c>
      <c r="O10" s="249">
        <v>1058</v>
      </c>
      <c r="P10" s="249">
        <v>1197.0999999999999</v>
      </c>
      <c r="Q10" s="249">
        <v>1523.6</v>
      </c>
      <c r="R10" s="249">
        <v>1059</v>
      </c>
      <c r="S10" s="249">
        <v>914.20059730000003</v>
      </c>
      <c r="T10" s="249">
        <v>954.4</v>
      </c>
      <c r="U10" s="249">
        <v>1718.7950000000001</v>
      </c>
      <c r="V10" s="249">
        <v>914.2010152299996</v>
      </c>
      <c r="W10" s="249">
        <v>1380</v>
      </c>
      <c r="X10" s="249">
        <v>1282.9000000000001</v>
      </c>
      <c r="Y10" s="249">
        <v>1490.9</v>
      </c>
      <c r="Z10" s="249">
        <v>1291.9065558699999</v>
      </c>
      <c r="AA10" s="249">
        <v>1123.3866919100001</v>
      </c>
      <c r="AB10" s="249">
        <v>707.44100000000003</v>
      </c>
      <c r="AC10" s="249">
        <v>823.6</v>
      </c>
      <c r="AD10" s="249">
        <v>935.71400000000006</v>
      </c>
      <c r="AE10" s="249">
        <v>889.29599999999994</v>
      </c>
      <c r="AF10" s="249">
        <v>745.8</v>
      </c>
      <c r="AG10" s="249">
        <v>1462.6</v>
      </c>
      <c r="AH10" s="249">
        <v>859.351</v>
      </c>
      <c r="AI10" s="249">
        <v>713.88700000000006</v>
      </c>
      <c r="AJ10" s="249">
        <v>1232.9000000000001</v>
      </c>
      <c r="AK10" s="249">
        <v>1950.1</v>
      </c>
      <c r="AL10" s="249">
        <v>1559.6</v>
      </c>
      <c r="AM10" s="249">
        <v>1411.1</v>
      </c>
      <c r="AN10" s="249">
        <v>1749.8</v>
      </c>
      <c r="AO10" s="249">
        <v>2489.6999999999998</v>
      </c>
      <c r="AP10" s="249">
        <v>2079.1</v>
      </c>
      <c r="AQ10" s="249">
        <v>1968.5</v>
      </c>
      <c r="AR10" s="249">
        <v>1218.0999999999999</v>
      </c>
      <c r="AS10" s="249">
        <v>1673.9</v>
      </c>
      <c r="AT10" s="249">
        <v>1492.364</v>
      </c>
    </row>
    <row r="11" spans="2:49">
      <c r="B11" s="220" t="s">
        <v>30</v>
      </c>
      <c r="C11" s="221">
        <v>806.7</v>
      </c>
      <c r="D11" s="221">
        <v>905.29499999999996</v>
      </c>
      <c r="E11" s="221">
        <v>812.303</v>
      </c>
      <c r="F11" s="221">
        <v>775.99400000000003</v>
      </c>
      <c r="G11" s="221">
        <v>784.91600000000005</v>
      </c>
      <c r="H11" s="221">
        <v>632.56600000000003</v>
      </c>
      <c r="I11" s="221">
        <v>602.5</v>
      </c>
      <c r="J11" s="221">
        <v>526.64</v>
      </c>
      <c r="K11" s="221">
        <v>358.4</v>
      </c>
      <c r="L11" s="221">
        <v>261</v>
      </c>
      <c r="M11" s="221">
        <v>334</v>
      </c>
      <c r="N11" s="221">
        <v>318.5</v>
      </c>
      <c r="O11" s="221">
        <v>629.5</v>
      </c>
      <c r="P11" s="221">
        <v>482.6</v>
      </c>
      <c r="Q11" s="221">
        <v>521.1</v>
      </c>
      <c r="R11" s="221">
        <v>563.1</v>
      </c>
      <c r="S11" s="221">
        <v>663.75359730000002</v>
      </c>
      <c r="T11" s="221">
        <v>639.1</v>
      </c>
      <c r="U11" s="221">
        <v>691.86300000000006</v>
      </c>
      <c r="V11" s="221">
        <v>663.75359729999957</v>
      </c>
      <c r="W11" s="221">
        <v>1109.2</v>
      </c>
      <c r="X11" s="221">
        <v>962.2</v>
      </c>
      <c r="Y11" s="221">
        <v>978.8</v>
      </c>
      <c r="Z11" s="221">
        <v>833.52370888999997</v>
      </c>
      <c r="AA11" s="221">
        <v>835.09908404999999</v>
      </c>
      <c r="AB11" s="221">
        <v>73.024000000000001</v>
      </c>
      <c r="AC11" s="221">
        <v>112.34699999999999</v>
      </c>
      <c r="AD11" s="221">
        <v>175.55600000000001</v>
      </c>
      <c r="AE11" s="221">
        <v>655.29999999999995</v>
      </c>
      <c r="AF11" s="221">
        <v>205.5</v>
      </c>
      <c r="AG11" s="221">
        <v>662.8</v>
      </c>
      <c r="AH11" s="221">
        <v>189.62899999999999</v>
      </c>
      <c r="AI11" s="221">
        <v>212.804</v>
      </c>
      <c r="AJ11" s="221">
        <v>253.7</v>
      </c>
      <c r="AK11" s="221">
        <v>244.9</v>
      </c>
      <c r="AL11" s="221">
        <v>336.5</v>
      </c>
      <c r="AM11" s="221">
        <v>341.5</v>
      </c>
      <c r="AN11" s="221">
        <v>340.3</v>
      </c>
      <c r="AO11" s="221">
        <v>337.2</v>
      </c>
      <c r="AP11" s="221">
        <v>1071.7</v>
      </c>
      <c r="AQ11" s="221">
        <v>1410.6</v>
      </c>
      <c r="AR11" s="221">
        <v>552.9</v>
      </c>
      <c r="AS11" s="221">
        <v>1043</v>
      </c>
      <c r="AT11" s="222">
        <v>945.56</v>
      </c>
    </row>
    <row r="12" spans="2:49">
      <c r="B12" s="246" t="s">
        <v>31</v>
      </c>
      <c r="C12" s="247">
        <v>1112.5</v>
      </c>
      <c r="D12" s="247">
        <v>2242.5450000000001</v>
      </c>
      <c r="E12" s="247">
        <v>1800.444</v>
      </c>
      <c r="F12" s="247">
        <v>1397.664</v>
      </c>
      <c r="G12" s="247">
        <v>998.5440000000001</v>
      </c>
      <c r="H12" s="247">
        <v>1824.6</v>
      </c>
      <c r="I12" s="247">
        <v>1404</v>
      </c>
      <c r="J12" s="247">
        <v>1232.424</v>
      </c>
      <c r="K12" s="247">
        <v>1171.2</v>
      </c>
      <c r="L12" s="247">
        <v>1093</v>
      </c>
      <c r="M12" s="247">
        <v>902.4</v>
      </c>
      <c r="N12" s="247">
        <v>580.70000000000005</v>
      </c>
      <c r="O12" s="247">
        <v>428.5</v>
      </c>
      <c r="P12" s="247">
        <v>714.5</v>
      </c>
      <c r="Q12" s="247">
        <v>1002.5</v>
      </c>
      <c r="R12" s="247">
        <v>495.8</v>
      </c>
      <c r="S12" s="247">
        <v>250.447</v>
      </c>
      <c r="T12" s="247">
        <v>315.3</v>
      </c>
      <c r="U12" s="247">
        <v>1026.932</v>
      </c>
      <c r="V12" s="247">
        <v>250.44741793</v>
      </c>
      <c r="W12" s="247">
        <v>270.8</v>
      </c>
      <c r="X12" s="247">
        <v>320.7</v>
      </c>
      <c r="Y12" s="247">
        <v>512.1</v>
      </c>
      <c r="Z12" s="247">
        <v>458.38284697999995</v>
      </c>
      <c r="AA12" s="247">
        <v>288.28760785999998</v>
      </c>
      <c r="AB12" s="247">
        <v>634.41700000000003</v>
      </c>
      <c r="AC12" s="247">
        <v>711.33899999999994</v>
      </c>
      <c r="AD12" s="247">
        <v>760.15800000000002</v>
      </c>
      <c r="AE12" s="247">
        <v>233.99600000000001</v>
      </c>
      <c r="AF12" s="247">
        <v>540.29999999999995</v>
      </c>
      <c r="AG12" s="247">
        <v>799.8</v>
      </c>
      <c r="AH12" s="247">
        <v>669.72199999999998</v>
      </c>
      <c r="AI12" s="247">
        <v>501.08300000000003</v>
      </c>
      <c r="AJ12" s="247">
        <v>979.2</v>
      </c>
      <c r="AK12" s="247">
        <v>1705.2</v>
      </c>
      <c r="AL12" s="247">
        <v>1223.0999999999999</v>
      </c>
      <c r="AM12" s="247">
        <v>1069.5999999999999</v>
      </c>
      <c r="AN12" s="247">
        <v>1409.4</v>
      </c>
      <c r="AO12" s="247">
        <v>2152.5</v>
      </c>
      <c r="AP12" s="247">
        <v>1007.4</v>
      </c>
      <c r="AQ12" s="247">
        <v>557.9</v>
      </c>
      <c r="AR12" s="247">
        <v>665.2</v>
      </c>
      <c r="AS12" s="247">
        <v>630.9</v>
      </c>
      <c r="AT12" s="247">
        <v>546.80399999999997</v>
      </c>
    </row>
    <row r="13" spans="2:49">
      <c r="B13" s="214" t="s">
        <v>32</v>
      </c>
      <c r="C13" s="219">
        <f>C7+C10</f>
        <v>-1251.6000000000001</v>
      </c>
      <c r="D13" s="219">
        <f>D7+D10</f>
        <v>-377.6279999999997</v>
      </c>
      <c r="E13" s="219">
        <f>E7+E10</f>
        <v>-976.4670000000001</v>
      </c>
      <c r="F13" s="219">
        <f>F7+F10</f>
        <v>-1469.2590000000005</v>
      </c>
      <c r="G13" s="219">
        <f>G7+G10</f>
        <v>-1893.4780000000001</v>
      </c>
      <c r="H13" s="219">
        <v>-1337.7049999999999</v>
      </c>
      <c r="I13" s="219">
        <v>-1869.9</v>
      </c>
      <c r="J13" s="219">
        <v>-2125.5330000000004</v>
      </c>
      <c r="K13" s="219">
        <v>-2381.6</v>
      </c>
      <c r="L13" s="219">
        <v>-4430.3999999999996</v>
      </c>
      <c r="M13" s="219">
        <v>-4460.3999999999996</v>
      </c>
      <c r="N13" s="219">
        <v>-4770.7</v>
      </c>
      <c r="O13" s="219">
        <v>-4552.8999999999996</v>
      </c>
      <c r="P13" s="219">
        <v>-6345.2</v>
      </c>
      <c r="Q13" s="219">
        <v>-5965</v>
      </c>
      <c r="R13" s="219">
        <v>-6367.9</v>
      </c>
      <c r="S13" s="219">
        <v>-6533.784402700001</v>
      </c>
      <c r="T13" s="219">
        <v>-6834.8</v>
      </c>
      <c r="U13" s="219">
        <v>-5703.95</v>
      </c>
      <c r="V13" s="219">
        <v>-6533.7847529199998</v>
      </c>
      <c r="W13" s="219">
        <v>-7916.1</v>
      </c>
      <c r="X13" s="219">
        <v>-8147.9</v>
      </c>
      <c r="Y13" s="219">
        <v>-8178.3</v>
      </c>
      <c r="Z13" s="219">
        <v>-8233.2912721400007</v>
      </c>
      <c r="AA13" s="219">
        <v>-8366.6013080900011</v>
      </c>
      <c r="AB13" s="219">
        <v>-7720.5199999999995</v>
      </c>
      <c r="AC13" s="219">
        <v>-7657.9719999999998</v>
      </c>
      <c r="AD13" s="219">
        <v>-7589.4920000000002</v>
      </c>
      <c r="AE13" s="219">
        <v>-7665.0509999999995</v>
      </c>
      <c r="AF13" s="219">
        <v>-10446.800000000001</v>
      </c>
      <c r="AG13" s="219">
        <v>-9557.2000000000007</v>
      </c>
      <c r="AH13" s="219">
        <v>-9579.9309999999987</v>
      </c>
      <c r="AI13" s="219">
        <v>-10863.835000000001</v>
      </c>
      <c r="AJ13" s="219">
        <v>-10220.799999999999</v>
      </c>
      <c r="AK13" s="219">
        <v>-8582.7999999999993</v>
      </c>
      <c r="AL13" s="219">
        <v>-8106.1</v>
      </c>
      <c r="AM13" s="219">
        <v>-7579.2</v>
      </c>
      <c r="AN13" s="219">
        <v>-6919.3</v>
      </c>
      <c r="AO13" s="219">
        <v>-5488.1</v>
      </c>
      <c r="AP13" s="219">
        <v>-4777</v>
      </c>
      <c r="AQ13" s="219">
        <v>-4179.2</v>
      </c>
      <c r="AR13" s="219">
        <v>-3481.7</v>
      </c>
      <c r="AS13" s="219">
        <v>-2474</v>
      </c>
      <c r="AT13" s="219">
        <v>-2233.799</v>
      </c>
    </row>
    <row r="14" spans="2:49"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</row>
    <row r="15" spans="2:49">
      <c r="B15" s="237" t="s">
        <v>142</v>
      </c>
      <c r="C15" s="237"/>
      <c r="D15" s="237"/>
      <c r="E15" s="237"/>
      <c r="F15" s="237"/>
      <c r="H15" s="237"/>
      <c r="I15" s="237"/>
      <c r="J15" s="237"/>
    </row>
    <row r="16" spans="2:49">
      <c r="B16" s="236" t="s">
        <v>143</v>
      </c>
      <c r="C16" s="236"/>
      <c r="D16" s="236"/>
      <c r="E16" s="236"/>
      <c r="F16" s="236"/>
      <c r="H16" s="236"/>
      <c r="I16" s="236"/>
      <c r="J16" s="236"/>
    </row>
    <row r="17" spans="2:10">
      <c r="B17" s="236" t="s">
        <v>203</v>
      </c>
      <c r="C17" s="236"/>
      <c r="D17" s="236"/>
      <c r="E17" s="236"/>
      <c r="F17" s="236"/>
      <c r="H17" s="236"/>
      <c r="I17" s="236"/>
      <c r="J17" s="236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AB83A4-36FA-42A5-9828-AF83216C23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B0B3E-CDAD-4555-92FE-B1CBC38F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08F44-07A2-4723-8BE1-3F64EA529E26}">
  <ds:schemaRefs>
    <ds:schemaRef ds:uri="http://schemas.microsoft.com/office/2006/documentManagement/types"/>
    <ds:schemaRef ds:uri="http://schemas.microsoft.com/sharepoint/v3"/>
    <ds:schemaRef ds:uri="36db659f-f486-4283-99a7-12ddbf2b43b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6eaaa80f-e24a-4392-8e3d-e38af137f54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Fool</vt:lpstr>
      <vt:lpstr>Índice</vt:lpstr>
      <vt:lpstr>Resultados Operacionais</vt:lpstr>
      <vt:lpstr>Resultados Financeiros</vt:lpstr>
      <vt:lpstr>Extrato Balanço Patrimonial</vt:lpstr>
      <vt:lpstr>Dívida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Roseane</cp:lastModifiedBy>
  <cp:lastPrinted>2017-08-07T17:28:26Z</cp:lastPrinted>
  <dcterms:created xsi:type="dcterms:W3CDTF">2015-01-26T20:29:17Z</dcterms:created>
  <dcterms:modified xsi:type="dcterms:W3CDTF">2024-03-05T17:08:14Z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